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2"/>
  <workbookPr/>
  <mc:AlternateContent xmlns:mc="http://schemas.openxmlformats.org/markup-compatibility/2006">
    <mc:Choice Requires="x15">
      <x15ac:absPath xmlns:x15ac="http://schemas.microsoft.com/office/spreadsheetml/2010/11/ac" url="/Users/neilsandilands/Documents/Motorcycle Engineering L4 S1/Motorcycle Technology/Assignment 2/"/>
    </mc:Choice>
  </mc:AlternateContent>
  <xr:revisionPtr revIDLastSave="0" documentId="13_ncr:1_{3CEC2F1C-99D3-8C47-87B4-76CD6861A563}" xr6:coauthVersionLast="47" xr6:coauthVersionMax="47" xr10:uidLastSave="{00000000-0000-0000-0000-000000000000}"/>
  <bookViews>
    <workbookView xWindow="80" yWindow="780" windowWidth="30320" windowHeight="18880" xr2:uid="{00000000-000D-0000-FFFF-FFFF00000000}"/>
  </bookViews>
  <sheets>
    <sheet name="Main Menu" sheetId="2" r:id="rId1"/>
    <sheet name="Constants" sheetId="3" r:id="rId2"/>
    <sheet name="GrE HnD BsC" sheetId="1" r:id="rId3"/>
    <sheet name="Graphs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" l="1"/>
  <c r="K6" i="1" s="1"/>
  <c r="E13" i="3"/>
  <c r="K13" i="3"/>
  <c r="M13" i="3" s="1"/>
  <c r="N13" i="3" s="1"/>
  <c r="F6" i="1"/>
  <c r="T6" i="1" s="1"/>
  <c r="U6" i="1" s="1"/>
  <c r="F85" i="1"/>
  <c r="T85" i="1" s="1"/>
  <c r="U85" i="1" s="1"/>
  <c r="F86" i="1"/>
  <c r="T86" i="1" s="1"/>
  <c r="U86" i="1" s="1"/>
  <c r="F87" i="1"/>
  <c r="T87" i="1" s="1"/>
  <c r="U87" i="1" s="1"/>
  <c r="F88" i="1"/>
  <c r="T88" i="1" s="1"/>
  <c r="U88" i="1" s="1"/>
  <c r="F89" i="1"/>
  <c r="T89" i="1" s="1"/>
  <c r="U89" i="1" s="1"/>
  <c r="F90" i="1"/>
  <c r="T90" i="1" s="1"/>
  <c r="U90" i="1" s="1"/>
  <c r="F91" i="1"/>
  <c r="T91" i="1" s="1"/>
  <c r="U91" i="1" s="1"/>
  <c r="F92" i="1"/>
  <c r="T92" i="1" s="1"/>
  <c r="U92" i="1" s="1"/>
  <c r="F93" i="1"/>
  <c r="T93" i="1" s="1"/>
  <c r="U93" i="1" s="1"/>
  <c r="F94" i="1"/>
  <c r="T94" i="1" s="1"/>
  <c r="U94" i="1" s="1"/>
  <c r="F95" i="1"/>
  <c r="T95" i="1" s="1"/>
  <c r="U95" i="1" s="1"/>
  <c r="F96" i="1"/>
  <c r="T96" i="1" s="1"/>
  <c r="U96" i="1" s="1"/>
  <c r="F7" i="1"/>
  <c r="T7" i="1" s="1"/>
  <c r="U7" i="1" s="1"/>
  <c r="F8" i="1"/>
  <c r="T8" i="1" s="1"/>
  <c r="U8" i="1" s="1"/>
  <c r="F9" i="1"/>
  <c r="T9" i="1" s="1"/>
  <c r="U9" i="1" s="1"/>
  <c r="F10" i="1"/>
  <c r="T10" i="1" s="1"/>
  <c r="U10" i="1" s="1"/>
  <c r="F11" i="1"/>
  <c r="T11" i="1" s="1"/>
  <c r="U11" i="1" s="1"/>
  <c r="F12" i="1"/>
  <c r="T12" i="1" s="1"/>
  <c r="U12" i="1" s="1"/>
  <c r="F13" i="1"/>
  <c r="T13" i="1" s="1"/>
  <c r="U13" i="1" s="1"/>
  <c r="F14" i="1"/>
  <c r="T14" i="1" s="1"/>
  <c r="U14" i="1" s="1"/>
  <c r="F15" i="1"/>
  <c r="T15" i="1" s="1"/>
  <c r="U15" i="1" s="1"/>
  <c r="F16" i="1"/>
  <c r="T16" i="1" s="1"/>
  <c r="U16" i="1" s="1"/>
  <c r="F17" i="1"/>
  <c r="T17" i="1" s="1"/>
  <c r="U17" i="1" s="1"/>
  <c r="F18" i="1"/>
  <c r="T18" i="1" s="1"/>
  <c r="U18" i="1" s="1"/>
  <c r="F19" i="1"/>
  <c r="T19" i="1" s="1"/>
  <c r="U19" i="1" s="1"/>
  <c r="F20" i="1"/>
  <c r="T20" i="1" s="1"/>
  <c r="U20" i="1" s="1"/>
  <c r="F21" i="1"/>
  <c r="T21" i="1" s="1"/>
  <c r="U21" i="1" s="1"/>
  <c r="F22" i="1"/>
  <c r="T22" i="1" s="1"/>
  <c r="U22" i="1" s="1"/>
  <c r="F23" i="1"/>
  <c r="T23" i="1" s="1"/>
  <c r="U23" i="1" s="1"/>
  <c r="F24" i="1"/>
  <c r="T24" i="1" s="1"/>
  <c r="U24" i="1" s="1"/>
  <c r="F25" i="1"/>
  <c r="T25" i="1" s="1"/>
  <c r="U25" i="1" s="1"/>
  <c r="F26" i="1"/>
  <c r="T26" i="1" s="1"/>
  <c r="U26" i="1" s="1"/>
  <c r="F27" i="1"/>
  <c r="T27" i="1" s="1"/>
  <c r="U27" i="1" s="1"/>
  <c r="F28" i="1"/>
  <c r="T28" i="1" s="1"/>
  <c r="U28" i="1" s="1"/>
  <c r="F29" i="1"/>
  <c r="T29" i="1" s="1"/>
  <c r="U29" i="1" s="1"/>
  <c r="F30" i="1"/>
  <c r="T30" i="1" s="1"/>
  <c r="U30" i="1" s="1"/>
  <c r="F31" i="1"/>
  <c r="T31" i="1" s="1"/>
  <c r="U31" i="1" s="1"/>
  <c r="F32" i="1"/>
  <c r="T32" i="1" s="1"/>
  <c r="U32" i="1" s="1"/>
  <c r="F33" i="1"/>
  <c r="T33" i="1" s="1"/>
  <c r="U33" i="1" s="1"/>
  <c r="F34" i="1"/>
  <c r="T34" i="1" s="1"/>
  <c r="U34" i="1" s="1"/>
  <c r="F35" i="1"/>
  <c r="T35" i="1" s="1"/>
  <c r="U35" i="1" s="1"/>
  <c r="F36" i="1"/>
  <c r="T36" i="1" s="1"/>
  <c r="U36" i="1" s="1"/>
  <c r="F37" i="1"/>
  <c r="T37" i="1" s="1"/>
  <c r="U37" i="1" s="1"/>
  <c r="F38" i="1"/>
  <c r="T38" i="1" s="1"/>
  <c r="U38" i="1" s="1"/>
  <c r="F39" i="1"/>
  <c r="T39" i="1" s="1"/>
  <c r="U39" i="1" s="1"/>
  <c r="F40" i="1"/>
  <c r="T40" i="1" s="1"/>
  <c r="U40" i="1" s="1"/>
  <c r="F41" i="1"/>
  <c r="T41" i="1" s="1"/>
  <c r="U41" i="1" s="1"/>
  <c r="F42" i="1"/>
  <c r="T42" i="1" s="1"/>
  <c r="U42" i="1" s="1"/>
  <c r="F43" i="1"/>
  <c r="T43" i="1" s="1"/>
  <c r="U43" i="1" s="1"/>
  <c r="F44" i="1"/>
  <c r="T44" i="1" s="1"/>
  <c r="U44" i="1" s="1"/>
  <c r="F45" i="1"/>
  <c r="T45" i="1" s="1"/>
  <c r="U45" i="1" s="1"/>
  <c r="F46" i="1"/>
  <c r="T46" i="1" s="1"/>
  <c r="U46" i="1" s="1"/>
  <c r="F47" i="1"/>
  <c r="T47" i="1" s="1"/>
  <c r="U47" i="1" s="1"/>
  <c r="F48" i="1"/>
  <c r="T48" i="1" s="1"/>
  <c r="U48" i="1" s="1"/>
  <c r="F49" i="1"/>
  <c r="T49" i="1" s="1"/>
  <c r="U49" i="1" s="1"/>
  <c r="F50" i="1"/>
  <c r="T50" i="1" s="1"/>
  <c r="U50" i="1" s="1"/>
  <c r="F51" i="1"/>
  <c r="T51" i="1" s="1"/>
  <c r="U51" i="1" s="1"/>
  <c r="F52" i="1"/>
  <c r="T52" i="1" s="1"/>
  <c r="U52" i="1" s="1"/>
  <c r="F53" i="1"/>
  <c r="T53" i="1" s="1"/>
  <c r="U53" i="1" s="1"/>
  <c r="F54" i="1"/>
  <c r="T54" i="1" s="1"/>
  <c r="U54" i="1" s="1"/>
  <c r="F55" i="1"/>
  <c r="T55" i="1" s="1"/>
  <c r="U55" i="1" s="1"/>
  <c r="F56" i="1"/>
  <c r="T56" i="1" s="1"/>
  <c r="U56" i="1" s="1"/>
  <c r="F57" i="1"/>
  <c r="T57" i="1" s="1"/>
  <c r="U57" i="1" s="1"/>
  <c r="F58" i="1"/>
  <c r="T58" i="1" s="1"/>
  <c r="U58" i="1" s="1"/>
  <c r="F59" i="1"/>
  <c r="T59" i="1" s="1"/>
  <c r="U59" i="1" s="1"/>
  <c r="F60" i="1"/>
  <c r="T60" i="1" s="1"/>
  <c r="U60" i="1" s="1"/>
  <c r="F61" i="1"/>
  <c r="T61" i="1" s="1"/>
  <c r="U61" i="1" s="1"/>
  <c r="F62" i="1"/>
  <c r="T62" i="1" s="1"/>
  <c r="U62" i="1" s="1"/>
  <c r="F63" i="1"/>
  <c r="T63" i="1" s="1"/>
  <c r="U63" i="1" s="1"/>
  <c r="F64" i="1"/>
  <c r="T64" i="1" s="1"/>
  <c r="U64" i="1" s="1"/>
  <c r="F65" i="1"/>
  <c r="T65" i="1" s="1"/>
  <c r="U65" i="1" s="1"/>
  <c r="F66" i="1"/>
  <c r="T66" i="1" s="1"/>
  <c r="U66" i="1" s="1"/>
  <c r="F67" i="1"/>
  <c r="T67" i="1" s="1"/>
  <c r="U67" i="1" s="1"/>
  <c r="F68" i="1"/>
  <c r="T68" i="1" s="1"/>
  <c r="U68" i="1" s="1"/>
  <c r="F69" i="1"/>
  <c r="T69" i="1" s="1"/>
  <c r="U69" i="1" s="1"/>
  <c r="F70" i="1"/>
  <c r="T70" i="1" s="1"/>
  <c r="U70" i="1" s="1"/>
  <c r="F71" i="1"/>
  <c r="T71" i="1" s="1"/>
  <c r="U71" i="1" s="1"/>
  <c r="F72" i="1"/>
  <c r="T72" i="1" s="1"/>
  <c r="U72" i="1" s="1"/>
  <c r="F73" i="1"/>
  <c r="T73" i="1" s="1"/>
  <c r="U73" i="1" s="1"/>
  <c r="F74" i="1"/>
  <c r="T74" i="1" s="1"/>
  <c r="U74" i="1" s="1"/>
  <c r="F75" i="1"/>
  <c r="T75" i="1" s="1"/>
  <c r="U75" i="1" s="1"/>
  <c r="F76" i="1"/>
  <c r="T76" i="1" s="1"/>
  <c r="U76" i="1" s="1"/>
  <c r="F77" i="1"/>
  <c r="T77" i="1" s="1"/>
  <c r="U77" i="1" s="1"/>
  <c r="F78" i="1"/>
  <c r="T78" i="1" s="1"/>
  <c r="U78" i="1" s="1"/>
  <c r="F79" i="1"/>
  <c r="T79" i="1" s="1"/>
  <c r="U79" i="1" s="1"/>
  <c r="F80" i="1"/>
  <c r="T80" i="1" s="1"/>
  <c r="U80" i="1" s="1"/>
  <c r="F81" i="1"/>
  <c r="T81" i="1" s="1"/>
  <c r="U81" i="1" s="1"/>
  <c r="F82" i="1"/>
  <c r="T82" i="1" s="1"/>
  <c r="U82" i="1" s="1"/>
  <c r="F83" i="1"/>
  <c r="T83" i="1" s="1"/>
  <c r="U83" i="1" s="1"/>
  <c r="F84" i="1"/>
  <c r="T84" i="1" s="1"/>
  <c r="U84" i="1" s="1"/>
  <c r="G6" i="1" l="1"/>
  <c r="G92" i="1"/>
  <c r="G84" i="1"/>
  <c r="G76" i="1"/>
  <c r="G68" i="1"/>
  <c r="G60" i="1"/>
  <c r="G52" i="1"/>
  <c r="G44" i="1"/>
  <c r="G36" i="1"/>
  <c r="G28" i="1"/>
  <c r="G20" i="1"/>
  <c r="G12" i="1"/>
  <c r="G91" i="1"/>
  <c r="G83" i="1"/>
  <c r="G75" i="1"/>
  <c r="G67" i="1"/>
  <c r="G59" i="1"/>
  <c r="G51" i="1"/>
  <c r="G43" i="1"/>
  <c r="G35" i="1"/>
  <c r="G27" i="1"/>
  <c r="G19" i="1"/>
  <c r="G11" i="1"/>
  <c r="G90" i="1"/>
  <c r="G82" i="1"/>
  <c r="G74" i="1"/>
  <c r="G66" i="1"/>
  <c r="G58" i="1"/>
  <c r="G50" i="1"/>
  <c r="G42" i="1"/>
  <c r="G34" i="1"/>
  <c r="G26" i="1"/>
  <c r="G18" i="1"/>
  <c r="G10" i="1"/>
  <c r="G89" i="1"/>
  <c r="G81" i="1"/>
  <c r="G73" i="1"/>
  <c r="G65" i="1"/>
  <c r="G57" i="1"/>
  <c r="G49" i="1"/>
  <c r="G41" i="1"/>
  <c r="G33" i="1"/>
  <c r="G25" i="1"/>
  <c r="G17" i="1"/>
  <c r="G9" i="1"/>
  <c r="G96" i="1"/>
  <c r="G88" i="1"/>
  <c r="G80" i="1"/>
  <c r="G72" i="1"/>
  <c r="G64" i="1"/>
  <c r="G56" i="1"/>
  <c r="G48" i="1"/>
  <c r="G40" i="1"/>
  <c r="G32" i="1"/>
  <c r="G24" i="1"/>
  <c r="G16" i="1"/>
  <c r="G8" i="1"/>
  <c r="G95" i="1"/>
  <c r="G87" i="1"/>
  <c r="G79" i="1"/>
  <c r="G71" i="1"/>
  <c r="G63" i="1"/>
  <c r="G55" i="1"/>
  <c r="G47" i="1"/>
  <c r="G39" i="1"/>
  <c r="G31" i="1"/>
  <c r="G23" i="1"/>
  <c r="G15" i="1"/>
  <c r="G7" i="1"/>
  <c r="G94" i="1"/>
  <c r="G86" i="1"/>
  <c r="G78" i="1"/>
  <c r="G70" i="1"/>
  <c r="G62" i="1"/>
  <c r="G54" i="1"/>
  <c r="G46" i="1"/>
  <c r="G38" i="1"/>
  <c r="G30" i="1"/>
  <c r="G22" i="1"/>
  <c r="G14" i="1"/>
  <c r="M6" i="1"/>
  <c r="G93" i="1"/>
  <c r="G85" i="1"/>
  <c r="G77" i="1"/>
  <c r="G69" i="1"/>
  <c r="G61" i="1"/>
  <c r="G53" i="1"/>
  <c r="G45" i="1"/>
  <c r="G37" i="1"/>
  <c r="G29" i="1"/>
  <c r="G21" i="1"/>
  <c r="G13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B7" i="1"/>
  <c r="M7" i="1" l="1"/>
  <c r="N6" i="1"/>
  <c r="B8" i="1"/>
  <c r="K8" i="1" s="1"/>
  <c r="K7" i="1"/>
  <c r="O6" i="1" l="1"/>
  <c r="W6" i="1"/>
  <c r="X6" i="1" s="1"/>
  <c r="Z6" i="1" s="1"/>
  <c r="AA6" i="1" s="1"/>
  <c r="M8" i="1"/>
  <c r="N7" i="1"/>
  <c r="B9" i="1"/>
  <c r="M9" i="1" s="1"/>
  <c r="Q6" i="1" l="1"/>
  <c r="R6" i="1" s="1"/>
  <c r="AC6" i="1"/>
  <c r="O7" i="1"/>
  <c r="W7" i="1"/>
  <c r="X7" i="1" s="1"/>
  <c r="Z7" i="1" s="1"/>
  <c r="AA7" i="1" s="1"/>
  <c r="N8" i="1"/>
  <c r="B10" i="1"/>
  <c r="M10" i="1" s="1"/>
  <c r="K9" i="1"/>
  <c r="N9" i="1" s="1"/>
  <c r="AC7" i="1" l="1"/>
  <c r="Q7" i="1"/>
  <c r="R7" i="1" s="1"/>
  <c r="O8" i="1"/>
  <c r="AC8" i="1" s="1"/>
  <c r="W8" i="1"/>
  <c r="X8" i="1" s="1"/>
  <c r="Z8" i="1" s="1"/>
  <c r="AA8" i="1" s="1"/>
  <c r="O9" i="1"/>
  <c r="W9" i="1"/>
  <c r="X9" i="1" s="1"/>
  <c r="Z9" i="1" s="1"/>
  <c r="AA9" i="1" s="1"/>
  <c r="B11" i="1"/>
  <c r="M11" i="1" s="1"/>
  <c r="K10" i="1"/>
  <c r="N10" i="1" s="1"/>
  <c r="Q9" i="1" l="1"/>
  <c r="R9" i="1" s="1"/>
  <c r="AC9" i="1"/>
  <c r="Q8" i="1"/>
  <c r="R8" i="1" s="1"/>
  <c r="O10" i="1"/>
  <c r="W10" i="1"/>
  <c r="X10" i="1" s="1"/>
  <c r="Z10" i="1" s="1"/>
  <c r="AA10" i="1" s="1"/>
  <c r="B12" i="1"/>
  <c r="M12" i="1" s="1"/>
  <c r="K11" i="1"/>
  <c r="N11" i="1" s="1"/>
  <c r="Q10" i="1" l="1"/>
  <c r="R10" i="1" s="1"/>
  <c r="AC10" i="1"/>
  <c r="O11" i="1"/>
  <c r="W11" i="1"/>
  <c r="X11" i="1" s="1"/>
  <c r="Z11" i="1" s="1"/>
  <c r="AA11" i="1" s="1"/>
  <c r="B13" i="1"/>
  <c r="M13" i="1" s="1"/>
  <c r="K12" i="1"/>
  <c r="AC11" i="1" l="1"/>
  <c r="Q11" i="1"/>
  <c r="R11" i="1" s="1"/>
  <c r="N12" i="1"/>
  <c r="B14" i="1"/>
  <c r="M14" i="1" s="1"/>
  <c r="K13" i="1"/>
  <c r="O12" i="1" l="1"/>
  <c r="W12" i="1"/>
  <c r="X12" i="1" s="1"/>
  <c r="Z12" i="1" s="1"/>
  <c r="AA12" i="1" s="1"/>
  <c r="N13" i="1"/>
  <c r="B15" i="1"/>
  <c r="M15" i="1" s="1"/>
  <c r="K14" i="1"/>
  <c r="Q12" i="1" l="1"/>
  <c r="R12" i="1" s="1"/>
  <c r="AC12" i="1"/>
  <c r="O13" i="1"/>
  <c r="W13" i="1"/>
  <c r="X13" i="1" s="1"/>
  <c r="Z13" i="1" s="1"/>
  <c r="AA13" i="1" s="1"/>
  <c r="N14" i="1"/>
  <c r="B16" i="1"/>
  <c r="M16" i="1" s="1"/>
  <c r="K15" i="1"/>
  <c r="N15" i="1" s="1"/>
  <c r="Q13" i="1" l="1"/>
  <c r="R13" i="1" s="1"/>
  <c r="AC13" i="1"/>
  <c r="O15" i="1"/>
  <c r="W15" i="1"/>
  <c r="X15" i="1" s="1"/>
  <c r="Z15" i="1" s="1"/>
  <c r="AA15" i="1" s="1"/>
  <c r="O14" i="1"/>
  <c r="W14" i="1"/>
  <c r="X14" i="1" s="1"/>
  <c r="Z14" i="1" s="1"/>
  <c r="AA14" i="1" s="1"/>
  <c r="B17" i="1"/>
  <c r="M17" i="1" s="1"/>
  <c r="K16" i="1"/>
  <c r="AC14" i="1" l="1"/>
  <c r="AC15" i="1"/>
  <c r="Q15" i="1"/>
  <c r="R15" i="1" s="1"/>
  <c r="Q14" i="1"/>
  <c r="R14" i="1" s="1"/>
  <c r="N16" i="1"/>
  <c r="B18" i="1"/>
  <c r="M18" i="1" s="1"/>
  <c r="K17" i="1"/>
  <c r="N17" i="1" s="1"/>
  <c r="O16" i="1" l="1"/>
  <c r="W16" i="1"/>
  <c r="X16" i="1" s="1"/>
  <c r="Z16" i="1" s="1"/>
  <c r="AA16" i="1" s="1"/>
  <c r="O17" i="1"/>
  <c r="AC17" i="1" s="1"/>
  <c r="W17" i="1"/>
  <c r="X17" i="1" s="1"/>
  <c r="Z17" i="1" s="1"/>
  <c r="AA17" i="1" s="1"/>
  <c r="Q17" i="1"/>
  <c r="R17" i="1" s="1"/>
  <c r="B19" i="1"/>
  <c r="M19" i="1" s="1"/>
  <c r="K18" i="1"/>
  <c r="N18" i="1" s="1"/>
  <c r="Q16" i="1" l="1"/>
  <c r="R16" i="1" s="1"/>
  <c r="AC16" i="1"/>
  <c r="O18" i="1"/>
  <c r="W18" i="1"/>
  <c r="X18" i="1" s="1"/>
  <c r="Z18" i="1" s="1"/>
  <c r="AA18" i="1" s="1"/>
  <c r="B20" i="1"/>
  <c r="M20" i="1" s="1"/>
  <c r="K19" i="1"/>
  <c r="N19" i="1" s="1"/>
  <c r="AC18" i="1" l="1"/>
  <c r="Q18" i="1"/>
  <c r="R18" i="1" s="1"/>
  <c r="O19" i="1"/>
  <c r="W19" i="1"/>
  <c r="X19" i="1" s="1"/>
  <c r="Z19" i="1" s="1"/>
  <c r="AA19" i="1" s="1"/>
  <c r="B21" i="1"/>
  <c r="M21" i="1" s="1"/>
  <c r="K20" i="1"/>
  <c r="AC19" i="1" l="1"/>
  <c r="Q19" i="1"/>
  <c r="R19" i="1" s="1"/>
  <c r="N20" i="1"/>
  <c r="B22" i="1"/>
  <c r="M22" i="1" s="1"/>
  <c r="K21" i="1"/>
  <c r="N21" i="1" s="1"/>
  <c r="O21" i="1" l="1"/>
  <c r="W21" i="1"/>
  <c r="X21" i="1" s="1"/>
  <c r="Z21" i="1" s="1"/>
  <c r="AA21" i="1" s="1"/>
  <c r="O20" i="1"/>
  <c r="W20" i="1"/>
  <c r="X20" i="1" s="1"/>
  <c r="Z20" i="1" s="1"/>
  <c r="AA20" i="1" s="1"/>
  <c r="Q20" i="1"/>
  <c r="R20" i="1" s="1"/>
  <c r="B23" i="1"/>
  <c r="M23" i="1" s="1"/>
  <c r="K22" i="1"/>
  <c r="AC20" i="1" l="1"/>
  <c r="Q21" i="1"/>
  <c r="R21" i="1" s="1"/>
  <c r="AC21" i="1"/>
  <c r="N22" i="1"/>
  <c r="B24" i="1"/>
  <c r="M24" i="1" s="1"/>
  <c r="K23" i="1"/>
  <c r="N23" i="1" s="1"/>
  <c r="O23" i="1" l="1"/>
  <c r="W23" i="1"/>
  <c r="X23" i="1" s="1"/>
  <c r="Z23" i="1" s="1"/>
  <c r="AA23" i="1" s="1"/>
  <c r="O22" i="1"/>
  <c r="AC22" i="1" s="1"/>
  <c r="W22" i="1"/>
  <c r="X22" i="1" s="1"/>
  <c r="Z22" i="1" s="1"/>
  <c r="AA22" i="1" s="1"/>
  <c r="Q22" i="1"/>
  <c r="R22" i="1" s="1"/>
  <c r="B25" i="1"/>
  <c r="M25" i="1" s="1"/>
  <c r="K24" i="1"/>
  <c r="AC23" i="1" l="1"/>
  <c r="Q23" i="1"/>
  <c r="R23" i="1" s="1"/>
  <c r="N24" i="1"/>
  <c r="B26" i="1"/>
  <c r="M26" i="1" s="1"/>
  <c r="K25" i="1"/>
  <c r="N25" i="1" s="1"/>
  <c r="O25" i="1" l="1"/>
  <c r="W25" i="1"/>
  <c r="X25" i="1" s="1"/>
  <c r="Z25" i="1" s="1"/>
  <c r="AA25" i="1" s="1"/>
  <c r="O24" i="1"/>
  <c r="W24" i="1"/>
  <c r="X24" i="1" s="1"/>
  <c r="Z24" i="1" s="1"/>
  <c r="AA24" i="1" s="1"/>
  <c r="B27" i="1"/>
  <c r="M27" i="1" s="1"/>
  <c r="K26" i="1"/>
  <c r="N26" i="1" s="1"/>
  <c r="AC24" i="1" l="1"/>
  <c r="AC25" i="1"/>
  <c r="Q24" i="1"/>
  <c r="R24" i="1" s="1"/>
  <c r="Q25" i="1"/>
  <c r="R25" i="1" s="1"/>
  <c r="O26" i="1"/>
  <c r="W26" i="1"/>
  <c r="X26" i="1" s="1"/>
  <c r="Z26" i="1" s="1"/>
  <c r="AA26" i="1" s="1"/>
  <c r="B28" i="1"/>
  <c r="M28" i="1" s="1"/>
  <c r="K27" i="1"/>
  <c r="N27" i="1" s="1"/>
  <c r="Q26" i="1" l="1"/>
  <c r="R26" i="1" s="1"/>
  <c r="AC26" i="1"/>
  <c r="O27" i="1"/>
  <c r="W27" i="1"/>
  <c r="X27" i="1" s="1"/>
  <c r="Z27" i="1" s="1"/>
  <c r="AA27" i="1" s="1"/>
  <c r="B29" i="1"/>
  <c r="M29" i="1" s="1"/>
  <c r="K28" i="1"/>
  <c r="Q27" i="1" l="1"/>
  <c r="R27" i="1" s="1"/>
  <c r="AC27" i="1"/>
  <c r="N28" i="1"/>
  <c r="B30" i="1"/>
  <c r="M30" i="1" s="1"/>
  <c r="K29" i="1"/>
  <c r="O28" i="1" l="1"/>
  <c r="W28" i="1"/>
  <c r="X28" i="1" s="1"/>
  <c r="Z28" i="1" s="1"/>
  <c r="AA28" i="1" s="1"/>
  <c r="N29" i="1"/>
  <c r="B31" i="1"/>
  <c r="M31" i="1" s="1"/>
  <c r="K30" i="1"/>
  <c r="Q28" i="1" l="1"/>
  <c r="R28" i="1" s="1"/>
  <c r="AC28" i="1"/>
  <c r="O29" i="1"/>
  <c r="W29" i="1"/>
  <c r="X29" i="1" s="1"/>
  <c r="Z29" i="1" s="1"/>
  <c r="AA29" i="1" s="1"/>
  <c r="N30" i="1"/>
  <c r="B32" i="1"/>
  <c r="M32" i="1" s="1"/>
  <c r="K31" i="1"/>
  <c r="N31" i="1" s="1"/>
  <c r="Q29" i="1" l="1"/>
  <c r="R29" i="1" s="1"/>
  <c r="AC29" i="1"/>
  <c r="O30" i="1"/>
  <c r="W30" i="1"/>
  <c r="X30" i="1" s="1"/>
  <c r="Z30" i="1" s="1"/>
  <c r="AA30" i="1" s="1"/>
  <c r="O31" i="1"/>
  <c r="AC31" i="1" s="1"/>
  <c r="W31" i="1"/>
  <c r="X31" i="1" s="1"/>
  <c r="Z31" i="1" s="1"/>
  <c r="AA31" i="1" s="1"/>
  <c r="B33" i="1"/>
  <c r="M33" i="1" s="1"/>
  <c r="K32" i="1"/>
  <c r="N32" i="1" s="1"/>
  <c r="AC30" i="1" l="1"/>
  <c r="Q31" i="1"/>
  <c r="R31" i="1" s="1"/>
  <c r="Q30" i="1"/>
  <c r="R30" i="1" s="1"/>
  <c r="O32" i="1"/>
  <c r="W32" i="1"/>
  <c r="X32" i="1" s="1"/>
  <c r="Z32" i="1" s="1"/>
  <c r="AA32" i="1" s="1"/>
  <c r="B34" i="1"/>
  <c r="M34" i="1" s="1"/>
  <c r="K33" i="1"/>
  <c r="N33" i="1" s="1"/>
  <c r="AC32" i="1" l="1"/>
  <c r="Q32" i="1"/>
  <c r="R32" i="1" s="1"/>
  <c r="O33" i="1"/>
  <c r="W33" i="1"/>
  <c r="X33" i="1" s="1"/>
  <c r="Z33" i="1" s="1"/>
  <c r="AA33" i="1" s="1"/>
  <c r="B35" i="1"/>
  <c r="M35" i="1" s="1"/>
  <c r="K34" i="1"/>
  <c r="N34" i="1" s="1"/>
  <c r="Q33" i="1" l="1"/>
  <c r="R33" i="1" s="1"/>
  <c r="AC33" i="1"/>
  <c r="O34" i="1"/>
  <c r="W34" i="1"/>
  <c r="X34" i="1" s="1"/>
  <c r="Z34" i="1" s="1"/>
  <c r="AA34" i="1" s="1"/>
  <c r="B36" i="1"/>
  <c r="M36" i="1" s="1"/>
  <c r="K35" i="1"/>
  <c r="N35" i="1" s="1"/>
  <c r="Q34" i="1" l="1"/>
  <c r="R34" i="1" s="1"/>
  <c r="AC34" i="1"/>
  <c r="O35" i="1"/>
  <c r="W35" i="1"/>
  <c r="X35" i="1" s="1"/>
  <c r="Z35" i="1" s="1"/>
  <c r="AA35" i="1" s="1"/>
  <c r="B37" i="1"/>
  <c r="M37" i="1" s="1"/>
  <c r="K36" i="1"/>
  <c r="AC35" i="1" l="1"/>
  <c r="Q35" i="1"/>
  <c r="R35" i="1" s="1"/>
  <c r="N36" i="1"/>
  <c r="B38" i="1"/>
  <c r="M38" i="1" s="1"/>
  <c r="K37" i="1"/>
  <c r="O36" i="1" l="1"/>
  <c r="AC36" i="1" s="1"/>
  <c r="W36" i="1"/>
  <c r="X36" i="1" s="1"/>
  <c r="Z36" i="1" s="1"/>
  <c r="AA36" i="1" s="1"/>
  <c r="N37" i="1"/>
  <c r="B39" i="1"/>
  <c r="M39" i="1" s="1"/>
  <c r="K38" i="1"/>
  <c r="Q36" i="1" l="1"/>
  <c r="R36" i="1" s="1"/>
  <c r="O37" i="1"/>
  <c r="W37" i="1"/>
  <c r="X37" i="1" s="1"/>
  <c r="Z37" i="1" s="1"/>
  <c r="AA37" i="1" s="1"/>
  <c r="N38" i="1"/>
  <c r="B40" i="1"/>
  <c r="M40" i="1" s="1"/>
  <c r="K39" i="1"/>
  <c r="N39" i="1" s="1"/>
  <c r="Q37" i="1" l="1"/>
  <c r="R37" i="1" s="1"/>
  <c r="AC37" i="1"/>
  <c r="O39" i="1"/>
  <c r="W39" i="1"/>
  <c r="X39" i="1" s="1"/>
  <c r="Z39" i="1" s="1"/>
  <c r="AA39" i="1" s="1"/>
  <c r="O38" i="1"/>
  <c r="W38" i="1"/>
  <c r="X38" i="1" s="1"/>
  <c r="Z38" i="1" s="1"/>
  <c r="AA38" i="1" s="1"/>
  <c r="B41" i="1"/>
  <c r="M41" i="1" s="1"/>
  <c r="K40" i="1"/>
  <c r="Q39" i="1" l="1"/>
  <c r="R39" i="1" s="1"/>
  <c r="AC39" i="1"/>
  <c r="Q38" i="1"/>
  <c r="R38" i="1" s="1"/>
  <c r="AC38" i="1"/>
  <c r="N40" i="1"/>
  <c r="B42" i="1"/>
  <c r="M42" i="1" s="1"/>
  <c r="K41" i="1"/>
  <c r="N41" i="1" s="1"/>
  <c r="O41" i="1" l="1"/>
  <c r="W41" i="1"/>
  <c r="X41" i="1" s="1"/>
  <c r="Z41" i="1" s="1"/>
  <c r="AA41" i="1" s="1"/>
  <c r="O40" i="1"/>
  <c r="W40" i="1"/>
  <c r="X40" i="1" s="1"/>
  <c r="Z40" i="1" s="1"/>
  <c r="AA40" i="1" s="1"/>
  <c r="B43" i="1"/>
  <c r="M43" i="1" s="1"/>
  <c r="K42" i="1"/>
  <c r="N42" i="1" s="1"/>
  <c r="AC40" i="1" l="1"/>
  <c r="AC41" i="1"/>
  <c r="Q40" i="1"/>
  <c r="R40" i="1" s="1"/>
  <c r="Q41" i="1"/>
  <c r="R41" i="1" s="1"/>
  <c r="O42" i="1"/>
  <c r="W42" i="1"/>
  <c r="X42" i="1" s="1"/>
  <c r="Z42" i="1" s="1"/>
  <c r="AA42" i="1" s="1"/>
  <c r="B44" i="1"/>
  <c r="M44" i="1" s="1"/>
  <c r="K43" i="1"/>
  <c r="AC42" i="1" l="1"/>
  <c r="Q42" i="1"/>
  <c r="R42" i="1" s="1"/>
  <c r="N43" i="1"/>
  <c r="B45" i="1"/>
  <c r="M45" i="1" s="1"/>
  <c r="K44" i="1"/>
  <c r="O43" i="1" l="1"/>
  <c r="W43" i="1"/>
  <c r="X43" i="1" s="1"/>
  <c r="Z43" i="1" s="1"/>
  <c r="AA43" i="1" s="1"/>
  <c r="N44" i="1"/>
  <c r="B46" i="1"/>
  <c r="M46" i="1" s="1"/>
  <c r="K45" i="1"/>
  <c r="Q43" i="1" l="1"/>
  <c r="R43" i="1" s="1"/>
  <c r="AC43" i="1"/>
  <c r="O44" i="1"/>
  <c r="W44" i="1"/>
  <c r="X44" i="1" s="1"/>
  <c r="Z44" i="1" s="1"/>
  <c r="AA44" i="1" s="1"/>
  <c r="N45" i="1"/>
  <c r="B47" i="1"/>
  <c r="M47" i="1" s="1"/>
  <c r="K46" i="1"/>
  <c r="AC44" i="1" l="1"/>
  <c r="Q44" i="1"/>
  <c r="R44" i="1" s="1"/>
  <c r="O45" i="1"/>
  <c r="W45" i="1"/>
  <c r="X45" i="1" s="1"/>
  <c r="Z45" i="1" s="1"/>
  <c r="AA45" i="1" s="1"/>
  <c r="N46" i="1"/>
  <c r="B48" i="1"/>
  <c r="M48" i="1" s="1"/>
  <c r="K47" i="1"/>
  <c r="N47" i="1" s="1"/>
  <c r="AC45" i="1" l="1"/>
  <c r="Q45" i="1"/>
  <c r="R45" i="1" s="1"/>
  <c r="O46" i="1"/>
  <c r="W46" i="1"/>
  <c r="X46" i="1" s="1"/>
  <c r="Z46" i="1" s="1"/>
  <c r="AA46" i="1" s="1"/>
  <c r="O47" i="1"/>
  <c r="W47" i="1"/>
  <c r="X47" i="1" s="1"/>
  <c r="Z47" i="1" s="1"/>
  <c r="AA47" i="1" s="1"/>
  <c r="B49" i="1"/>
  <c r="M49" i="1" s="1"/>
  <c r="K48" i="1"/>
  <c r="N48" i="1" s="1"/>
  <c r="Q46" i="1" l="1"/>
  <c r="R46" i="1" s="1"/>
  <c r="AC46" i="1"/>
  <c r="Q47" i="1"/>
  <c r="R47" i="1" s="1"/>
  <c r="AC47" i="1"/>
  <c r="O48" i="1"/>
  <c r="AC48" i="1" s="1"/>
  <c r="W48" i="1"/>
  <c r="X48" i="1" s="1"/>
  <c r="Z48" i="1" s="1"/>
  <c r="AA48" i="1" s="1"/>
  <c r="B50" i="1"/>
  <c r="M50" i="1" s="1"/>
  <c r="K49" i="1"/>
  <c r="N49" i="1" s="1"/>
  <c r="Q48" i="1" l="1"/>
  <c r="R48" i="1" s="1"/>
  <c r="O49" i="1"/>
  <c r="W49" i="1"/>
  <c r="X49" i="1" s="1"/>
  <c r="Z49" i="1" s="1"/>
  <c r="AA49" i="1" s="1"/>
  <c r="B51" i="1"/>
  <c r="M51" i="1" s="1"/>
  <c r="K50" i="1"/>
  <c r="N50" i="1" s="1"/>
  <c r="Q49" i="1" l="1"/>
  <c r="R49" i="1" s="1"/>
  <c r="AC49" i="1"/>
  <c r="O50" i="1"/>
  <c r="W50" i="1"/>
  <c r="X50" i="1" s="1"/>
  <c r="Z50" i="1" s="1"/>
  <c r="AA50" i="1" s="1"/>
  <c r="B52" i="1"/>
  <c r="M52" i="1" s="1"/>
  <c r="K51" i="1"/>
  <c r="N51" i="1" s="1"/>
  <c r="AC50" i="1" l="1"/>
  <c r="Q50" i="1"/>
  <c r="R50" i="1" s="1"/>
  <c r="O51" i="1"/>
  <c r="W51" i="1"/>
  <c r="X51" i="1" s="1"/>
  <c r="Z51" i="1" s="1"/>
  <c r="AA51" i="1" s="1"/>
  <c r="B53" i="1"/>
  <c r="M53" i="1" s="1"/>
  <c r="K52" i="1"/>
  <c r="Q51" i="1" l="1"/>
  <c r="R51" i="1" s="1"/>
  <c r="AC51" i="1"/>
  <c r="N52" i="1"/>
  <c r="B54" i="1"/>
  <c r="M54" i="1" s="1"/>
  <c r="K53" i="1"/>
  <c r="O52" i="1" l="1"/>
  <c r="W52" i="1"/>
  <c r="X52" i="1" s="1"/>
  <c r="Z52" i="1" s="1"/>
  <c r="AA52" i="1" s="1"/>
  <c r="N53" i="1"/>
  <c r="B55" i="1"/>
  <c r="M55" i="1" s="1"/>
  <c r="K54" i="1"/>
  <c r="AC52" i="1" l="1"/>
  <c r="Q52" i="1"/>
  <c r="R52" i="1" s="1"/>
  <c r="O53" i="1"/>
  <c r="W53" i="1"/>
  <c r="X53" i="1" s="1"/>
  <c r="Z53" i="1" s="1"/>
  <c r="AA53" i="1" s="1"/>
  <c r="N54" i="1"/>
  <c r="B56" i="1"/>
  <c r="M56" i="1" s="1"/>
  <c r="K55" i="1"/>
  <c r="N55" i="1" s="1"/>
  <c r="AC53" i="1" l="1"/>
  <c r="Q53" i="1"/>
  <c r="R53" i="1" s="1"/>
  <c r="O54" i="1"/>
  <c r="W54" i="1"/>
  <c r="X54" i="1" s="1"/>
  <c r="Z54" i="1" s="1"/>
  <c r="AA54" i="1" s="1"/>
  <c r="O55" i="1"/>
  <c r="AC55" i="1" s="1"/>
  <c r="W55" i="1"/>
  <c r="X55" i="1" s="1"/>
  <c r="Z55" i="1" s="1"/>
  <c r="AA55" i="1" s="1"/>
  <c r="B57" i="1"/>
  <c r="M57" i="1" s="1"/>
  <c r="K56" i="1"/>
  <c r="AC54" i="1" l="1"/>
  <c r="Q55" i="1"/>
  <c r="R55" i="1" s="1"/>
  <c r="Q54" i="1"/>
  <c r="R54" i="1" s="1"/>
  <c r="N56" i="1"/>
  <c r="B58" i="1"/>
  <c r="M58" i="1" s="1"/>
  <c r="K57" i="1"/>
  <c r="N57" i="1" s="1"/>
  <c r="O57" i="1" l="1"/>
  <c r="W57" i="1"/>
  <c r="X57" i="1" s="1"/>
  <c r="Z57" i="1" s="1"/>
  <c r="AA57" i="1" s="1"/>
  <c r="O56" i="1"/>
  <c r="W56" i="1"/>
  <c r="X56" i="1" s="1"/>
  <c r="Z56" i="1" s="1"/>
  <c r="AA56" i="1" s="1"/>
  <c r="B59" i="1"/>
  <c r="M59" i="1" s="1"/>
  <c r="K58" i="1"/>
  <c r="N58" i="1" s="1"/>
  <c r="AC56" i="1" l="1"/>
  <c r="AC57" i="1"/>
  <c r="Q56" i="1"/>
  <c r="R56" i="1" s="1"/>
  <c r="Q57" i="1"/>
  <c r="R57" i="1" s="1"/>
  <c r="O58" i="1"/>
  <c r="W58" i="1"/>
  <c r="X58" i="1" s="1"/>
  <c r="Z58" i="1" s="1"/>
  <c r="AA58" i="1" s="1"/>
  <c r="B60" i="1"/>
  <c r="M60" i="1" s="1"/>
  <c r="K59" i="1"/>
  <c r="N59" i="1" s="1"/>
  <c r="AC58" i="1" l="1"/>
  <c r="Q58" i="1"/>
  <c r="R58" i="1" s="1"/>
  <c r="O59" i="1"/>
  <c r="W59" i="1"/>
  <c r="X59" i="1" s="1"/>
  <c r="Z59" i="1" s="1"/>
  <c r="AA59" i="1" s="1"/>
  <c r="B61" i="1"/>
  <c r="M61" i="1" s="1"/>
  <c r="K60" i="1"/>
  <c r="AC59" i="1" l="1"/>
  <c r="Q59" i="1"/>
  <c r="R59" i="1" s="1"/>
  <c r="N60" i="1"/>
  <c r="B62" i="1"/>
  <c r="M62" i="1" s="1"/>
  <c r="K61" i="1"/>
  <c r="O60" i="1" l="1"/>
  <c r="W60" i="1"/>
  <c r="X60" i="1" s="1"/>
  <c r="Z60" i="1" s="1"/>
  <c r="AA60" i="1" s="1"/>
  <c r="N61" i="1"/>
  <c r="B63" i="1"/>
  <c r="M63" i="1" s="1"/>
  <c r="K62" i="1"/>
  <c r="AC60" i="1" l="1"/>
  <c r="Q60" i="1"/>
  <c r="R60" i="1" s="1"/>
  <c r="O61" i="1"/>
  <c r="W61" i="1"/>
  <c r="X61" i="1" s="1"/>
  <c r="Z61" i="1" s="1"/>
  <c r="AA61" i="1" s="1"/>
  <c r="N62" i="1"/>
  <c r="B64" i="1"/>
  <c r="M64" i="1" s="1"/>
  <c r="K63" i="1"/>
  <c r="N63" i="1" s="1"/>
  <c r="Q61" i="1" l="1"/>
  <c r="R61" i="1" s="1"/>
  <c r="AC61" i="1"/>
  <c r="O62" i="1"/>
  <c r="W62" i="1"/>
  <c r="X62" i="1" s="1"/>
  <c r="Z62" i="1" s="1"/>
  <c r="AA62" i="1" s="1"/>
  <c r="O63" i="1"/>
  <c r="AC63" i="1" s="1"/>
  <c r="W63" i="1"/>
  <c r="X63" i="1" s="1"/>
  <c r="Z63" i="1" s="1"/>
  <c r="AA63" i="1" s="1"/>
  <c r="B65" i="1"/>
  <c r="M65" i="1" s="1"/>
  <c r="K64" i="1"/>
  <c r="N64" i="1" s="1"/>
  <c r="AC62" i="1" l="1"/>
  <c r="Q63" i="1"/>
  <c r="R63" i="1" s="1"/>
  <c r="Q62" i="1"/>
  <c r="R62" i="1" s="1"/>
  <c r="O64" i="1"/>
  <c r="W64" i="1"/>
  <c r="X64" i="1" s="1"/>
  <c r="Z64" i="1" s="1"/>
  <c r="AA64" i="1" s="1"/>
  <c r="B66" i="1"/>
  <c r="M66" i="1" s="1"/>
  <c r="K65" i="1"/>
  <c r="N65" i="1" s="1"/>
  <c r="AC64" i="1" l="1"/>
  <c r="Q64" i="1"/>
  <c r="R64" i="1" s="1"/>
  <c r="O65" i="1"/>
  <c r="W65" i="1"/>
  <c r="X65" i="1" s="1"/>
  <c r="Z65" i="1" s="1"/>
  <c r="AA65" i="1" s="1"/>
  <c r="Q65" i="1"/>
  <c r="R65" i="1" s="1"/>
  <c r="B67" i="1"/>
  <c r="M67" i="1" s="1"/>
  <c r="K66" i="1"/>
  <c r="N66" i="1" s="1"/>
  <c r="AC65" i="1" l="1"/>
  <c r="O66" i="1"/>
  <c r="W66" i="1"/>
  <c r="X66" i="1" s="1"/>
  <c r="Z66" i="1" s="1"/>
  <c r="AA66" i="1" s="1"/>
  <c r="B68" i="1"/>
  <c r="M68" i="1" s="1"/>
  <c r="K67" i="1"/>
  <c r="Q66" i="1" l="1"/>
  <c r="R66" i="1" s="1"/>
  <c r="AC66" i="1"/>
  <c r="N67" i="1"/>
  <c r="B69" i="1"/>
  <c r="M69" i="1" s="1"/>
  <c r="K68" i="1"/>
  <c r="O67" i="1" l="1"/>
  <c r="W67" i="1"/>
  <c r="X67" i="1" s="1"/>
  <c r="Z67" i="1" s="1"/>
  <c r="AA67" i="1" s="1"/>
  <c r="N68" i="1"/>
  <c r="B70" i="1"/>
  <c r="M70" i="1" s="1"/>
  <c r="K69" i="1"/>
  <c r="Q67" i="1" l="1"/>
  <c r="R67" i="1" s="1"/>
  <c r="AC67" i="1"/>
  <c r="O68" i="1"/>
  <c r="W68" i="1"/>
  <c r="X68" i="1" s="1"/>
  <c r="Z68" i="1" s="1"/>
  <c r="AA68" i="1" s="1"/>
  <c r="N69" i="1"/>
  <c r="B71" i="1"/>
  <c r="M71" i="1" s="1"/>
  <c r="K70" i="1"/>
  <c r="Q68" i="1" l="1"/>
  <c r="R68" i="1" s="1"/>
  <c r="AC68" i="1"/>
  <c r="O69" i="1"/>
  <c r="W69" i="1"/>
  <c r="X69" i="1" s="1"/>
  <c r="Z69" i="1" s="1"/>
  <c r="AA69" i="1" s="1"/>
  <c r="N70" i="1"/>
  <c r="B72" i="1"/>
  <c r="M72" i="1" s="1"/>
  <c r="K71" i="1"/>
  <c r="N71" i="1" s="1"/>
  <c r="Q69" i="1" l="1"/>
  <c r="R69" i="1" s="1"/>
  <c r="AC69" i="1"/>
  <c r="O70" i="1"/>
  <c r="W70" i="1"/>
  <c r="X70" i="1" s="1"/>
  <c r="Z70" i="1" s="1"/>
  <c r="AA70" i="1" s="1"/>
  <c r="O71" i="1"/>
  <c r="W71" i="1"/>
  <c r="X71" i="1" s="1"/>
  <c r="Z71" i="1" s="1"/>
  <c r="AA71" i="1" s="1"/>
  <c r="B73" i="1"/>
  <c r="M73" i="1" s="1"/>
  <c r="K72" i="1"/>
  <c r="Q71" i="1" l="1"/>
  <c r="R71" i="1" s="1"/>
  <c r="AC71" i="1"/>
  <c r="AC70" i="1"/>
  <c r="Q70" i="1"/>
  <c r="R70" i="1" s="1"/>
  <c r="N72" i="1"/>
  <c r="B74" i="1"/>
  <c r="M74" i="1" s="1"/>
  <c r="K73" i="1"/>
  <c r="N73" i="1" s="1"/>
  <c r="O73" i="1" l="1"/>
  <c r="W73" i="1"/>
  <c r="X73" i="1" s="1"/>
  <c r="Z73" i="1" s="1"/>
  <c r="AA73" i="1" s="1"/>
  <c r="O72" i="1"/>
  <c r="AC72" i="1" s="1"/>
  <c r="W72" i="1"/>
  <c r="X72" i="1" s="1"/>
  <c r="Z72" i="1" s="1"/>
  <c r="AA72" i="1" s="1"/>
  <c r="Q72" i="1"/>
  <c r="R72" i="1" s="1"/>
  <c r="B75" i="1"/>
  <c r="M75" i="1" s="1"/>
  <c r="K74" i="1"/>
  <c r="N74" i="1" s="1"/>
  <c r="Q73" i="1" l="1"/>
  <c r="R73" i="1" s="1"/>
  <c r="AC73" i="1"/>
  <c r="O74" i="1"/>
  <c r="W74" i="1"/>
  <c r="X74" i="1" s="1"/>
  <c r="Z74" i="1" s="1"/>
  <c r="AA74" i="1" s="1"/>
  <c r="B76" i="1"/>
  <c r="M76" i="1" s="1"/>
  <c r="K75" i="1"/>
  <c r="N75" i="1" s="1"/>
  <c r="Q74" i="1" l="1"/>
  <c r="R74" i="1" s="1"/>
  <c r="AC74" i="1"/>
  <c r="O75" i="1"/>
  <c r="W75" i="1"/>
  <c r="X75" i="1" s="1"/>
  <c r="Z75" i="1" s="1"/>
  <c r="AA75" i="1" s="1"/>
  <c r="B77" i="1"/>
  <c r="M77" i="1" s="1"/>
  <c r="K76" i="1"/>
  <c r="N76" i="1" s="1"/>
  <c r="AC75" i="1" l="1"/>
  <c r="O76" i="1"/>
  <c r="W76" i="1"/>
  <c r="X76" i="1" s="1"/>
  <c r="Z76" i="1" s="1"/>
  <c r="AA76" i="1" s="1"/>
  <c r="Q75" i="1"/>
  <c r="R75" i="1" s="1"/>
  <c r="B78" i="1"/>
  <c r="M78" i="1" s="1"/>
  <c r="K77" i="1"/>
  <c r="AC76" i="1" l="1"/>
  <c r="Q76" i="1"/>
  <c r="R76" i="1" s="1"/>
  <c r="N77" i="1"/>
  <c r="B79" i="1"/>
  <c r="M79" i="1" s="1"/>
  <c r="K78" i="1"/>
  <c r="N78" i="1" s="1"/>
  <c r="O77" i="1" l="1"/>
  <c r="Q77" i="1" s="1"/>
  <c r="R77" i="1" s="1"/>
  <c r="W77" i="1"/>
  <c r="X77" i="1" s="1"/>
  <c r="Z77" i="1" s="1"/>
  <c r="AA77" i="1" s="1"/>
  <c r="O78" i="1"/>
  <c r="AC78" i="1" s="1"/>
  <c r="W78" i="1"/>
  <c r="X78" i="1" s="1"/>
  <c r="Z78" i="1" s="1"/>
  <c r="AA78" i="1" s="1"/>
  <c r="Q78" i="1"/>
  <c r="R78" i="1" s="1"/>
  <c r="B80" i="1"/>
  <c r="M80" i="1" s="1"/>
  <c r="K79" i="1"/>
  <c r="N79" i="1" s="1"/>
  <c r="AC77" i="1" l="1"/>
  <c r="O79" i="1"/>
  <c r="W79" i="1"/>
  <c r="X79" i="1" s="1"/>
  <c r="Z79" i="1" s="1"/>
  <c r="AA79" i="1" s="1"/>
  <c r="B81" i="1"/>
  <c r="M81" i="1" s="1"/>
  <c r="K80" i="1"/>
  <c r="N80" i="1" s="1"/>
  <c r="AC79" i="1" l="1"/>
  <c r="Q79" i="1"/>
  <c r="R79" i="1" s="1"/>
  <c r="O80" i="1"/>
  <c r="W80" i="1"/>
  <c r="X80" i="1" s="1"/>
  <c r="Z80" i="1" s="1"/>
  <c r="AA80" i="1" s="1"/>
  <c r="B82" i="1"/>
  <c r="M82" i="1" s="1"/>
  <c r="K81" i="1"/>
  <c r="AC80" i="1" l="1"/>
  <c r="Q80" i="1"/>
  <c r="R80" i="1" s="1"/>
  <c r="N81" i="1"/>
  <c r="B83" i="1"/>
  <c r="M83" i="1" s="1"/>
  <c r="K82" i="1"/>
  <c r="N82" i="1" s="1"/>
  <c r="O82" i="1" l="1"/>
  <c r="AC82" i="1" s="1"/>
  <c r="W82" i="1"/>
  <c r="X82" i="1" s="1"/>
  <c r="Z82" i="1" s="1"/>
  <c r="AA82" i="1" s="1"/>
  <c r="O81" i="1"/>
  <c r="W81" i="1"/>
  <c r="X81" i="1" s="1"/>
  <c r="Z81" i="1" s="1"/>
  <c r="AA81" i="1" s="1"/>
  <c r="Q82" i="1"/>
  <c r="R82" i="1" s="1"/>
  <c r="B84" i="1"/>
  <c r="M84" i="1" s="1"/>
  <c r="K83" i="1"/>
  <c r="N83" i="1" s="1"/>
  <c r="Q81" i="1" l="1"/>
  <c r="R81" i="1" s="1"/>
  <c r="AC81" i="1"/>
  <c r="O83" i="1"/>
  <c r="W83" i="1"/>
  <c r="X83" i="1" s="1"/>
  <c r="Z83" i="1" s="1"/>
  <c r="AA83" i="1" s="1"/>
  <c r="B85" i="1"/>
  <c r="M85" i="1" s="1"/>
  <c r="K84" i="1"/>
  <c r="AC83" i="1" l="1"/>
  <c r="Q83" i="1"/>
  <c r="R83" i="1" s="1"/>
  <c r="N84" i="1"/>
  <c r="B86" i="1"/>
  <c r="M86" i="1" s="1"/>
  <c r="K85" i="1"/>
  <c r="O84" i="1" l="1"/>
  <c r="W84" i="1"/>
  <c r="X84" i="1" s="1"/>
  <c r="Z84" i="1" s="1"/>
  <c r="AA84" i="1" s="1"/>
  <c r="N85" i="1"/>
  <c r="B87" i="1"/>
  <c r="M87" i="1" s="1"/>
  <c r="K86" i="1"/>
  <c r="AC84" i="1" l="1"/>
  <c r="O85" i="1"/>
  <c r="W85" i="1"/>
  <c r="X85" i="1" s="1"/>
  <c r="Z85" i="1" s="1"/>
  <c r="AA85" i="1" s="1"/>
  <c r="Q84" i="1"/>
  <c r="R84" i="1" s="1"/>
  <c r="N86" i="1"/>
  <c r="B88" i="1"/>
  <c r="M88" i="1" s="1"/>
  <c r="K87" i="1"/>
  <c r="N87" i="1" s="1"/>
  <c r="AC85" i="1" l="1"/>
  <c r="Q85" i="1"/>
  <c r="R85" i="1" s="1"/>
  <c r="O86" i="1"/>
  <c r="W86" i="1"/>
  <c r="X86" i="1" s="1"/>
  <c r="Z86" i="1" s="1"/>
  <c r="AA86" i="1" s="1"/>
  <c r="O87" i="1"/>
  <c r="W87" i="1"/>
  <c r="X87" i="1" s="1"/>
  <c r="Z87" i="1" s="1"/>
  <c r="AA87" i="1" s="1"/>
  <c r="B89" i="1"/>
  <c r="M89" i="1" s="1"/>
  <c r="K88" i="1"/>
  <c r="AC86" i="1" l="1"/>
  <c r="AC87" i="1"/>
  <c r="Q87" i="1"/>
  <c r="R87" i="1" s="1"/>
  <c r="Q86" i="1"/>
  <c r="R86" i="1" s="1"/>
  <c r="N88" i="1"/>
  <c r="B90" i="1"/>
  <c r="M90" i="1" s="1"/>
  <c r="K89" i="1"/>
  <c r="N89" i="1" s="1"/>
  <c r="O89" i="1" l="1"/>
  <c r="W89" i="1"/>
  <c r="X89" i="1" s="1"/>
  <c r="Z89" i="1" s="1"/>
  <c r="AA89" i="1" s="1"/>
  <c r="O88" i="1"/>
  <c r="AC88" i="1" s="1"/>
  <c r="W88" i="1"/>
  <c r="X88" i="1" s="1"/>
  <c r="Z88" i="1" s="1"/>
  <c r="AA88" i="1" s="1"/>
  <c r="Q88" i="1"/>
  <c r="R88" i="1" s="1"/>
  <c r="B91" i="1"/>
  <c r="M91" i="1" s="1"/>
  <c r="K90" i="1"/>
  <c r="N90" i="1" s="1"/>
  <c r="AC89" i="1" l="1"/>
  <c r="O90" i="1"/>
  <c r="W90" i="1"/>
  <c r="X90" i="1" s="1"/>
  <c r="Z90" i="1" s="1"/>
  <c r="AA90" i="1" s="1"/>
  <c r="Q89" i="1"/>
  <c r="R89" i="1" s="1"/>
  <c r="B92" i="1"/>
  <c r="M92" i="1" s="1"/>
  <c r="K91" i="1"/>
  <c r="Q90" i="1" l="1"/>
  <c r="R90" i="1" s="1"/>
  <c r="AC90" i="1"/>
  <c r="N91" i="1"/>
  <c r="B93" i="1"/>
  <c r="M93" i="1" s="1"/>
  <c r="K92" i="1"/>
  <c r="O91" i="1" l="1"/>
  <c r="W91" i="1"/>
  <c r="X91" i="1" s="1"/>
  <c r="Z91" i="1" s="1"/>
  <c r="AA91" i="1" s="1"/>
  <c r="N92" i="1"/>
  <c r="B94" i="1"/>
  <c r="M94" i="1" s="1"/>
  <c r="K93" i="1"/>
  <c r="AC91" i="1" l="1"/>
  <c r="Q91" i="1"/>
  <c r="R91" i="1" s="1"/>
  <c r="O92" i="1"/>
  <c r="W92" i="1"/>
  <c r="X92" i="1" s="1"/>
  <c r="Z92" i="1" s="1"/>
  <c r="AA92" i="1" s="1"/>
  <c r="N93" i="1"/>
  <c r="B95" i="1"/>
  <c r="M95" i="1" s="1"/>
  <c r="K94" i="1"/>
  <c r="Q92" i="1" l="1"/>
  <c r="R92" i="1" s="1"/>
  <c r="AC92" i="1"/>
  <c r="O93" i="1"/>
  <c r="W93" i="1"/>
  <c r="X93" i="1" s="1"/>
  <c r="Z93" i="1" s="1"/>
  <c r="AA93" i="1" s="1"/>
  <c r="N94" i="1"/>
  <c r="B96" i="1"/>
  <c r="M96" i="1" s="1"/>
  <c r="K95" i="1"/>
  <c r="N95" i="1" s="1"/>
  <c r="AC93" i="1" l="1"/>
  <c r="Q93" i="1"/>
  <c r="R93" i="1" s="1"/>
  <c r="O94" i="1"/>
  <c r="W94" i="1"/>
  <c r="X94" i="1" s="1"/>
  <c r="Z94" i="1" s="1"/>
  <c r="AA94" i="1" s="1"/>
  <c r="O95" i="1"/>
  <c r="AC95" i="1" s="1"/>
  <c r="W95" i="1"/>
  <c r="X95" i="1" s="1"/>
  <c r="Z95" i="1" s="1"/>
  <c r="AA95" i="1" s="1"/>
  <c r="K96" i="1"/>
  <c r="AC94" i="1" l="1"/>
  <c r="Q95" i="1"/>
  <c r="R95" i="1" s="1"/>
  <c r="Q94" i="1"/>
  <c r="R94" i="1" s="1"/>
  <c r="N96" i="1"/>
  <c r="O96" i="1" l="1"/>
  <c r="W96" i="1"/>
  <c r="X96" i="1" s="1"/>
  <c r="Z96" i="1" s="1"/>
  <c r="AA96" i="1" s="1"/>
  <c r="AC96" i="1" l="1"/>
  <c r="Q96" i="1"/>
  <c r="R9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N9" authorId="0" shapeId="0" xr:uid="{13BC0F3B-A2A3-604E-8642-09B1D0544032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The displacement of one cylinder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F5" authorId="0" shapeId="0" xr:uid="{2F4B633C-CBDC-334F-AE99-9E48CDFC4375}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converts litres/minute into kg/sec</t>
        </r>
      </text>
    </comment>
  </commentList>
</comments>
</file>

<file path=xl/sharedStrings.xml><?xml version="1.0" encoding="utf-8"?>
<sst xmlns="http://schemas.openxmlformats.org/spreadsheetml/2006/main" count="66" uniqueCount="58">
  <si>
    <t>Humidity</t>
  </si>
  <si>
    <t>Ambient temp</t>
  </si>
  <si>
    <t>%</t>
  </si>
  <si>
    <t>Newtons</t>
  </si>
  <si>
    <t>rpm</t>
  </si>
  <si>
    <t>l/min</t>
  </si>
  <si>
    <t>Nm</t>
  </si>
  <si>
    <t>m</t>
  </si>
  <si>
    <t>Corrected Power</t>
  </si>
  <si>
    <t>Thermal Efficiency</t>
  </si>
  <si>
    <t>BHP constant</t>
  </si>
  <si>
    <t>Arm length</t>
  </si>
  <si>
    <t>Bore</t>
  </si>
  <si>
    <t>Stroke</t>
  </si>
  <si>
    <t>Area of Bore</t>
  </si>
  <si>
    <t>No. of Cyclinders</t>
  </si>
  <si>
    <t>Brake Power</t>
  </si>
  <si>
    <t>K</t>
  </si>
  <si>
    <t>Bar</t>
  </si>
  <si>
    <t>kWatts</t>
  </si>
  <si>
    <t xml:space="preserve">Calorific Value </t>
  </si>
  <si>
    <t>kJ/kg</t>
  </si>
  <si>
    <t>Engine Capacity</t>
  </si>
  <si>
    <t>Swept Volume</t>
  </si>
  <si>
    <t>Watts</t>
  </si>
  <si>
    <t>kilo Watts</t>
  </si>
  <si>
    <t>kg/h</t>
  </si>
  <si>
    <t>g/kW.h</t>
  </si>
  <si>
    <t>Kg/kW.h</t>
  </si>
  <si>
    <t>Joules</t>
  </si>
  <si>
    <t>Mega Joules</t>
  </si>
  <si>
    <t>Ratio</t>
  </si>
  <si>
    <t>Symbol</t>
  </si>
  <si>
    <t>Unit</t>
  </si>
  <si>
    <t>Value</t>
  </si>
  <si>
    <t xml:space="preserve">C </t>
  </si>
  <si>
    <t>kilo Watt conversion  constant</t>
  </si>
  <si>
    <t>kW</t>
  </si>
  <si>
    <t>Formula</t>
  </si>
  <si>
    <r>
      <t>Load (</t>
    </r>
    <r>
      <rPr>
        <b/>
        <i/>
        <sz val="11"/>
        <color theme="1"/>
        <rFont val="Calibri"/>
        <family val="2"/>
        <scheme val="minor"/>
      </rPr>
      <t>W</t>
    </r>
    <r>
      <rPr>
        <b/>
        <sz val="11"/>
        <color theme="1"/>
        <rFont val="Calibri"/>
        <family val="2"/>
        <scheme val="minor"/>
      </rPr>
      <t>)</t>
    </r>
  </si>
  <si>
    <t>BRAKE POWER</t>
  </si>
  <si>
    <t>TORQUE</t>
  </si>
  <si>
    <t>FUEL ENERGY</t>
  </si>
  <si>
    <t>MECHANICAL ENERGY</t>
  </si>
  <si>
    <t>ENERGY EFFICIENCY</t>
  </si>
  <si>
    <t>kg/s</t>
  </si>
  <si>
    <t>litres/min * 0.75 * 60</t>
  </si>
  <si>
    <t>FUEL FLOW RATE</t>
  </si>
  <si>
    <t>LAMBDA</t>
  </si>
  <si>
    <t>DYNO SPEED</t>
  </si>
  <si>
    <r>
      <t xml:space="preserve">BRAKE SPECIFIC FUEL CONSUMPTION </t>
    </r>
    <r>
      <rPr>
        <b/>
        <i/>
        <sz val="11"/>
        <color theme="1"/>
        <rFont val="Calibri"/>
        <family val="2"/>
        <scheme val="minor"/>
      </rPr>
      <t>(SFC)</t>
    </r>
  </si>
  <si>
    <t>Atmospheric Pressure</t>
  </si>
  <si>
    <t xml:space="preserve">                       Engine Dynamometer Constants</t>
  </si>
  <si>
    <t>Engine Performance Characteristics: 2000-2001 1.6L Honda Vtec d16</t>
  </si>
  <si>
    <t xml:space="preserve">                                           BEng Motorcycle Engineering
                                           Vehicle Technology: ACHA4003
                                           Neil Sandilands: 2110674</t>
  </si>
  <si>
    <t>CONSTANTS</t>
  </si>
  <si>
    <t>DYNAMOMETER RESULTS</t>
  </si>
  <si>
    <t>COMPARISON GRAPHS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</si>
</sst>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5" formatCode="0.000"/>
    <numFmt numFmtId="166" formatCode="0.00000"/>
    <numFmt numFmtId="167" formatCode="0.000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mbria Math"/>
      <family val="1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 applyNumberForma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165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9" fontId="0" fillId="0" borderId="0" xfId="1" applyFont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3" xfId="0" applyBorder="1"/>
    <xf numFmtId="0" fontId="1" fillId="0" borderId="13" xfId="0" applyFont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 vertical="center"/>
    </xf>
    <xf numFmtId="165" fontId="0" fillId="4" borderId="0" xfId="0" applyNumberFormat="1" applyFill="1" applyAlignment="1">
      <alignment horizontal="center"/>
    </xf>
    <xf numFmtId="0" fontId="0" fillId="4" borderId="0" xfId="0" applyFill="1"/>
    <xf numFmtId="2" fontId="0" fillId="4" borderId="0" xfId="0" applyNumberFormat="1" applyFill="1" applyAlignment="1">
      <alignment horizontal="center"/>
    </xf>
    <xf numFmtId="0" fontId="8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1" fillId="3" borderId="14" xfId="0" applyFont="1" applyFill="1" applyBorder="1" applyAlignment="1">
      <alignment horizontal="center"/>
    </xf>
    <xf numFmtId="0" fontId="9" fillId="3" borderId="10" xfId="0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166" fontId="5" fillId="3" borderId="1" xfId="0" applyNumberFormat="1" applyFont="1" applyFill="1" applyBorder="1" applyAlignment="1">
      <alignment horizontal="center" vertical="center"/>
    </xf>
    <xf numFmtId="166" fontId="5" fillId="3" borderId="11" xfId="0" applyNumberFormat="1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14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5" fillId="0" borderId="10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0" fillId="0" borderId="1" xfId="0" applyBorder="1"/>
    <xf numFmtId="167" fontId="5" fillId="3" borderId="1" xfId="0" applyNumberFormat="1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/>
    </xf>
    <xf numFmtId="9" fontId="0" fillId="4" borderId="0" xfId="0" applyNumberFormat="1" applyFill="1" applyAlignment="1">
      <alignment horizontal="center"/>
    </xf>
    <xf numFmtId="0" fontId="12" fillId="0" borderId="0" xfId="0" applyFont="1"/>
    <xf numFmtId="0" fontId="0" fillId="0" borderId="3" xfId="0" applyBorder="1"/>
    <xf numFmtId="0" fontId="13" fillId="4" borderId="0" xfId="0" applyFont="1" applyFill="1" applyAlignment="1">
      <alignment horizontal="center"/>
    </xf>
    <xf numFmtId="0" fontId="14" fillId="4" borderId="0" xfId="0" applyFont="1" applyFill="1" applyAlignment="1">
      <alignment horizontal="center"/>
    </xf>
    <xf numFmtId="43" fontId="0" fillId="0" borderId="0" xfId="2" applyFont="1" applyAlignment="1">
      <alignment horizontal="center" vertical="center"/>
    </xf>
    <xf numFmtId="43" fontId="0" fillId="0" borderId="0" xfId="2" applyFont="1" applyAlignment="1">
      <alignment horizontal="left"/>
    </xf>
    <xf numFmtId="0" fontId="0" fillId="0" borderId="3" xfId="0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wrapText="1"/>
    </xf>
    <xf numFmtId="0" fontId="17" fillId="0" borderId="0" xfId="0" applyFont="1"/>
    <xf numFmtId="0" fontId="17" fillId="0" borderId="0" xfId="3" applyFont="1" applyAlignment="1">
      <alignment horizontal="left" vertical="center" wrapText="1"/>
    </xf>
  </cellXfs>
  <cellStyles count="4">
    <cellStyle name="Comma" xfId="2" builtinId="3"/>
    <cellStyle name="Hyperlink" xfId="3" builtinId="8"/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Lambda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BsC'!$H$6:$H$96</c:f>
              <c:numCache>
                <c:formatCode>0.000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D63-0848-80C7-0264BF2976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59789759"/>
        <c:axId val="1561015840"/>
      </c:lineChart>
      <c:catAx>
        <c:axId val="1059789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1015840"/>
        <c:crosses val="autoZero"/>
        <c:auto val="1"/>
        <c:lblAlgn val="ctr"/>
        <c:lblOffset val="100"/>
        <c:noMultiLvlLbl val="0"/>
      </c:catAx>
      <c:valAx>
        <c:axId val="1561015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97897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Specific Fuel Consumption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BsC'!$Q$6:$Q$96</c:f>
              <c:numCache>
                <c:formatCode>0.000</c:formatCode>
                <c:ptCount val="91"/>
                <c:pt idx="0">
                  <c:v>0.36033319717039375</c:v>
                </c:pt>
                <c:pt idx="1">
                  <c:v>0.35127171511629557</c:v>
                </c:pt>
                <c:pt idx="2">
                  <c:v>0.33825421789891574</c:v>
                </c:pt>
                <c:pt idx="3">
                  <c:v>0.31800168026526199</c:v>
                </c:pt>
                <c:pt idx="4">
                  <c:v>0.30673404003543375</c:v>
                </c:pt>
                <c:pt idx="5">
                  <c:v>0.30753486859790308</c:v>
                </c:pt>
                <c:pt idx="6">
                  <c:v>0.29054828779687847</c:v>
                </c:pt>
                <c:pt idx="7">
                  <c:v>0.27608973105910406</c:v>
                </c:pt>
                <c:pt idx="8">
                  <c:v>0.27323411188218094</c:v>
                </c:pt>
                <c:pt idx="9">
                  <c:v>0.26410201459902133</c:v>
                </c:pt>
                <c:pt idx="10">
                  <c:v>0.26445903302355922</c:v>
                </c:pt>
                <c:pt idx="11">
                  <c:v>0.26722942097647917</c:v>
                </c:pt>
                <c:pt idx="12">
                  <c:v>0.26484249730531162</c:v>
                </c:pt>
                <c:pt idx="13">
                  <c:v>0.26377898611061801</c:v>
                </c:pt>
                <c:pt idx="14">
                  <c:v>0.2596447657465733</c:v>
                </c:pt>
                <c:pt idx="15">
                  <c:v>0.25934129303612519</c:v>
                </c:pt>
                <c:pt idx="16">
                  <c:v>0.26581267429476013</c:v>
                </c:pt>
                <c:pt idx="17">
                  <c:v>0.26931650706988719</c:v>
                </c:pt>
                <c:pt idx="18">
                  <c:v>0.26926678171616902</c:v>
                </c:pt>
                <c:pt idx="19">
                  <c:v>0.26756851988352648</c:v>
                </c:pt>
                <c:pt idx="20">
                  <c:v>0.26901064575969164</c:v>
                </c:pt>
                <c:pt idx="21">
                  <c:v>0.26576053586988058</c:v>
                </c:pt>
                <c:pt idx="22">
                  <c:v>0.26358145052741094</c:v>
                </c:pt>
                <c:pt idx="23">
                  <c:v>0.262123893201889</c:v>
                </c:pt>
                <c:pt idx="24">
                  <c:v>0.26183435211624273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0.26320576134436652</c:v>
                </c:pt>
                <c:pt idx="28">
                  <c:v>0.26461922538017679</c:v>
                </c:pt>
                <c:pt idx="29">
                  <c:v>0.26279381023050385</c:v>
                </c:pt>
                <c:pt idx="30">
                  <c:v>0.26431168597365379</c:v>
                </c:pt>
                <c:pt idx="31">
                  <c:v>0.26441611462962927</c:v>
                </c:pt>
                <c:pt idx="32">
                  <c:v>0.26818911692553443</c:v>
                </c:pt>
                <c:pt idx="33">
                  <c:v>0.26912240337969984</c:v>
                </c:pt>
                <c:pt idx="34">
                  <c:v>0.27108484858206178</c:v>
                </c:pt>
                <c:pt idx="35">
                  <c:v>0.274029503511173</c:v>
                </c:pt>
                <c:pt idx="36">
                  <c:v>0.27214798314443445</c:v>
                </c:pt>
                <c:pt idx="37">
                  <c:v>0.27256378024154848</c:v>
                </c:pt>
                <c:pt idx="38">
                  <c:v>0.27683847162506192</c:v>
                </c:pt>
                <c:pt idx="39">
                  <c:v>0.2804422316057838</c:v>
                </c:pt>
                <c:pt idx="40">
                  <c:v>0.28530555769184274</c:v>
                </c:pt>
                <c:pt idx="41">
                  <c:v>0.2919760740425732</c:v>
                </c:pt>
                <c:pt idx="42">
                  <c:v>0.29284100703308535</c:v>
                </c:pt>
                <c:pt idx="43">
                  <c:v>0.29709447309352743</c:v>
                </c:pt>
                <c:pt idx="44">
                  <c:v>0.29564810255593432</c:v>
                </c:pt>
                <c:pt idx="45">
                  <c:v>0.29730982011558943</c:v>
                </c:pt>
                <c:pt idx="46">
                  <c:v>0.29409137780807049</c:v>
                </c:pt>
                <c:pt idx="47">
                  <c:v>0.29223943946040587</c:v>
                </c:pt>
                <c:pt idx="48">
                  <c:v>0.29331927155358761</c:v>
                </c:pt>
                <c:pt idx="49">
                  <c:v>0.29007278123372293</c:v>
                </c:pt>
                <c:pt idx="50">
                  <c:v>0.29318719223798295</c:v>
                </c:pt>
                <c:pt idx="51">
                  <c:v>0.29140480483502373</c:v>
                </c:pt>
                <c:pt idx="52">
                  <c:v>0.29893113483279593</c:v>
                </c:pt>
                <c:pt idx="53">
                  <c:v>0.29796393598729942</c:v>
                </c:pt>
                <c:pt idx="54">
                  <c:v>0.30218276411803446</c:v>
                </c:pt>
                <c:pt idx="55">
                  <c:v>0.29900241769767277</c:v>
                </c:pt>
                <c:pt idx="56">
                  <c:v>0.30036910155313817</c:v>
                </c:pt>
                <c:pt idx="57">
                  <c:v>0.30342339026305143</c:v>
                </c:pt>
                <c:pt idx="58">
                  <c:v>0.30315856248955431</c:v>
                </c:pt>
                <c:pt idx="59">
                  <c:v>0.3093249192039198</c:v>
                </c:pt>
                <c:pt idx="60">
                  <c:v>0.31031586562787822</c:v>
                </c:pt>
                <c:pt idx="61">
                  <c:v>0.31253896854800167</c:v>
                </c:pt>
                <c:pt idx="62">
                  <c:v>0.31413513076931227</c:v>
                </c:pt>
                <c:pt idx="63">
                  <c:v>0.31729907628612641</c:v>
                </c:pt>
                <c:pt idx="64">
                  <c:v>0.3170494501050945</c:v>
                </c:pt>
                <c:pt idx="65">
                  <c:v>0.31817180168901621</c:v>
                </c:pt>
                <c:pt idx="66">
                  <c:v>0.32161422695125308</c:v>
                </c:pt>
                <c:pt idx="67">
                  <c:v>0.32302670716152077</c:v>
                </c:pt>
                <c:pt idx="68">
                  <c:v>0.32305374378307938</c:v>
                </c:pt>
                <c:pt idx="69">
                  <c:v>0.31982688325175002</c:v>
                </c:pt>
                <c:pt idx="70">
                  <c:v>0.32283995742233779</c:v>
                </c:pt>
                <c:pt idx="71">
                  <c:v>0.32264370332232301</c:v>
                </c:pt>
                <c:pt idx="72">
                  <c:v>0.32396991456889979</c:v>
                </c:pt>
                <c:pt idx="73">
                  <c:v>0.32492442039719455</c:v>
                </c:pt>
                <c:pt idx="74">
                  <c:v>0.32480008455178566</c:v>
                </c:pt>
                <c:pt idx="75">
                  <c:v>0.32949182704898045</c:v>
                </c:pt>
                <c:pt idx="76">
                  <c:v>0.33055927034591237</c:v>
                </c:pt>
                <c:pt idx="77">
                  <c:v>0.33403831531281464</c:v>
                </c:pt>
                <c:pt idx="78">
                  <c:v>0.33782173323638021</c:v>
                </c:pt>
                <c:pt idx="79">
                  <c:v>0.33942277323746528</c:v>
                </c:pt>
                <c:pt idx="80">
                  <c:v>0.34037203791227777</c:v>
                </c:pt>
                <c:pt idx="81">
                  <c:v>0.34428000832991174</c:v>
                </c:pt>
                <c:pt idx="82">
                  <c:v>0.34680263253792998</c:v>
                </c:pt>
                <c:pt idx="83">
                  <c:v>0.3509703968329238</c:v>
                </c:pt>
                <c:pt idx="84">
                  <c:v>0.35445461720197308</c:v>
                </c:pt>
                <c:pt idx="85">
                  <c:v>0.3548336113668934</c:v>
                </c:pt>
                <c:pt idx="86">
                  <c:v>0.35768234471845045</c:v>
                </c:pt>
                <c:pt idx="87">
                  <c:v>0.35728464033116042</c:v>
                </c:pt>
                <c:pt idx="88">
                  <c:v>0.36640508733302213</c:v>
                </c:pt>
                <c:pt idx="89">
                  <c:v>0.37135020677873054</c:v>
                </c:pt>
                <c:pt idx="90">
                  <c:v>0.37449747037796527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512-B744-8A52-A5354931E7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518660816"/>
        <c:axId val="1518662816"/>
      </c:lineChart>
      <c:catAx>
        <c:axId val="15186608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42251490615236242"/>
              <c:y val="0.953803562255730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8662816"/>
        <c:crosses val="autoZero"/>
        <c:auto val="1"/>
        <c:lblAlgn val="ctr"/>
        <c:lblOffset val="100"/>
        <c:tickLblSkip val="10"/>
        <c:noMultiLvlLbl val="0"/>
      </c:catAx>
      <c:valAx>
        <c:axId val="151866281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SFC (kg/kW.h)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8660816"/>
        <c:crosses val="autoZero"/>
        <c:crossBetween val="midCat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Torque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BsC'!$J$6:$J$96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 formatCode="0.000">
                  <c:v>72.316421382399994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D47-EB41-8D01-9F447DDCD8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318149983"/>
        <c:axId val="111662095"/>
      </c:lineChart>
      <c:catAx>
        <c:axId val="3181499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45225911719861212"/>
              <c:y val="0.961110558610565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662095"/>
        <c:crosses val="autoZero"/>
        <c:auto val="1"/>
        <c:lblAlgn val="ctr"/>
        <c:lblOffset val="100"/>
        <c:tickLblSkip val="10"/>
        <c:noMultiLvlLbl val="0"/>
      </c:catAx>
      <c:valAx>
        <c:axId val="111662095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8149983"/>
        <c:crosses val="autoZero"/>
        <c:crossBetween val="midCat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Brake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BsC'!$O$6:$O$96</c:f>
              <c:numCache>
                <c:formatCode>0.00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9.8047557857537395</c:v>
                </c:pt>
                <c:pt idx="3">
                  <c:v>10.301832359084756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12.235487694511182</c:v>
                </c:pt>
                <c:pt idx="7">
                  <c:v>12.97404284563261</c:v>
                </c:pt>
                <c:pt idx="8">
                  <c:v>13.751943247921552</c:v>
                </c:pt>
                <c:pt idx="9">
                  <c:v>14.431923231584936</c:v>
                </c:pt>
                <c:pt idx="10">
                  <c:v>15.084566990928307</c:v>
                </c:pt>
                <c:pt idx="11">
                  <c:v>15.694379700688513</c:v>
                </c:pt>
                <c:pt idx="12">
                  <c:v>16.29459034674889</c:v>
                </c:pt>
                <c:pt idx="13">
                  <c:v>16.846489803916661</c:v>
                </c:pt>
                <c:pt idx="14">
                  <c:v>17.340037597347248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</c:v>
                </c:pt>
                <c:pt idx="19">
                  <c:v>20.274246022519439</c:v>
                </c:pt>
                <c:pt idx="20">
                  <c:v>21.001956945030891</c:v>
                </c:pt>
                <c:pt idx="21">
                  <c:v>21.648248040923793</c:v>
                </c:pt>
                <c:pt idx="22">
                  <c:v>22.347930737210287</c:v>
                </c:pt>
                <c:pt idx="23">
                  <c:v>23.06447506997592</c:v>
                </c:pt>
                <c:pt idx="24">
                  <c:v>23.665725867967971</c:v>
                </c:pt>
                <c:pt idx="25">
                  <c:v>24.375917537283147</c:v>
                </c:pt>
                <c:pt idx="26">
                  <c:v>25.042560366219327</c:v>
                </c:pt>
                <c:pt idx="27">
                  <c:v>25.619689954952907</c:v>
                </c:pt>
                <c:pt idx="28">
                  <c:v>26.137556672471955</c:v>
                </c:pt>
                <c:pt idx="29">
                  <c:v>26.653025023140291</c:v>
                </c:pt>
                <c:pt idx="30">
                  <c:v>27.172464863002283</c:v>
                </c:pt>
                <c:pt idx="31">
                  <c:v>27.672292251359217</c:v>
                </c:pt>
                <c:pt idx="32">
                  <c:v>28.197452926845418</c:v>
                </c:pt>
                <c:pt idx="33">
                  <c:v>28.668181850006352</c:v>
                </c:pt>
                <c:pt idx="34">
                  <c:v>28.991845324844402</c:v>
                </c:pt>
                <c:pt idx="35">
                  <c:v>29.296115553749761</c:v>
                </c:pt>
                <c:pt idx="36">
                  <c:v>29.771486477266929</c:v>
                </c:pt>
                <c:pt idx="37">
                  <c:v>30.229621825387365</c:v>
                </c:pt>
                <c:pt idx="38">
                  <c:v>30.543081495738658</c:v>
                </c:pt>
                <c:pt idx="39">
                  <c:v>30.896737450656126</c:v>
                </c:pt>
                <c:pt idx="40">
                  <c:v>31.387401186457978</c:v>
                </c:pt>
                <c:pt idx="41">
                  <c:v>31.756882924071402</c:v>
                </c:pt>
                <c:pt idx="42">
                  <c:v>32.277754047376561</c:v>
                </c:pt>
                <c:pt idx="43">
                  <c:v>32.724439127951626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35.185189305679351</c:v>
                </c:pt>
                <c:pt idx="48">
                  <c:v>35.930131505439078</c:v>
                </c:pt>
                <c:pt idx="49">
                  <c:v>36.619257949063623</c:v>
                </c:pt>
                <c:pt idx="50">
                  <c:v>37.135830923890786</c:v>
                </c:pt>
                <c:pt idx="51">
                  <c:v>37.903458751317338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39.380968781368644</c:v>
                </c:pt>
                <c:pt idx="55">
                  <c:v>39.89767070065016</c:v>
                </c:pt>
                <c:pt idx="56">
                  <c:v>40.345361547969077</c:v>
                </c:pt>
                <c:pt idx="57">
                  <c:v>40.599210197079138</c:v>
                </c:pt>
                <c:pt idx="58">
                  <c:v>40.953816042810232</c:v>
                </c:pt>
                <c:pt idx="59">
                  <c:v>41.148479187378399</c:v>
                </c:pt>
                <c:pt idx="60">
                  <c:v>41.263600796212863</c:v>
                </c:pt>
                <c:pt idx="61">
                  <c:v>41.337245272234732</c:v>
                </c:pt>
                <c:pt idx="62">
                  <c:v>41.392218591268218</c:v>
                </c:pt>
                <c:pt idx="63">
                  <c:v>41.560946707920181</c:v>
                </c:pt>
                <c:pt idx="64">
                  <c:v>41.856246700951978</c:v>
                </c:pt>
                <c:pt idx="65">
                  <c:v>42.026823021449466</c:v>
                </c:pt>
                <c:pt idx="66">
                  <c:v>42.28357721893066</c:v>
                </c:pt>
                <c:pt idx="67">
                  <c:v>42.635019627381951</c:v>
                </c:pt>
                <c:pt idx="68">
                  <c:v>43.070232949669268</c:v>
                </c:pt>
                <c:pt idx="69">
                  <c:v>43.603276429464103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44.431946561575053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43.876703144891401</c:v>
                </c:pt>
                <c:pt idx="78">
                  <c:v>43.651720860959522</c:v>
                </c:pt>
                <c:pt idx="79">
                  <c:v>43.545251425011237</c:v>
                </c:pt>
                <c:pt idx="80">
                  <c:v>43.456860001561388</c:v>
                </c:pt>
                <c:pt idx="81">
                  <c:v>43.113888813945366</c:v>
                </c:pt>
                <c:pt idx="82">
                  <c:v>42.780817121903837</c:v>
                </c:pt>
                <c:pt idx="83">
                  <c:v>42.433065963365436</c:v>
                </c:pt>
                <c:pt idx="84">
                  <c:v>42.377780598752437</c:v>
                </c:pt>
                <c:pt idx="85">
                  <c:v>42.015467313170632</c:v>
                </c:pt>
                <c:pt idx="86">
                  <c:v>41.819229327000144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41.661482120079754</c:v>
                </c:pt>
                <c:pt idx="90">
                  <c:v>41.912165612650618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96A-864E-9377-145A1A6F8E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617301295"/>
        <c:axId val="585978032"/>
      </c:lineChart>
      <c:catAx>
        <c:axId val="61730129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43919989303945317"/>
              <c:y val="0.9618845834095707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5978032"/>
        <c:crosses val="autoZero"/>
        <c:auto val="1"/>
        <c:lblAlgn val="ctr"/>
        <c:lblOffset val="100"/>
        <c:tickLblSkip val="10"/>
        <c:tickMarkSkip val="10"/>
        <c:noMultiLvlLbl val="0"/>
      </c:catAx>
      <c:valAx>
        <c:axId val="58597803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Brake Power (kW)</a:t>
                </a:r>
              </a:p>
            </c:rich>
          </c:tx>
          <c:layout>
            <c:manualLayout>
              <c:xMode val="edge"/>
              <c:yMode val="edge"/>
              <c:x val="1.6190690639725103E-2"/>
              <c:y val="0.3224896997018169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7301295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Thermal Efficiency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440288713910762"/>
          <c:y val="0.18557888597258676"/>
          <c:w val="0.82781933508311456"/>
          <c:h val="0.59111111111111114"/>
        </c:manualLayout>
      </c:layout>
      <c:lineChart>
        <c:grouping val="standard"/>
        <c:varyColors val="0"/>
        <c:ser>
          <c:idx val="0"/>
          <c:order val="0"/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BsC'!$AC$6:$AC$96</c:f>
              <c:numCache>
                <c:formatCode>0%</c:formatCode>
                <c:ptCount val="91"/>
                <c:pt idx="0">
                  <c:v>0.23024943148368829</c:v>
                </c:pt>
                <c:pt idx="1">
                  <c:v>0.23618899621825568</c:v>
                </c:pt>
                <c:pt idx="2">
                  <c:v>0.24527857866350899</c:v>
                </c:pt>
                <c:pt idx="3">
                  <c:v>0.2608996082158313</c:v>
                </c:pt>
                <c:pt idx="4">
                  <c:v>0.27048355566796134</c:v>
                </c:pt>
                <c:pt idx="5">
                  <c:v>0.2697792096598331</c:v>
                </c:pt>
                <c:pt idx="6">
                  <c:v>0.28555154952826495</c:v>
                </c:pt>
                <c:pt idx="7">
                  <c:v>0.3005056127039431</c:v>
                </c:pt>
                <c:pt idx="8">
                  <c:v>0.30364625127391942</c:v>
                </c:pt>
                <c:pt idx="9">
                  <c:v>0.31414570585214446</c:v>
                </c:pt>
                <c:pt idx="10">
                  <c:v>0.31372161065790444</c:v>
                </c:pt>
                <c:pt idx="11">
                  <c:v>0.31046923460005327</c:v>
                </c:pt>
                <c:pt idx="12">
                  <c:v>0.3132673745238807</c:v>
                </c:pt>
                <c:pt idx="13">
                  <c:v>0.31453041433099677</c:v>
                </c:pt>
                <c:pt idx="14">
                  <c:v>0.31953855705361117</c:v>
                </c:pt>
                <c:pt idx="15">
                  <c:v>0.31991247063623623</c:v>
                </c:pt>
                <c:pt idx="16">
                  <c:v>0.31212399488965376</c:v>
                </c:pt>
                <c:pt idx="17">
                  <c:v>0.30806323272139141</c:v>
                </c:pt>
                <c:pt idx="18">
                  <c:v>0.30812012259513299</c:v>
                </c:pt>
                <c:pt idx="19">
                  <c:v>0.31007576612263105</c:v>
                </c:pt>
                <c:pt idx="20">
                  <c:v>0.30841349627217829</c:v>
                </c:pt>
                <c:pt idx="21">
                  <c:v>0.31218522916361169</c:v>
                </c:pt>
                <c:pt idx="22">
                  <c:v>0.31476613254525998</c:v>
                </c:pt>
                <c:pt idx="23">
                  <c:v>0.31651641054057489</c:v>
                </c:pt>
                <c:pt idx="24">
                  <c:v>0.31686642001943849</c:v>
                </c:pt>
                <c:pt idx="25">
                  <c:v>0.31862379748371206</c:v>
                </c:pt>
                <c:pt idx="26">
                  <c:v>0.31853036373317262</c:v>
                </c:pt>
                <c:pt idx="27">
                  <c:v>0.31521541690203836</c:v>
                </c:pt>
                <c:pt idx="28">
                  <c:v>0.31353169322442631</c:v>
                </c:pt>
                <c:pt idx="29">
                  <c:v>0.31570954323623773</c:v>
                </c:pt>
                <c:pt idx="30">
                  <c:v>0.31389650248552725</c:v>
                </c:pt>
                <c:pt idx="31">
                  <c:v>0.31377253201604255</c:v>
                </c:pt>
                <c:pt idx="32">
                  <c:v>0.30935824221465125</c:v>
                </c:pt>
                <c:pt idx="33">
                  <c:v>0.30828542236272688</c:v>
                </c:pt>
                <c:pt idx="34">
                  <c:v>0.30605367370086567</c:v>
                </c:pt>
                <c:pt idx="35">
                  <c:v>0.3027648947654285</c:v>
                </c:pt>
                <c:pt idx="36">
                  <c:v>0.30485808799527608</c:v>
                </c:pt>
                <c:pt idx="37">
                  <c:v>0.30439302580723399</c:v>
                </c:pt>
                <c:pt idx="38">
                  <c:v>0.29969286171160914</c:v>
                </c:pt>
                <c:pt idx="39">
                  <c:v>0.29584172582754414</c:v>
                </c:pt>
                <c:pt idx="40">
                  <c:v>0.29079879994064006</c:v>
                </c:pt>
                <c:pt idx="41">
                  <c:v>0.28415517971888865</c:v>
                </c:pt>
                <c:pt idx="42">
                  <c:v>0.28331590112244526</c:v>
                </c:pt>
                <c:pt idx="43">
                  <c:v>0.2792597012300006</c:v>
                </c:pt>
                <c:pt idx="44">
                  <c:v>0.2806258963812775</c:v>
                </c:pt>
                <c:pt idx="45">
                  <c:v>0.27905742824413543</c:v>
                </c:pt>
                <c:pt idx="46">
                  <c:v>0.28211134379916575</c:v>
                </c:pt>
                <c:pt idx="47">
                  <c:v>0.28389909981477246</c:v>
                </c:pt>
                <c:pt idx="48">
                  <c:v>0.28285394735144581</c:v>
                </c:pt>
                <c:pt idx="49">
                  <c:v>0.28601964458820966</c:v>
                </c:pt>
                <c:pt idx="50">
                  <c:v>0.28298137159360692</c:v>
                </c:pt>
                <c:pt idx="51">
                  <c:v>0.28471223678056268</c:v>
                </c:pt>
                <c:pt idx="52">
                  <c:v>0.27754390267708107</c:v>
                </c:pt>
                <c:pt idx="53">
                  <c:v>0.27844481755241457</c:v>
                </c:pt>
                <c:pt idx="54">
                  <c:v>0.27455739917970862</c:v>
                </c:pt>
                <c:pt idx="55">
                  <c:v>0.27747773557159655</c:v>
                </c:pt>
                <c:pt idx="56">
                  <c:v>0.2762152077699821</c:v>
                </c:pt>
                <c:pt idx="57">
                  <c:v>0.27343479921325609</c:v>
                </c:pt>
                <c:pt idx="58">
                  <c:v>0.2736736614392728</c:v>
                </c:pt>
                <c:pt idx="59">
                  <c:v>0.26821800845113275</c:v>
                </c:pt>
                <c:pt idx="60">
                  <c:v>0.26736149511824814</c:v>
                </c:pt>
                <c:pt idx="61">
                  <c:v>0.26545974148001455</c:v>
                </c:pt>
                <c:pt idx="62">
                  <c:v>0.26411090536101189</c:v>
                </c:pt>
                <c:pt idx="63">
                  <c:v>0.26147732531804585</c:v>
                </c:pt>
                <c:pt idx="64">
                  <c:v>0.26168319726049505</c:v>
                </c:pt>
                <c:pt idx="65">
                  <c:v>0.26076010932695753</c:v>
                </c:pt>
                <c:pt idx="66">
                  <c:v>0.25796904129417791</c:v>
                </c:pt>
                <c:pt idx="67">
                  <c:v>0.25684103497887484</c:v>
                </c:pt>
                <c:pt idx="68">
                  <c:v>0.25681953975092259</c:v>
                </c:pt>
                <c:pt idx="69">
                  <c:v>0.25941069415317497</c:v>
                </c:pt>
                <c:pt idx="70">
                  <c:v>0.25698960703506257</c:v>
                </c:pt>
                <c:pt idx="71">
                  <c:v>0.25714592579635398</c:v>
                </c:pt>
                <c:pt idx="72">
                  <c:v>0.25609326688123119</c:v>
                </c:pt>
                <c:pt idx="73">
                  <c:v>0.25534096111262694</c:v>
                </c:pt>
                <c:pt idx="74">
                  <c:v>0.25543870749810366</c:v>
                </c:pt>
                <c:pt idx="75">
                  <c:v>0.25180143172671038</c:v>
                </c:pt>
                <c:pt idx="76">
                  <c:v>0.25098831355225026</c:v>
                </c:pt>
                <c:pt idx="77">
                  <c:v>0.24837424328250435</c:v>
                </c:pt>
                <c:pt idx="78">
                  <c:v>0.24559258813324983</c:v>
                </c:pt>
                <c:pt idx="79">
                  <c:v>0.24443414035492045</c:v>
                </c:pt>
                <c:pt idx="80">
                  <c:v>0.24375243719216866</c:v>
                </c:pt>
                <c:pt idx="81">
                  <c:v>0.24098556926279305</c:v>
                </c:pt>
                <c:pt idx="82">
                  <c:v>0.23923265283780346</c:v>
                </c:pt>
                <c:pt idx="83">
                  <c:v>0.23639177133414574</c:v>
                </c:pt>
                <c:pt idx="84">
                  <c:v>0.23406808591777339</c:v>
                </c:pt>
                <c:pt idx="85">
                  <c:v>0.23381808018011183</c:v>
                </c:pt>
                <c:pt idx="86">
                  <c:v>0.23195585417695128</c:v>
                </c:pt>
                <c:pt idx="87">
                  <c:v>0.23221405128494416</c:v>
                </c:pt>
                <c:pt idx="88">
                  <c:v>0.22643384784058807</c:v>
                </c:pt>
                <c:pt idx="89">
                  <c:v>0.22341852051968458</c:v>
                </c:pt>
                <c:pt idx="90">
                  <c:v>0.22154091911341386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DAB-DE4D-AA68-91AB1F1D1B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147702511"/>
        <c:axId val="965731823"/>
      </c:lineChart>
      <c:catAx>
        <c:axId val="11477025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Engine Speed</a:t>
                </a:r>
                <a:r>
                  <a:rPr lang="en-GB" b="1" baseline="0"/>
                  <a:t> (rpm)</a:t>
                </a:r>
                <a:endParaRPr lang="en-GB" b="1"/>
              </a:p>
            </c:rich>
          </c:tx>
          <c:layout>
            <c:manualLayout>
              <c:xMode val="edge"/>
              <c:yMode val="edge"/>
              <c:x val="0.43407889842915365"/>
              <c:y val="0.8790640562845178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5731823"/>
        <c:crosses val="autoZero"/>
        <c:auto val="1"/>
        <c:lblAlgn val="ctr"/>
        <c:lblOffset val="100"/>
        <c:tickLblSkip val="10"/>
        <c:tickMarkSkip val="10"/>
        <c:noMultiLvlLbl val="0"/>
      </c:catAx>
      <c:valAx>
        <c:axId val="965731823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Thermal efficiency (%)</a:t>
                </a:r>
              </a:p>
            </c:rich>
          </c:tx>
          <c:layout>
            <c:manualLayout>
              <c:xMode val="edge"/>
              <c:yMode val="edge"/>
              <c:x val="1.6666666666666666E-2"/>
              <c:y val="0.2373381452318460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7702511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Specific Fuel Consumption &amp; Thermal Efficiency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Specific Fuel Consumption</c:v>
          </c:tx>
          <c:spPr>
            <a:ln w="158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BsC'!$Q$6:$Q$96</c:f>
              <c:numCache>
                <c:formatCode>0.000</c:formatCode>
                <c:ptCount val="91"/>
                <c:pt idx="0">
                  <c:v>0.36033319717039375</c:v>
                </c:pt>
                <c:pt idx="1">
                  <c:v>0.35127171511629557</c:v>
                </c:pt>
                <c:pt idx="2">
                  <c:v>0.33825421789891574</c:v>
                </c:pt>
                <c:pt idx="3">
                  <c:v>0.31800168026526199</c:v>
                </c:pt>
                <c:pt idx="4">
                  <c:v>0.30673404003543375</c:v>
                </c:pt>
                <c:pt idx="5">
                  <c:v>0.30753486859790308</c:v>
                </c:pt>
                <c:pt idx="6">
                  <c:v>0.29054828779687847</c:v>
                </c:pt>
                <c:pt idx="7">
                  <c:v>0.27608973105910406</c:v>
                </c:pt>
                <c:pt idx="8">
                  <c:v>0.27323411188218094</c:v>
                </c:pt>
                <c:pt idx="9">
                  <c:v>0.26410201459902133</c:v>
                </c:pt>
                <c:pt idx="10">
                  <c:v>0.26445903302355922</c:v>
                </c:pt>
                <c:pt idx="11">
                  <c:v>0.26722942097647917</c:v>
                </c:pt>
                <c:pt idx="12">
                  <c:v>0.26484249730531162</c:v>
                </c:pt>
                <c:pt idx="13">
                  <c:v>0.26377898611061801</c:v>
                </c:pt>
                <c:pt idx="14">
                  <c:v>0.2596447657465733</c:v>
                </c:pt>
                <c:pt idx="15">
                  <c:v>0.25934129303612519</c:v>
                </c:pt>
                <c:pt idx="16">
                  <c:v>0.26581267429476013</c:v>
                </c:pt>
                <c:pt idx="17">
                  <c:v>0.26931650706988719</c:v>
                </c:pt>
                <c:pt idx="18">
                  <c:v>0.26926678171616902</c:v>
                </c:pt>
                <c:pt idx="19">
                  <c:v>0.26756851988352648</c:v>
                </c:pt>
                <c:pt idx="20">
                  <c:v>0.26901064575969164</c:v>
                </c:pt>
                <c:pt idx="21">
                  <c:v>0.26576053586988058</c:v>
                </c:pt>
                <c:pt idx="22">
                  <c:v>0.26358145052741094</c:v>
                </c:pt>
                <c:pt idx="23">
                  <c:v>0.262123893201889</c:v>
                </c:pt>
                <c:pt idx="24">
                  <c:v>0.26183435211624273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0.26320576134436652</c:v>
                </c:pt>
                <c:pt idx="28">
                  <c:v>0.26461922538017679</c:v>
                </c:pt>
                <c:pt idx="29">
                  <c:v>0.26279381023050385</c:v>
                </c:pt>
                <c:pt idx="30">
                  <c:v>0.26431168597365379</c:v>
                </c:pt>
                <c:pt idx="31">
                  <c:v>0.26441611462962927</c:v>
                </c:pt>
                <c:pt idx="32">
                  <c:v>0.26818911692553443</c:v>
                </c:pt>
                <c:pt idx="33">
                  <c:v>0.26912240337969984</c:v>
                </c:pt>
                <c:pt idx="34">
                  <c:v>0.27108484858206178</c:v>
                </c:pt>
                <c:pt idx="35">
                  <c:v>0.274029503511173</c:v>
                </c:pt>
                <c:pt idx="36">
                  <c:v>0.27214798314443445</c:v>
                </c:pt>
                <c:pt idx="37">
                  <c:v>0.27256378024154848</c:v>
                </c:pt>
                <c:pt idx="38">
                  <c:v>0.27683847162506192</c:v>
                </c:pt>
                <c:pt idx="39">
                  <c:v>0.2804422316057838</c:v>
                </c:pt>
                <c:pt idx="40">
                  <c:v>0.28530555769184274</c:v>
                </c:pt>
                <c:pt idx="41">
                  <c:v>0.2919760740425732</c:v>
                </c:pt>
                <c:pt idx="42">
                  <c:v>0.29284100703308535</c:v>
                </c:pt>
                <c:pt idx="43">
                  <c:v>0.29709447309352743</c:v>
                </c:pt>
                <c:pt idx="44">
                  <c:v>0.29564810255593432</c:v>
                </c:pt>
                <c:pt idx="45">
                  <c:v>0.29730982011558943</c:v>
                </c:pt>
                <c:pt idx="46">
                  <c:v>0.29409137780807049</c:v>
                </c:pt>
                <c:pt idx="47">
                  <c:v>0.29223943946040587</c:v>
                </c:pt>
                <c:pt idx="48">
                  <c:v>0.29331927155358761</c:v>
                </c:pt>
                <c:pt idx="49">
                  <c:v>0.29007278123372293</c:v>
                </c:pt>
                <c:pt idx="50">
                  <c:v>0.29318719223798295</c:v>
                </c:pt>
                <c:pt idx="51">
                  <c:v>0.29140480483502373</c:v>
                </c:pt>
                <c:pt idx="52">
                  <c:v>0.29893113483279593</c:v>
                </c:pt>
                <c:pt idx="53">
                  <c:v>0.29796393598729942</c:v>
                </c:pt>
                <c:pt idx="54">
                  <c:v>0.30218276411803446</c:v>
                </c:pt>
                <c:pt idx="55">
                  <c:v>0.29900241769767277</c:v>
                </c:pt>
                <c:pt idx="56">
                  <c:v>0.30036910155313817</c:v>
                </c:pt>
                <c:pt idx="57">
                  <c:v>0.30342339026305143</c:v>
                </c:pt>
                <c:pt idx="58">
                  <c:v>0.30315856248955431</c:v>
                </c:pt>
                <c:pt idx="59">
                  <c:v>0.3093249192039198</c:v>
                </c:pt>
                <c:pt idx="60">
                  <c:v>0.31031586562787822</c:v>
                </c:pt>
                <c:pt idx="61">
                  <c:v>0.31253896854800167</c:v>
                </c:pt>
                <c:pt idx="62">
                  <c:v>0.31413513076931227</c:v>
                </c:pt>
                <c:pt idx="63">
                  <c:v>0.31729907628612641</c:v>
                </c:pt>
                <c:pt idx="64">
                  <c:v>0.3170494501050945</c:v>
                </c:pt>
                <c:pt idx="65">
                  <c:v>0.31817180168901621</c:v>
                </c:pt>
                <c:pt idx="66">
                  <c:v>0.32161422695125308</c:v>
                </c:pt>
                <c:pt idx="67">
                  <c:v>0.32302670716152077</c:v>
                </c:pt>
                <c:pt idx="68">
                  <c:v>0.32305374378307938</c:v>
                </c:pt>
                <c:pt idx="69">
                  <c:v>0.31982688325175002</c:v>
                </c:pt>
                <c:pt idx="70">
                  <c:v>0.32283995742233779</c:v>
                </c:pt>
                <c:pt idx="71">
                  <c:v>0.32264370332232301</c:v>
                </c:pt>
                <c:pt idx="72">
                  <c:v>0.32396991456889979</c:v>
                </c:pt>
                <c:pt idx="73">
                  <c:v>0.32492442039719455</c:v>
                </c:pt>
                <c:pt idx="74">
                  <c:v>0.32480008455178566</c:v>
                </c:pt>
                <c:pt idx="75">
                  <c:v>0.32949182704898045</c:v>
                </c:pt>
                <c:pt idx="76">
                  <c:v>0.33055927034591237</c:v>
                </c:pt>
                <c:pt idx="77">
                  <c:v>0.33403831531281464</c:v>
                </c:pt>
                <c:pt idx="78">
                  <c:v>0.33782173323638021</c:v>
                </c:pt>
                <c:pt idx="79">
                  <c:v>0.33942277323746528</c:v>
                </c:pt>
                <c:pt idx="80">
                  <c:v>0.34037203791227777</c:v>
                </c:pt>
                <c:pt idx="81">
                  <c:v>0.34428000832991174</c:v>
                </c:pt>
                <c:pt idx="82">
                  <c:v>0.34680263253792998</c:v>
                </c:pt>
                <c:pt idx="83">
                  <c:v>0.3509703968329238</c:v>
                </c:pt>
                <c:pt idx="84">
                  <c:v>0.35445461720197308</c:v>
                </c:pt>
                <c:pt idx="85">
                  <c:v>0.3548336113668934</c:v>
                </c:pt>
                <c:pt idx="86">
                  <c:v>0.35768234471845045</c:v>
                </c:pt>
                <c:pt idx="87">
                  <c:v>0.35728464033116042</c:v>
                </c:pt>
                <c:pt idx="88">
                  <c:v>0.36640508733302213</c:v>
                </c:pt>
                <c:pt idx="89">
                  <c:v>0.37135020677873054</c:v>
                </c:pt>
                <c:pt idx="90">
                  <c:v>0.37449747037796527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999-8C4A-A9C6-AB86FC432E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8777488"/>
        <c:axId val="885428975"/>
      </c:lineChart>
      <c:lineChart>
        <c:grouping val="standard"/>
        <c:varyColors val="0"/>
        <c:ser>
          <c:idx val="1"/>
          <c:order val="1"/>
          <c:tx>
            <c:v>Thermal Efficiency</c:v>
          </c:tx>
          <c:spPr>
            <a:ln w="158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BsC'!$AC$6:$AC$96</c:f>
              <c:numCache>
                <c:formatCode>0%</c:formatCode>
                <c:ptCount val="91"/>
                <c:pt idx="0">
                  <c:v>0.23024943148368829</c:v>
                </c:pt>
                <c:pt idx="1">
                  <c:v>0.23618899621825568</c:v>
                </c:pt>
                <c:pt idx="2">
                  <c:v>0.24527857866350899</c:v>
                </c:pt>
                <c:pt idx="3">
                  <c:v>0.2608996082158313</c:v>
                </c:pt>
                <c:pt idx="4">
                  <c:v>0.27048355566796134</c:v>
                </c:pt>
                <c:pt idx="5">
                  <c:v>0.2697792096598331</c:v>
                </c:pt>
                <c:pt idx="6">
                  <c:v>0.28555154952826495</c:v>
                </c:pt>
                <c:pt idx="7">
                  <c:v>0.3005056127039431</c:v>
                </c:pt>
                <c:pt idx="8">
                  <c:v>0.30364625127391942</c:v>
                </c:pt>
                <c:pt idx="9">
                  <c:v>0.31414570585214446</c:v>
                </c:pt>
                <c:pt idx="10">
                  <c:v>0.31372161065790444</c:v>
                </c:pt>
                <c:pt idx="11">
                  <c:v>0.31046923460005327</c:v>
                </c:pt>
                <c:pt idx="12">
                  <c:v>0.3132673745238807</c:v>
                </c:pt>
                <c:pt idx="13">
                  <c:v>0.31453041433099677</c:v>
                </c:pt>
                <c:pt idx="14">
                  <c:v>0.31953855705361117</c:v>
                </c:pt>
                <c:pt idx="15">
                  <c:v>0.31991247063623623</c:v>
                </c:pt>
                <c:pt idx="16">
                  <c:v>0.31212399488965376</c:v>
                </c:pt>
                <c:pt idx="17">
                  <c:v>0.30806323272139141</c:v>
                </c:pt>
                <c:pt idx="18">
                  <c:v>0.30812012259513299</c:v>
                </c:pt>
                <c:pt idx="19">
                  <c:v>0.31007576612263105</c:v>
                </c:pt>
                <c:pt idx="20">
                  <c:v>0.30841349627217829</c:v>
                </c:pt>
                <c:pt idx="21">
                  <c:v>0.31218522916361169</c:v>
                </c:pt>
                <c:pt idx="22">
                  <c:v>0.31476613254525998</c:v>
                </c:pt>
                <c:pt idx="23">
                  <c:v>0.31651641054057489</c:v>
                </c:pt>
                <c:pt idx="24">
                  <c:v>0.31686642001943849</c:v>
                </c:pt>
                <c:pt idx="25">
                  <c:v>0.31862379748371206</c:v>
                </c:pt>
                <c:pt idx="26">
                  <c:v>0.31853036373317262</c:v>
                </c:pt>
                <c:pt idx="27">
                  <c:v>0.31521541690203836</c:v>
                </c:pt>
                <c:pt idx="28">
                  <c:v>0.31353169322442631</c:v>
                </c:pt>
                <c:pt idx="29">
                  <c:v>0.31570954323623773</c:v>
                </c:pt>
                <c:pt idx="30">
                  <c:v>0.31389650248552725</c:v>
                </c:pt>
                <c:pt idx="31">
                  <c:v>0.31377253201604255</c:v>
                </c:pt>
                <c:pt idx="32">
                  <c:v>0.30935824221465125</c:v>
                </c:pt>
                <c:pt idx="33">
                  <c:v>0.30828542236272688</c:v>
                </c:pt>
                <c:pt idx="34">
                  <c:v>0.30605367370086567</c:v>
                </c:pt>
                <c:pt idx="35">
                  <c:v>0.3027648947654285</c:v>
                </c:pt>
                <c:pt idx="36">
                  <c:v>0.30485808799527608</c:v>
                </c:pt>
                <c:pt idx="37">
                  <c:v>0.30439302580723399</c:v>
                </c:pt>
                <c:pt idx="38">
                  <c:v>0.29969286171160914</c:v>
                </c:pt>
                <c:pt idx="39">
                  <c:v>0.29584172582754414</c:v>
                </c:pt>
                <c:pt idx="40">
                  <c:v>0.29079879994064006</c:v>
                </c:pt>
                <c:pt idx="41">
                  <c:v>0.28415517971888865</c:v>
                </c:pt>
                <c:pt idx="42">
                  <c:v>0.28331590112244526</c:v>
                </c:pt>
                <c:pt idx="43">
                  <c:v>0.2792597012300006</c:v>
                </c:pt>
                <c:pt idx="44">
                  <c:v>0.2806258963812775</c:v>
                </c:pt>
                <c:pt idx="45">
                  <c:v>0.27905742824413543</c:v>
                </c:pt>
                <c:pt idx="46">
                  <c:v>0.28211134379916575</c:v>
                </c:pt>
                <c:pt idx="47">
                  <c:v>0.28389909981477246</c:v>
                </c:pt>
                <c:pt idx="48">
                  <c:v>0.28285394735144581</c:v>
                </c:pt>
                <c:pt idx="49">
                  <c:v>0.28601964458820966</c:v>
                </c:pt>
                <c:pt idx="50">
                  <c:v>0.28298137159360692</c:v>
                </c:pt>
                <c:pt idx="51">
                  <c:v>0.28471223678056268</c:v>
                </c:pt>
                <c:pt idx="52">
                  <c:v>0.27754390267708107</c:v>
                </c:pt>
                <c:pt idx="53">
                  <c:v>0.27844481755241457</c:v>
                </c:pt>
                <c:pt idx="54">
                  <c:v>0.27455739917970862</c:v>
                </c:pt>
                <c:pt idx="55">
                  <c:v>0.27747773557159655</c:v>
                </c:pt>
                <c:pt idx="56">
                  <c:v>0.2762152077699821</c:v>
                </c:pt>
                <c:pt idx="57">
                  <c:v>0.27343479921325609</c:v>
                </c:pt>
                <c:pt idx="58">
                  <c:v>0.2736736614392728</c:v>
                </c:pt>
                <c:pt idx="59">
                  <c:v>0.26821800845113275</c:v>
                </c:pt>
                <c:pt idx="60">
                  <c:v>0.26736149511824814</c:v>
                </c:pt>
                <c:pt idx="61">
                  <c:v>0.26545974148001455</c:v>
                </c:pt>
                <c:pt idx="62">
                  <c:v>0.26411090536101189</c:v>
                </c:pt>
                <c:pt idx="63">
                  <c:v>0.26147732531804585</c:v>
                </c:pt>
                <c:pt idx="64">
                  <c:v>0.26168319726049505</c:v>
                </c:pt>
                <c:pt idx="65">
                  <c:v>0.26076010932695753</c:v>
                </c:pt>
                <c:pt idx="66">
                  <c:v>0.25796904129417791</c:v>
                </c:pt>
                <c:pt idx="67">
                  <c:v>0.25684103497887484</c:v>
                </c:pt>
                <c:pt idx="68">
                  <c:v>0.25681953975092259</c:v>
                </c:pt>
                <c:pt idx="69">
                  <c:v>0.25941069415317497</c:v>
                </c:pt>
                <c:pt idx="70">
                  <c:v>0.25698960703506257</c:v>
                </c:pt>
                <c:pt idx="71">
                  <c:v>0.25714592579635398</c:v>
                </c:pt>
                <c:pt idx="72">
                  <c:v>0.25609326688123119</c:v>
                </c:pt>
                <c:pt idx="73">
                  <c:v>0.25534096111262694</c:v>
                </c:pt>
                <c:pt idx="74">
                  <c:v>0.25543870749810366</c:v>
                </c:pt>
                <c:pt idx="75">
                  <c:v>0.25180143172671038</c:v>
                </c:pt>
                <c:pt idx="76">
                  <c:v>0.25098831355225026</c:v>
                </c:pt>
                <c:pt idx="77">
                  <c:v>0.24837424328250435</c:v>
                </c:pt>
                <c:pt idx="78">
                  <c:v>0.24559258813324983</c:v>
                </c:pt>
                <c:pt idx="79">
                  <c:v>0.24443414035492045</c:v>
                </c:pt>
                <c:pt idx="80">
                  <c:v>0.24375243719216866</c:v>
                </c:pt>
                <c:pt idx="81">
                  <c:v>0.24098556926279305</c:v>
                </c:pt>
                <c:pt idx="82">
                  <c:v>0.23923265283780346</c:v>
                </c:pt>
                <c:pt idx="83">
                  <c:v>0.23639177133414574</c:v>
                </c:pt>
                <c:pt idx="84">
                  <c:v>0.23406808591777339</c:v>
                </c:pt>
                <c:pt idx="85">
                  <c:v>0.23381808018011183</c:v>
                </c:pt>
                <c:pt idx="86">
                  <c:v>0.23195585417695128</c:v>
                </c:pt>
                <c:pt idx="87">
                  <c:v>0.23221405128494416</c:v>
                </c:pt>
                <c:pt idx="88">
                  <c:v>0.22643384784058807</c:v>
                </c:pt>
                <c:pt idx="89">
                  <c:v>0.22341852051968458</c:v>
                </c:pt>
                <c:pt idx="90">
                  <c:v>0.22154091911341386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9999-8C4A-A9C6-AB86FC432E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9642720"/>
        <c:axId val="1579551152"/>
      </c:lineChart>
      <c:catAx>
        <c:axId val="15487774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40236331840572714"/>
              <c:y val="0.8804549184873018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5428975"/>
        <c:crosses val="autoZero"/>
        <c:auto val="1"/>
        <c:lblAlgn val="ctr"/>
        <c:lblOffset val="100"/>
        <c:tickLblSkip val="10"/>
        <c:noMultiLvlLbl val="0"/>
      </c:catAx>
      <c:valAx>
        <c:axId val="885428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SFC (kg/kW.h)</a:t>
                </a:r>
              </a:p>
            </c:rich>
          </c:tx>
          <c:layout>
            <c:manualLayout>
              <c:xMode val="edge"/>
              <c:yMode val="edge"/>
              <c:x val="1.5983079244153403E-2"/>
              <c:y val="0.3318946434512587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8777488"/>
        <c:crosses val="autoZero"/>
        <c:crossBetween val="between"/>
      </c:valAx>
      <c:valAx>
        <c:axId val="157955115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Thermal Efficiency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9642720"/>
        <c:crosses val="max"/>
        <c:crossBetween val="between"/>
      </c:valAx>
      <c:catAx>
        <c:axId val="157964272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5795511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Lambda</a:t>
            </a:r>
            <a:r>
              <a:rPr lang="en-GB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Actual Lambda value</c:v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BsC'!$H$6:$H$96</c:f>
              <c:numCache>
                <c:formatCode>0.000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952-8445-9848-A8E353F739AD}"/>
            </c:ext>
          </c:extLst>
        </c:ser>
        <c:ser>
          <c:idx val="1"/>
          <c:order val="1"/>
          <c:tx>
            <c:v>Lambda 1 - Stoichiometric</c:v>
          </c:tx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BsC'!$I$6:$I$96</c:f>
              <c:numCache>
                <c:formatCode>General</c:formatCode>
                <c:ptCount val="9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5952-8445-9848-A8E353F739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718609280"/>
        <c:axId val="1718431456"/>
      </c:lineChart>
      <c:catAx>
        <c:axId val="17186092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Engine Speed (rpm)</a:t>
                </a:r>
              </a:p>
            </c:rich>
          </c:tx>
          <c:layout>
            <c:manualLayout>
              <c:xMode val="edge"/>
              <c:yMode val="edge"/>
              <c:x val="0.42740790495907316"/>
              <c:y val="0.8067851974821014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8431456"/>
        <c:crosses val="autoZero"/>
        <c:auto val="1"/>
        <c:lblAlgn val="ctr"/>
        <c:lblOffset val="100"/>
        <c:tickLblSkip val="10"/>
        <c:tickMarkSkip val="10"/>
        <c:noMultiLvlLbl val="0"/>
      </c:catAx>
      <c:valAx>
        <c:axId val="171843145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Lambda Value</a:t>
                </a:r>
              </a:p>
            </c:rich>
          </c:tx>
          <c:layout>
            <c:manualLayout>
              <c:xMode val="edge"/>
              <c:yMode val="edge"/>
              <c:x val="1.5330850620778734E-2"/>
              <c:y val="0.3406747324850916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8609280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9701091525523107"/>
          <c:y val="0.90031544745724734"/>
          <c:w val="0.51817768717106716"/>
          <c:h val="5.253706924603081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Torque</a:t>
            </a:r>
            <a:r>
              <a:rPr lang="en-GB" b="1" baseline="0"/>
              <a:t> &amp; Brake Power</a:t>
            </a:r>
            <a:endParaRPr lang="en-GB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Torque (Nm)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BsC'!$J$6:$J$96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 formatCode="0.000">
                  <c:v>72.316421382399994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CA2-C54D-BDE1-2D5ADF468E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113520"/>
        <c:axId val="1038786512"/>
      </c:lineChart>
      <c:lineChart>
        <c:grouping val="standard"/>
        <c:varyColors val="0"/>
        <c:ser>
          <c:idx val="1"/>
          <c:order val="1"/>
          <c:tx>
            <c:v>Brake Power (kW)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BsC'!$O$6:$O$96</c:f>
              <c:numCache>
                <c:formatCode>0.00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9.8047557857537395</c:v>
                </c:pt>
                <c:pt idx="3">
                  <c:v>10.301832359084756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12.235487694511182</c:v>
                </c:pt>
                <c:pt idx="7">
                  <c:v>12.97404284563261</c:v>
                </c:pt>
                <c:pt idx="8">
                  <c:v>13.751943247921552</c:v>
                </c:pt>
                <c:pt idx="9">
                  <c:v>14.431923231584936</c:v>
                </c:pt>
                <c:pt idx="10">
                  <c:v>15.084566990928307</c:v>
                </c:pt>
                <c:pt idx="11">
                  <c:v>15.694379700688513</c:v>
                </c:pt>
                <c:pt idx="12">
                  <c:v>16.29459034674889</c:v>
                </c:pt>
                <c:pt idx="13">
                  <c:v>16.846489803916661</c:v>
                </c:pt>
                <c:pt idx="14">
                  <c:v>17.340037597347248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</c:v>
                </c:pt>
                <c:pt idx="19">
                  <c:v>20.274246022519439</c:v>
                </c:pt>
                <c:pt idx="20">
                  <c:v>21.001956945030891</c:v>
                </c:pt>
                <c:pt idx="21">
                  <c:v>21.648248040923793</c:v>
                </c:pt>
                <c:pt idx="22">
                  <c:v>22.347930737210287</c:v>
                </c:pt>
                <c:pt idx="23">
                  <c:v>23.06447506997592</c:v>
                </c:pt>
                <c:pt idx="24">
                  <c:v>23.665725867967971</c:v>
                </c:pt>
                <c:pt idx="25">
                  <c:v>24.375917537283147</c:v>
                </c:pt>
                <c:pt idx="26">
                  <c:v>25.042560366219327</c:v>
                </c:pt>
                <c:pt idx="27">
                  <c:v>25.619689954952907</c:v>
                </c:pt>
                <c:pt idx="28">
                  <c:v>26.137556672471955</c:v>
                </c:pt>
                <c:pt idx="29">
                  <c:v>26.653025023140291</c:v>
                </c:pt>
                <c:pt idx="30">
                  <c:v>27.172464863002283</c:v>
                </c:pt>
                <c:pt idx="31">
                  <c:v>27.672292251359217</c:v>
                </c:pt>
                <c:pt idx="32">
                  <c:v>28.197452926845418</c:v>
                </c:pt>
                <c:pt idx="33">
                  <c:v>28.668181850006352</c:v>
                </c:pt>
                <c:pt idx="34">
                  <c:v>28.991845324844402</c:v>
                </c:pt>
                <c:pt idx="35">
                  <c:v>29.296115553749761</c:v>
                </c:pt>
                <c:pt idx="36">
                  <c:v>29.771486477266929</c:v>
                </c:pt>
                <c:pt idx="37">
                  <c:v>30.229621825387365</c:v>
                </c:pt>
                <c:pt idx="38">
                  <c:v>30.543081495738658</c:v>
                </c:pt>
                <c:pt idx="39">
                  <c:v>30.896737450656126</c:v>
                </c:pt>
                <c:pt idx="40">
                  <c:v>31.387401186457978</c:v>
                </c:pt>
                <c:pt idx="41">
                  <c:v>31.756882924071402</c:v>
                </c:pt>
                <c:pt idx="42">
                  <c:v>32.277754047376561</c:v>
                </c:pt>
                <c:pt idx="43">
                  <c:v>32.724439127951626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35.185189305679351</c:v>
                </c:pt>
                <c:pt idx="48">
                  <c:v>35.930131505439078</c:v>
                </c:pt>
                <c:pt idx="49">
                  <c:v>36.619257949063623</c:v>
                </c:pt>
                <c:pt idx="50">
                  <c:v>37.135830923890786</c:v>
                </c:pt>
                <c:pt idx="51">
                  <c:v>37.903458751317338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39.380968781368644</c:v>
                </c:pt>
                <c:pt idx="55">
                  <c:v>39.89767070065016</c:v>
                </c:pt>
                <c:pt idx="56">
                  <c:v>40.345361547969077</c:v>
                </c:pt>
                <c:pt idx="57">
                  <c:v>40.599210197079138</c:v>
                </c:pt>
                <c:pt idx="58">
                  <c:v>40.953816042810232</c:v>
                </c:pt>
                <c:pt idx="59">
                  <c:v>41.148479187378399</c:v>
                </c:pt>
                <c:pt idx="60">
                  <c:v>41.263600796212863</c:v>
                </c:pt>
                <c:pt idx="61">
                  <c:v>41.337245272234732</c:v>
                </c:pt>
                <c:pt idx="62">
                  <c:v>41.392218591268218</c:v>
                </c:pt>
                <c:pt idx="63">
                  <c:v>41.560946707920181</c:v>
                </c:pt>
                <c:pt idx="64">
                  <c:v>41.856246700951978</c:v>
                </c:pt>
                <c:pt idx="65">
                  <c:v>42.026823021449466</c:v>
                </c:pt>
                <c:pt idx="66">
                  <c:v>42.28357721893066</c:v>
                </c:pt>
                <c:pt idx="67">
                  <c:v>42.635019627381951</c:v>
                </c:pt>
                <c:pt idx="68">
                  <c:v>43.070232949669268</c:v>
                </c:pt>
                <c:pt idx="69">
                  <c:v>43.603276429464103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44.431946561575053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43.876703144891401</c:v>
                </c:pt>
                <c:pt idx="78">
                  <c:v>43.651720860959522</c:v>
                </c:pt>
                <c:pt idx="79">
                  <c:v>43.545251425011237</c:v>
                </c:pt>
                <c:pt idx="80">
                  <c:v>43.456860001561388</c:v>
                </c:pt>
                <c:pt idx="81">
                  <c:v>43.113888813945366</c:v>
                </c:pt>
                <c:pt idx="82">
                  <c:v>42.780817121903837</c:v>
                </c:pt>
                <c:pt idx="83">
                  <c:v>42.433065963365436</c:v>
                </c:pt>
                <c:pt idx="84">
                  <c:v>42.377780598752437</c:v>
                </c:pt>
                <c:pt idx="85">
                  <c:v>42.015467313170632</c:v>
                </c:pt>
                <c:pt idx="86">
                  <c:v>41.819229327000144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41.661482120079754</c:v>
                </c:pt>
                <c:pt idx="90">
                  <c:v>41.912165612650618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0CA2-C54D-BDE1-2D5ADF468E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1725728"/>
        <c:axId val="1579920192"/>
      </c:lineChart>
      <c:catAx>
        <c:axId val="921135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ENGINE</a:t>
                </a:r>
                <a:r>
                  <a:rPr lang="en-GB" b="1" baseline="0"/>
                  <a:t> SPEED (RPM)</a:t>
                </a:r>
                <a:endParaRPr lang="en-GB" b="1"/>
              </a:p>
            </c:rich>
          </c:tx>
          <c:layout>
            <c:manualLayout>
              <c:xMode val="edge"/>
              <c:yMode val="edge"/>
              <c:x val="0.37938289117031587"/>
              <c:y val="0.8837653777947437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8786512"/>
        <c:crosses val="autoZero"/>
        <c:auto val="1"/>
        <c:lblAlgn val="ctr"/>
        <c:lblOffset val="100"/>
        <c:tickLblSkip val="10"/>
        <c:noMultiLvlLbl val="0"/>
      </c:catAx>
      <c:valAx>
        <c:axId val="1038786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113520"/>
        <c:crosses val="autoZero"/>
        <c:crossBetween val="between"/>
      </c:valAx>
      <c:valAx>
        <c:axId val="157992019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BRAKE</a:t>
                </a:r>
                <a:r>
                  <a:rPr lang="en-GB" b="1" baseline="0"/>
                  <a:t> POWER (kW)</a:t>
                </a:r>
                <a:endParaRPr lang="en-GB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1725728"/>
        <c:crosses val="max"/>
        <c:crossBetween val="between"/>
      </c:valAx>
      <c:catAx>
        <c:axId val="12317257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799201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25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5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75000"/>
            <a:lumOff val="2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254000</xdr:colOff>
      <xdr:row>6</xdr:row>
      <xdr:rowOff>50800</xdr:rowOff>
    </xdr:from>
    <xdr:to>
      <xdr:col>2</xdr:col>
      <xdr:colOff>520700</xdr:colOff>
      <xdr:row>9</xdr:row>
      <xdr:rowOff>169717</xdr:rowOff>
    </xdr:to>
    <xdr:pic>
      <xdr:nvPicPr>
        <xdr:cNvPr id="3" name="Picture 2" descr="Text&#10;&#10;Description automatically generated">
          <a:extLst>
            <a:ext uri="{FF2B5EF4-FFF2-40B4-BE49-F238E27FC236}">
              <a16:creationId xmlns:a16="http://schemas.microsoft.com/office/drawing/2014/main" id="{4E9BB8E3-AF00-8A45-BEF3-FA2DF5179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0" y="1193800"/>
          <a:ext cx="1917700" cy="6904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20</xdr:col>
      <xdr:colOff>711200</xdr:colOff>
      <xdr:row>48</xdr:row>
      <xdr:rowOff>63500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C22ABB54-6716-2AA7-5B71-7F63172C0A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alphaModFix amt="12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913600" cy="11645900"/>
        </a:xfrm>
        <a:prstGeom prst="rect">
          <a:avLst/>
        </a:prstGeom>
      </xdr:spPr>
    </xdr:pic>
    <xdr:clientData/>
  </xdr:twoCellAnchor>
  <xdr:oneCellAnchor>
    <xdr:from>
      <xdr:col>9</xdr:col>
      <xdr:colOff>208333</xdr:colOff>
      <xdr:row>9</xdr:row>
      <xdr:rowOff>27021</xdr:rowOff>
    </xdr:from>
    <xdr:ext cx="226857" cy="26445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401E3588-0A7A-7B49-A8C0-EDE05D4486D8}"/>
                </a:ext>
              </a:extLst>
            </xdr:cNvPr>
            <xdr:cNvSpPr txBox="1"/>
          </xdr:nvSpPr>
          <xdr:spPr>
            <a:xfrm>
              <a:off x="8907833" y="2059021"/>
              <a:ext cx="226857" cy="26445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400" b="0" i="1">
                        <a:latin typeface="Cambria Math" panose="02040503050406030204" pitchFamily="18" charset="0"/>
                      </a:rPr>
                      <m:t>(</m:t>
                    </m:r>
                    <m:r>
                      <a:rPr lang="en-GB" sz="1400" b="0" i="1">
                        <a:latin typeface="Cambria Math" panose="02040503050406030204" pitchFamily="18" charset="0"/>
                      </a:rPr>
                      <m:t>𝐿</m:t>
                    </m:r>
                    <m:r>
                      <a:rPr lang="en-GB" sz="1400" b="0" i="1">
                        <a:latin typeface="Cambria Math" panose="02040503050406030204" pitchFamily="18" charset="0"/>
                      </a:rPr>
                      <m:t>)</m:t>
                    </m:r>
                  </m:oMath>
                </m:oMathPara>
              </a14:m>
              <a:endParaRPr lang="en-GB" sz="14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401E3588-0A7A-7B49-A8C0-EDE05D4486D8}"/>
                </a:ext>
              </a:extLst>
            </xdr:cNvPr>
            <xdr:cNvSpPr txBox="1"/>
          </xdr:nvSpPr>
          <xdr:spPr>
            <a:xfrm>
              <a:off x="8907833" y="2059021"/>
              <a:ext cx="226857" cy="26445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:r>
                <a:rPr lang="en-GB" sz="1400" b="0" i="0">
                  <a:latin typeface="Cambria Math" panose="02040503050406030204" pitchFamily="18" charset="0"/>
                </a:rPr>
                <a:t>(𝐿)</a:t>
              </a:r>
              <a:endParaRPr lang="en-GB" sz="1400"/>
            </a:p>
          </xdr:txBody>
        </xdr:sp>
      </mc:Fallback>
    </mc:AlternateContent>
    <xdr:clientData/>
  </xdr:oneCellAnchor>
  <xdr:oneCellAnchor>
    <xdr:from>
      <xdr:col>10</xdr:col>
      <xdr:colOff>414775</xdr:colOff>
      <xdr:row>9</xdr:row>
      <xdr:rowOff>23328</xdr:rowOff>
    </xdr:from>
    <xdr:ext cx="305020" cy="21909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8C0F7764-DC2D-B847-AECE-E50DBBB92592}"/>
                </a:ext>
              </a:extLst>
            </xdr:cNvPr>
            <xdr:cNvSpPr txBox="1"/>
          </xdr:nvSpPr>
          <xdr:spPr>
            <a:xfrm>
              <a:off x="9774675" y="2055328"/>
              <a:ext cx="305020" cy="21909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400" b="0" i="1">
                        <a:latin typeface="Cambria Math" panose="02040503050406030204" pitchFamily="18" charset="0"/>
                      </a:rPr>
                      <m:t>(</m:t>
                    </m:r>
                    <m:r>
                      <a:rPr lang="en-GB" sz="1400" b="0" i="1">
                        <a:latin typeface="Cambria Math" panose="02040503050406030204" pitchFamily="18" charset="0"/>
                      </a:rPr>
                      <m:t>𝐴</m:t>
                    </m:r>
                    <m:r>
                      <a:rPr lang="en-GB" sz="1400" b="0" i="1">
                        <a:latin typeface="Cambria Math" panose="02040503050406030204" pitchFamily="18" charset="0"/>
                      </a:rPr>
                      <m:t>)</m:t>
                    </m:r>
                  </m:oMath>
                </m:oMathPara>
              </a14:m>
              <a:endParaRPr lang="en-GB" sz="14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8C0F7764-DC2D-B847-AECE-E50DBBB92592}"/>
                </a:ext>
              </a:extLst>
            </xdr:cNvPr>
            <xdr:cNvSpPr txBox="1"/>
          </xdr:nvSpPr>
          <xdr:spPr>
            <a:xfrm>
              <a:off x="9774675" y="2055328"/>
              <a:ext cx="305020" cy="21909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400" b="0" i="0">
                  <a:latin typeface="Cambria Math" panose="02040503050406030204" pitchFamily="18" charset="0"/>
                </a:rPr>
                <a:t>(𝐴)</a:t>
              </a:r>
              <a:endParaRPr lang="en-GB" sz="1400"/>
            </a:p>
          </xdr:txBody>
        </xdr:sp>
      </mc:Fallback>
    </mc:AlternateContent>
    <xdr:clientData/>
  </xdr:oneCellAnchor>
  <xdr:oneCellAnchor>
    <xdr:from>
      <xdr:col>10</xdr:col>
      <xdr:colOff>536372</xdr:colOff>
      <xdr:row>11</xdr:row>
      <xdr:rowOff>88900</xdr:rowOff>
    </xdr:from>
    <xdr:ext cx="283155" cy="19127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9402EE9A-7E2A-4147-8404-71E95A6A06CE}"/>
                </a:ext>
              </a:extLst>
            </xdr:cNvPr>
            <xdr:cNvSpPr txBox="1"/>
          </xdr:nvSpPr>
          <xdr:spPr>
            <a:xfrm>
              <a:off x="9896272" y="3289300"/>
              <a:ext cx="283155" cy="1912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GB" sz="1200" b="0" i="1">
                            <a:latin typeface="Cambria Math" panose="02040503050406030204" pitchFamily="18" charset="0"/>
                          </a:rPr>
                          <m:t>𝑚</m:t>
                        </m:r>
                      </m:e>
                      <m:sup>
                        <m:r>
                          <a:rPr lang="en-GB" sz="12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GB" sz="12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9402EE9A-7E2A-4147-8404-71E95A6A06CE}"/>
                </a:ext>
              </a:extLst>
            </xdr:cNvPr>
            <xdr:cNvSpPr txBox="1"/>
          </xdr:nvSpPr>
          <xdr:spPr>
            <a:xfrm>
              <a:off x="9896272" y="3289300"/>
              <a:ext cx="283155" cy="1912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200" b="0" i="0">
                  <a:latin typeface="Cambria Math" panose="02040503050406030204" pitchFamily="18" charset="0"/>
                </a:rPr>
                <a:t>𝑚^2</a:t>
              </a:r>
              <a:endParaRPr lang="en-GB" sz="1200"/>
            </a:p>
          </xdr:txBody>
        </xdr:sp>
      </mc:Fallback>
    </mc:AlternateContent>
    <xdr:clientData/>
  </xdr:oneCellAnchor>
  <xdr:oneCellAnchor>
    <xdr:from>
      <xdr:col>9</xdr:col>
      <xdr:colOff>488813</xdr:colOff>
      <xdr:row>10</xdr:row>
      <xdr:rowOff>281021</xdr:rowOff>
    </xdr:from>
    <xdr:ext cx="1362414" cy="40459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8F37907D-FAAA-374F-AC6C-2EE1202F0AEC}"/>
                </a:ext>
              </a:extLst>
            </xdr:cNvPr>
            <xdr:cNvSpPr txBox="1"/>
          </xdr:nvSpPr>
          <xdr:spPr>
            <a:xfrm>
              <a:off x="9188313" y="2579721"/>
              <a:ext cx="1362414" cy="40459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400" b="0" i="1">
                        <a:latin typeface="Cambria Math" panose="02040503050406030204" pitchFamily="18" charset="0"/>
                      </a:rPr>
                      <m:t>𝐴</m:t>
                    </m:r>
                    <m:r>
                      <a:rPr lang="en-GB" sz="1400" b="0" i="1">
                        <a:latin typeface="Cambria Math" panose="02040503050406030204" pitchFamily="18" charset="0"/>
                      </a:rPr>
                      <m:t>= </m:t>
                    </m:r>
                    <m:f>
                      <m:fPr>
                        <m:ctrlPr>
                          <a:rPr lang="en-GB" sz="14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4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  <m:sSup>
                          <m:sSupPr>
                            <m:ctrlPr>
                              <a:rPr lang="en-GB" sz="140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GB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𝑑</m:t>
                            </m:r>
                          </m:e>
                          <m:sup>
                            <m:r>
                              <a:rPr lang="en-GB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</m:num>
                      <m:den>
                        <m:r>
                          <a:rPr lang="en-GB" sz="1400" b="0" i="1">
                            <a:latin typeface="Cambria Math" panose="02040503050406030204" pitchFamily="18" charset="0"/>
                          </a:rPr>
                          <m:t>4</m:t>
                        </m:r>
                      </m:den>
                    </m:f>
                  </m:oMath>
                </m:oMathPara>
              </a14:m>
              <a:endParaRPr lang="en-GB" sz="14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8F37907D-FAAA-374F-AC6C-2EE1202F0AEC}"/>
                </a:ext>
              </a:extLst>
            </xdr:cNvPr>
            <xdr:cNvSpPr txBox="1"/>
          </xdr:nvSpPr>
          <xdr:spPr>
            <a:xfrm>
              <a:off x="9188313" y="2579721"/>
              <a:ext cx="1362414" cy="40459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GB" sz="1400" b="0" i="0">
                  <a:latin typeface="Cambria Math" panose="02040503050406030204" pitchFamily="18" charset="0"/>
                </a:rPr>
                <a:t>𝐴= </a:t>
              </a:r>
              <a:r>
                <a:rPr lang="en-GB" sz="1400" i="0">
                  <a:latin typeface="Cambria Math" panose="02040503050406030204" pitchFamily="18" charset="0"/>
                  <a:ea typeface="Cambria Math" panose="02040503050406030204" pitchFamily="18" charset="0"/>
                </a:rPr>
                <a:t> (𝜋</a:t>
              </a:r>
              <a:r>
                <a:rPr lang="en-GB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𝑑^2)/</a:t>
              </a:r>
              <a:r>
                <a:rPr lang="en-GB" sz="1400" b="0" i="0">
                  <a:latin typeface="Cambria Math" panose="02040503050406030204" pitchFamily="18" charset="0"/>
                </a:rPr>
                <a:t>4</a:t>
              </a:r>
              <a:endParaRPr lang="en-GB" sz="1400"/>
            </a:p>
          </xdr:txBody>
        </xdr:sp>
      </mc:Fallback>
    </mc:AlternateContent>
    <xdr:clientData/>
  </xdr:oneCellAnchor>
  <xdr:oneCellAnchor>
    <xdr:from>
      <xdr:col>12</xdr:col>
      <xdr:colOff>139971</xdr:colOff>
      <xdr:row>10</xdr:row>
      <xdr:rowOff>386765</xdr:rowOff>
    </xdr:from>
    <xdr:ext cx="762709" cy="21909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BAB258F0-F923-3D40-82F5-0399D55974BA}"/>
                </a:ext>
              </a:extLst>
            </xdr:cNvPr>
            <xdr:cNvSpPr txBox="1"/>
          </xdr:nvSpPr>
          <xdr:spPr>
            <a:xfrm>
              <a:off x="11773171" y="2685465"/>
              <a:ext cx="762709" cy="21909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en-GB" sz="1100" b="0" i="1">
                      <a:latin typeface="Cambria Math" panose="02040503050406030204" pitchFamily="18" charset="0"/>
                    </a:rPr>
                    <m:t>𝑉</m:t>
                  </m:r>
                </m:oMath>
              </a14:m>
              <a:r>
                <a:rPr lang="en-GB" sz="1100" b="0"/>
                <a:t> </a:t>
              </a:r>
              <a14:m>
                <m:oMath xmlns:m="http://schemas.openxmlformats.org/officeDocument/2006/math">
                  <m:r>
                    <a:rPr lang="en-GB" sz="1400" b="0" i="1">
                      <a:latin typeface="Cambria Math" panose="02040503050406030204" pitchFamily="18" charset="0"/>
                    </a:rPr>
                    <m:t>=</m:t>
                  </m:r>
                  <m:r>
                    <a:rPr lang="en-GB" sz="1400" b="0" i="1">
                      <a:latin typeface="Cambria Math" panose="02040503050406030204" pitchFamily="18" charset="0"/>
                    </a:rPr>
                    <m:t>𝐴</m:t>
                  </m:r>
                  <m:r>
                    <a:rPr lang="en-GB" sz="1400" b="0" i="1">
                      <a:latin typeface="Cambria Math" panose="02040503050406030204" pitchFamily="18" charset="0"/>
                    </a:rPr>
                    <m:t>.</m:t>
                  </m:r>
                  <m:r>
                    <a:rPr lang="en-GB" sz="1400" b="0" i="1">
                      <a:latin typeface="Cambria Math" panose="02040503050406030204" pitchFamily="18" charset="0"/>
                    </a:rPr>
                    <m:t>𝐿</m:t>
                  </m:r>
                  <m:r>
                    <a:rPr lang="en-GB" sz="1400" b="0" i="1">
                      <a:latin typeface="Cambria Math" panose="02040503050406030204" pitchFamily="18" charset="0"/>
                    </a:rPr>
                    <m:t>.</m:t>
                  </m:r>
                  <m:r>
                    <a:rPr lang="en-GB" sz="1400" b="0" i="1">
                      <a:latin typeface="Cambria Math" panose="02040503050406030204" pitchFamily="18" charset="0"/>
                    </a:rPr>
                    <m:t>𝑛</m:t>
                  </m:r>
                </m:oMath>
              </a14:m>
              <a:endParaRPr lang="en-GB" sz="14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BAB258F0-F923-3D40-82F5-0399D55974BA}"/>
                </a:ext>
              </a:extLst>
            </xdr:cNvPr>
            <xdr:cNvSpPr txBox="1"/>
          </xdr:nvSpPr>
          <xdr:spPr>
            <a:xfrm>
              <a:off x="11773171" y="2685465"/>
              <a:ext cx="762709" cy="21909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𝑉</a:t>
              </a:r>
              <a:r>
                <a:rPr lang="en-GB" sz="1100" b="0"/>
                <a:t> </a:t>
              </a:r>
              <a:r>
                <a:rPr lang="en-GB" sz="1400" b="0" i="0">
                  <a:latin typeface="Cambria Math" panose="02040503050406030204" pitchFamily="18" charset="0"/>
                </a:rPr>
                <a:t>=𝐴.𝐿.𝑛</a:t>
              </a:r>
              <a:endParaRPr lang="en-GB" sz="1400"/>
            </a:p>
          </xdr:txBody>
        </xdr:sp>
      </mc:Fallback>
    </mc:AlternateContent>
    <xdr:clientData/>
  </xdr:oneCellAnchor>
  <xdr:oneCellAnchor>
    <xdr:from>
      <xdr:col>13</xdr:col>
      <xdr:colOff>189482</xdr:colOff>
      <xdr:row>11</xdr:row>
      <xdr:rowOff>101600</xdr:rowOff>
    </xdr:from>
    <xdr:ext cx="610618" cy="19127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5B4741A9-45AC-444F-AF9B-C895B10C721E}"/>
                </a:ext>
              </a:extLst>
            </xdr:cNvPr>
            <xdr:cNvSpPr txBox="1"/>
          </xdr:nvSpPr>
          <xdr:spPr>
            <a:xfrm flipH="1">
              <a:off x="12838682" y="3302000"/>
              <a:ext cx="610618" cy="1912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GB" sz="1200" b="0" i="1">
                            <a:latin typeface="Cambria Math" panose="02040503050406030204" pitchFamily="18" charset="0"/>
                          </a:rPr>
                          <m:t>𝑚</m:t>
                        </m:r>
                      </m:e>
                      <m:sup>
                        <m:r>
                          <a:rPr lang="en-GB" sz="1200" b="0" i="1">
                            <a:latin typeface="Cambria Math" panose="02040503050406030204" pitchFamily="18" charset="0"/>
                          </a:rPr>
                          <m:t>3</m:t>
                        </m:r>
                      </m:sup>
                    </m:sSup>
                  </m:oMath>
                </m:oMathPara>
              </a14:m>
              <a:endParaRPr lang="en-GB" sz="12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5B4741A9-45AC-444F-AF9B-C895B10C721E}"/>
                </a:ext>
              </a:extLst>
            </xdr:cNvPr>
            <xdr:cNvSpPr txBox="1"/>
          </xdr:nvSpPr>
          <xdr:spPr>
            <a:xfrm flipH="1">
              <a:off x="12838682" y="3302000"/>
              <a:ext cx="610618" cy="1912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200" b="0" i="0">
                  <a:latin typeface="Cambria Math" panose="02040503050406030204" pitchFamily="18" charset="0"/>
                </a:rPr>
                <a:t>𝑚^3</a:t>
              </a:r>
              <a:endParaRPr lang="en-GB" sz="1200"/>
            </a:p>
          </xdr:txBody>
        </xdr:sp>
      </mc:Fallback>
    </mc:AlternateContent>
    <xdr:clientData/>
  </xdr:oneCellAnchor>
  <xdr:oneCellAnchor>
    <xdr:from>
      <xdr:col>14</xdr:col>
      <xdr:colOff>450445</xdr:colOff>
      <xdr:row>9</xdr:row>
      <xdr:rowOff>32966</xdr:rowOff>
    </xdr:from>
    <xdr:ext cx="406009" cy="21050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826A9F78-F463-A646-874C-3B998A5086CA}"/>
                </a:ext>
              </a:extLst>
            </xdr:cNvPr>
            <xdr:cNvSpPr txBox="1"/>
          </xdr:nvSpPr>
          <xdr:spPr>
            <a:xfrm>
              <a:off x="14052145" y="2064966"/>
              <a:ext cx="406009" cy="21050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en-GB" sz="1400" b="0" i="1">
                      <a:latin typeface="Cambria Math" panose="02040503050406030204" pitchFamily="18" charset="0"/>
                    </a:rPr>
                    <m:t>(</m:t>
                  </m:r>
                  <m:r>
                    <a:rPr lang="en-GB" sz="1400" b="0" i="1">
                      <a:latin typeface="Cambria Math" panose="02040503050406030204" pitchFamily="18" charset="0"/>
                    </a:rPr>
                    <m:t>𝐶𝑉</m:t>
                  </m:r>
                  <m:r>
                    <a:rPr lang="en-GB" sz="1400" b="0" i="1">
                      <a:latin typeface="Cambria Math" panose="02040503050406030204" pitchFamily="18" charset="0"/>
                    </a:rPr>
                    <m:t>)</m:t>
                  </m:r>
                </m:oMath>
              </a14:m>
              <a:r>
                <a:rPr lang="en-GB" sz="1100" b="0"/>
                <a:t> </a:t>
              </a:r>
              <a:endParaRPr lang="en-GB" sz="1100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826A9F78-F463-A646-874C-3B998A5086CA}"/>
                </a:ext>
              </a:extLst>
            </xdr:cNvPr>
            <xdr:cNvSpPr txBox="1"/>
          </xdr:nvSpPr>
          <xdr:spPr>
            <a:xfrm>
              <a:off x="14052145" y="2064966"/>
              <a:ext cx="406009" cy="21050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400" b="0" i="0">
                  <a:latin typeface="Cambria Math" panose="02040503050406030204" pitchFamily="18" charset="0"/>
                </a:rPr>
                <a:t>(𝐶𝑉)</a:t>
              </a:r>
              <a:r>
                <a:rPr lang="en-GB" sz="1100" b="0"/>
                <a:t> 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11</xdr:col>
      <xdr:colOff>405950</xdr:colOff>
      <xdr:row>9</xdr:row>
      <xdr:rowOff>21707</xdr:rowOff>
    </xdr:from>
    <xdr:ext cx="317950" cy="21909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6B620024-A817-0F45-87C5-FF73347F682D}"/>
                </a:ext>
              </a:extLst>
            </xdr:cNvPr>
            <xdr:cNvSpPr txBox="1"/>
          </xdr:nvSpPr>
          <xdr:spPr>
            <a:xfrm>
              <a:off x="10972350" y="2053707"/>
              <a:ext cx="317950" cy="21909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400" b="0" i="1">
                        <a:latin typeface="Cambria Math" panose="02040503050406030204" pitchFamily="18" charset="0"/>
                      </a:rPr>
                      <m:t>(</m:t>
                    </m:r>
                    <m:r>
                      <a:rPr lang="en-GB" sz="14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en-GB" sz="1400" b="0" i="1">
                        <a:latin typeface="Cambria Math" panose="02040503050406030204" pitchFamily="18" charset="0"/>
                      </a:rPr>
                      <m:t>)</m:t>
                    </m:r>
                  </m:oMath>
                </m:oMathPara>
              </a14:m>
              <a:endParaRPr lang="en-GB" sz="1400"/>
            </a:p>
          </xdr:txBody>
        </xdr:sp>
      </mc:Choice>
      <mc:Fallback xmlns="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6B620024-A817-0F45-87C5-FF73347F682D}"/>
                </a:ext>
              </a:extLst>
            </xdr:cNvPr>
            <xdr:cNvSpPr txBox="1"/>
          </xdr:nvSpPr>
          <xdr:spPr>
            <a:xfrm>
              <a:off x="10972350" y="2053707"/>
              <a:ext cx="317950" cy="21909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400" b="0" i="0">
                  <a:latin typeface="Cambria Math" panose="02040503050406030204" pitchFamily="18" charset="0"/>
                </a:rPr>
                <a:t>(𝑛)</a:t>
              </a:r>
              <a:endParaRPr lang="en-GB" sz="1400"/>
            </a:p>
          </xdr:txBody>
        </xdr:sp>
      </mc:Fallback>
    </mc:AlternateContent>
    <xdr:clientData/>
  </xdr:oneCellAnchor>
  <xdr:oneCellAnchor>
    <xdr:from>
      <xdr:col>13</xdr:col>
      <xdr:colOff>302443</xdr:colOff>
      <xdr:row>9</xdr:row>
      <xdr:rowOff>39721</xdr:rowOff>
    </xdr:from>
    <xdr:ext cx="383357" cy="22697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E8EE3A02-38CA-E24D-8CE3-0C82627CE6EC}"/>
                </a:ext>
              </a:extLst>
            </xdr:cNvPr>
            <xdr:cNvSpPr txBox="1"/>
          </xdr:nvSpPr>
          <xdr:spPr>
            <a:xfrm>
              <a:off x="12951643" y="2071721"/>
              <a:ext cx="383357" cy="2269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4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400" b="0" i="1">
                            <a:latin typeface="Cambria Math" panose="02040503050406030204" pitchFamily="18" charset="0"/>
                          </a:rPr>
                          <m:t>(</m:t>
                        </m:r>
                        <m:r>
                          <a:rPr lang="en-GB" sz="1400" b="0" i="1">
                            <a:latin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en-GB" sz="1400" b="0" i="1">
                            <a:latin typeface="Cambria Math" panose="02040503050406030204" pitchFamily="18" charset="0"/>
                          </a:rPr>
                          <m:t>𝑠</m:t>
                        </m:r>
                      </m:sub>
                    </m:sSub>
                    <m:r>
                      <a:rPr lang="en-GB" sz="1400" b="0" i="1">
                        <a:latin typeface="Cambria Math" panose="02040503050406030204" pitchFamily="18" charset="0"/>
                      </a:rPr>
                      <m:t>)</m:t>
                    </m:r>
                  </m:oMath>
                </m:oMathPara>
              </a14:m>
              <a:endParaRPr lang="en-GB" sz="1400"/>
            </a:p>
          </xdr:txBody>
        </xdr:sp>
      </mc:Choice>
      <mc:Fallback xmlns="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E8EE3A02-38CA-E24D-8CE3-0C82627CE6EC}"/>
                </a:ext>
              </a:extLst>
            </xdr:cNvPr>
            <xdr:cNvSpPr txBox="1"/>
          </xdr:nvSpPr>
          <xdr:spPr>
            <a:xfrm>
              <a:off x="12951643" y="2071721"/>
              <a:ext cx="383357" cy="22697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400" i="0">
                  <a:latin typeface="Cambria Math" panose="02040503050406030204" pitchFamily="18" charset="0"/>
                </a:rPr>
                <a:t>〖</a:t>
              </a:r>
              <a:r>
                <a:rPr lang="en-GB" sz="1400" b="0" i="0">
                  <a:latin typeface="Cambria Math" panose="02040503050406030204" pitchFamily="18" charset="0"/>
                </a:rPr>
                <a:t>(𝑉〗_𝑠)</a:t>
              </a:r>
              <a:endParaRPr lang="en-GB" sz="1400"/>
            </a:p>
          </xdr:txBody>
        </xdr:sp>
      </mc:Fallback>
    </mc:AlternateContent>
    <xdr:clientData/>
  </xdr:oneCellAnchor>
  <xdr:oneCellAnchor>
    <xdr:from>
      <xdr:col>13</xdr:col>
      <xdr:colOff>153391</xdr:colOff>
      <xdr:row>10</xdr:row>
      <xdr:rowOff>287686</xdr:rowOff>
    </xdr:from>
    <xdr:ext cx="575799" cy="40331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A0BB1782-6B5A-B34B-96D9-6617A331757D}"/>
                </a:ext>
              </a:extLst>
            </xdr:cNvPr>
            <xdr:cNvSpPr txBox="1"/>
          </xdr:nvSpPr>
          <xdr:spPr>
            <a:xfrm>
              <a:off x="12802591" y="2586386"/>
              <a:ext cx="575799" cy="40331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4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400" b="0" i="1">
                            <a:latin typeface="Cambria Math" panose="02040503050406030204" pitchFamily="18" charset="0"/>
                          </a:rPr>
                          <m:t>𝑉</m:t>
                        </m:r>
                      </m:e>
                      <m:sub>
                        <m:r>
                          <a:rPr lang="en-GB" sz="1400" b="0" i="1">
                            <a:latin typeface="Cambria Math" panose="02040503050406030204" pitchFamily="18" charset="0"/>
                          </a:rPr>
                          <m:t>𝑠</m:t>
                        </m:r>
                      </m:sub>
                    </m:sSub>
                    <m:r>
                      <a:rPr lang="en-GB" sz="1400" b="0" i="1">
                        <a:latin typeface="Cambria Math" panose="02040503050406030204" pitchFamily="18" charset="0"/>
                      </a:rPr>
                      <m:t>= </m:t>
                    </m:r>
                    <m:f>
                      <m:fPr>
                        <m:ctrlPr>
                          <a:rPr lang="en-GB" sz="14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400" b="0" i="1">
                            <a:latin typeface="Cambria Math" panose="02040503050406030204" pitchFamily="18" charset="0"/>
                          </a:rPr>
                          <m:t>𝑉</m:t>
                        </m:r>
                      </m:num>
                      <m:den>
                        <m:r>
                          <a:rPr lang="en-GB" sz="14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</m:oMath>
                </m:oMathPara>
              </a14:m>
              <a:endParaRPr lang="en-GB" sz="1400"/>
            </a:p>
          </xdr:txBody>
        </xdr:sp>
      </mc:Choice>
      <mc:Fallback xmlns="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A0BB1782-6B5A-B34B-96D9-6617A331757D}"/>
                </a:ext>
              </a:extLst>
            </xdr:cNvPr>
            <xdr:cNvSpPr txBox="1"/>
          </xdr:nvSpPr>
          <xdr:spPr>
            <a:xfrm>
              <a:off x="12802591" y="2586386"/>
              <a:ext cx="575799" cy="40331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400" b="0" i="0">
                  <a:latin typeface="Cambria Math" panose="02040503050406030204" pitchFamily="18" charset="0"/>
                </a:rPr>
                <a:t>𝑉_𝑠=  𝑉/𝑛</a:t>
              </a:r>
              <a:endParaRPr lang="en-GB" sz="1400"/>
            </a:p>
          </xdr:txBody>
        </xdr:sp>
      </mc:Fallback>
    </mc:AlternateContent>
    <xdr:clientData/>
  </xdr:oneCellAnchor>
  <xdr:oneCellAnchor>
    <xdr:from>
      <xdr:col>12</xdr:col>
      <xdr:colOff>389168</xdr:colOff>
      <xdr:row>11</xdr:row>
      <xdr:rowOff>94215</xdr:rowOff>
    </xdr:from>
    <xdr:ext cx="271502" cy="18124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EB01E18A-BFED-3F4B-98EF-4E1673794710}"/>
                </a:ext>
              </a:extLst>
            </xdr:cNvPr>
            <xdr:cNvSpPr txBox="1"/>
          </xdr:nvSpPr>
          <xdr:spPr>
            <a:xfrm flipH="1">
              <a:off x="12022368" y="3294615"/>
              <a:ext cx="271502" cy="18124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GB" sz="1200" b="0" i="1">
                            <a:latin typeface="Cambria Math" panose="02040503050406030204" pitchFamily="18" charset="0"/>
                          </a:rPr>
                          <m:t>𝑚</m:t>
                        </m:r>
                      </m:e>
                      <m:sup>
                        <m:r>
                          <a:rPr lang="en-GB" sz="1200" b="0" i="1">
                            <a:latin typeface="Cambria Math" panose="02040503050406030204" pitchFamily="18" charset="0"/>
                          </a:rPr>
                          <m:t>3</m:t>
                        </m:r>
                      </m:sup>
                    </m:sSup>
                  </m:oMath>
                </m:oMathPara>
              </a14:m>
              <a:endParaRPr lang="en-GB" sz="1200"/>
            </a:p>
          </xdr:txBody>
        </xdr:sp>
      </mc:Choice>
      <mc:Fallback xmlns="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EB01E18A-BFED-3F4B-98EF-4E1673794710}"/>
                </a:ext>
              </a:extLst>
            </xdr:cNvPr>
            <xdr:cNvSpPr txBox="1"/>
          </xdr:nvSpPr>
          <xdr:spPr>
            <a:xfrm flipH="1">
              <a:off x="12022368" y="3294615"/>
              <a:ext cx="271502" cy="18124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:r>
                <a:rPr lang="en-GB" sz="1200" b="0" i="0">
                  <a:latin typeface="Cambria Math" panose="02040503050406030204" pitchFamily="18" charset="0"/>
                </a:rPr>
                <a:t>𝑚^3</a:t>
              </a:r>
              <a:endParaRPr lang="en-GB" sz="1200"/>
            </a:p>
          </xdr:txBody>
        </xdr:sp>
      </mc:Fallback>
    </mc:AlternateContent>
    <xdr:clientData/>
  </xdr:oneCellAnchor>
  <xdr:oneCellAnchor>
    <xdr:from>
      <xdr:col>3</xdr:col>
      <xdr:colOff>152400</xdr:colOff>
      <xdr:row>11</xdr:row>
      <xdr:rowOff>127000</xdr:rowOff>
    </xdr:from>
    <xdr:ext cx="408681" cy="17209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068B8614-C259-A604-7A6B-849A0732E79C}"/>
                </a:ext>
              </a:extLst>
            </xdr:cNvPr>
            <xdr:cNvSpPr txBox="1"/>
          </xdr:nvSpPr>
          <xdr:spPr>
            <a:xfrm>
              <a:off x="2628900" y="1498600"/>
              <a:ext cx="408681" cy="1720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°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068B8614-C259-A604-7A6B-849A0732E79C}"/>
                </a:ext>
              </a:extLst>
            </xdr:cNvPr>
            <xdr:cNvSpPr txBox="1"/>
          </xdr:nvSpPr>
          <xdr:spPr>
            <a:xfrm>
              <a:off x="2628900" y="1498600"/>
              <a:ext cx="408681" cy="1720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°</a:t>
              </a:r>
              <a:endParaRPr lang="en-GB" sz="1100"/>
            </a:p>
          </xdr:txBody>
        </xdr:sp>
      </mc:Fallback>
    </mc:AlternateContent>
    <xdr:clientData/>
  </xdr:oneCellAnchor>
  <xdr:twoCellAnchor editAs="oneCell">
    <xdr:from>
      <xdr:col>0</xdr:col>
      <xdr:colOff>12700</xdr:colOff>
      <xdr:row>7</xdr:row>
      <xdr:rowOff>685800</xdr:rowOff>
    </xdr:from>
    <xdr:to>
      <xdr:col>0</xdr:col>
      <xdr:colOff>1760506</xdr:colOff>
      <xdr:row>8</xdr:row>
      <xdr:rowOff>939800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FEEACD28-95FF-2A40-A037-5CCA43A45E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00" y="1066800"/>
          <a:ext cx="1747806" cy="952500"/>
        </a:xfrm>
        <a:prstGeom prst="rect">
          <a:avLst/>
        </a:prstGeom>
      </xdr:spPr>
    </xdr:pic>
    <xdr:clientData/>
  </xdr:twoCellAnchor>
  <xdr:oneCellAnchor>
    <xdr:from>
      <xdr:col>1</xdr:col>
      <xdr:colOff>438150</xdr:colOff>
      <xdr:row>9</xdr:row>
      <xdr:rowOff>6350</xdr:rowOff>
    </xdr:from>
    <xdr:ext cx="227435" cy="219099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69B59B1A-DD2B-955A-0DC4-110302A43FE3}"/>
                </a:ext>
              </a:extLst>
            </xdr:cNvPr>
            <xdr:cNvSpPr txBox="1"/>
          </xdr:nvSpPr>
          <xdr:spPr>
            <a:xfrm>
              <a:off x="2203450" y="2038350"/>
              <a:ext cx="227435" cy="21909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4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4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𝜌</m:t>
                        </m:r>
                      </m:e>
                      <m:sub>
                        <m:r>
                          <a:rPr lang="en-GB" sz="1400" b="0" i="1">
                            <a:latin typeface="Cambria Math" panose="02040503050406030204" pitchFamily="18" charset="0"/>
                          </a:rPr>
                          <m:t>𝑎</m:t>
                        </m:r>
                      </m:sub>
                    </m:sSub>
                  </m:oMath>
                </m:oMathPara>
              </a14:m>
              <a:endParaRPr lang="en-GB" sz="1400"/>
            </a:p>
          </xdr:txBody>
        </xdr:sp>
      </mc:Choice>
      <mc:Fallback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69B59B1A-DD2B-955A-0DC4-110302A43FE3}"/>
                </a:ext>
              </a:extLst>
            </xdr:cNvPr>
            <xdr:cNvSpPr txBox="1"/>
          </xdr:nvSpPr>
          <xdr:spPr>
            <a:xfrm>
              <a:off x="2203450" y="2038350"/>
              <a:ext cx="227435" cy="21909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4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𝜌_</a:t>
              </a:r>
              <a:r>
                <a:rPr lang="en-GB" sz="1400" b="0" i="0">
                  <a:latin typeface="Cambria Math" panose="02040503050406030204" pitchFamily="18" charset="0"/>
                </a:rPr>
                <a:t>𝑎</a:t>
              </a:r>
              <a:endParaRPr lang="en-GB" sz="1400"/>
            </a:p>
          </xdr:txBody>
        </xdr:sp>
      </mc:Fallback>
    </mc:AlternateContent>
    <xdr:clientData/>
  </xdr:oneCellAnchor>
  <xdr:oneCellAnchor>
    <xdr:from>
      <xdr:col>4</xdr:col>
      <xdr:colOff>374650</xdr:colOff>
      <xdr:row>9</xdr:row>
      <xdr:rowOff>19050</xdr:rowOff>
    </xdr:from>
    <xdr:ext cx="215444" cy="219099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78A9522A-9E51-A133-1A75-602811952F9E}"/>
                </a:ext>
              </a:extLst>
            </xdr:cNvPr>
            <xdr:cNvSpPr txBox="1"/>
          </xdr:nvSpPr>
          <xdr:spPr>
            <a:xfrm>
              <a:off x="4933950" y="2051050"/>
              <a:ext cx="215444" cy="21909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4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400" b="0" i="1">
                            <a:latin typeface="Cambria Math" panose="02040503050406030204" pitchFamily="18" charset="0"/>
                          </a:rPr>
                          <m:t>𝑇</m:t>
                        </m:r>
                      </m:e>
                      <m:sub>
                        <m:r>
                          <a:rPr lang="en-GB" sz="1400" b="0" i="1">
                            <a:latin typeface="Cambria Math" panose="02040503050406030204" pitchFamily="18" charset="0"/>
                          </a:rPr>
                          <m:t>𝑎</m:t>
                        </m:r>
                      </m:sub>
                    </m:sSub>
                  </m:oMath>
                </m:oMathPara>
              </a14:m>
              <a:endParaRPr lang="en-GB" sz="1400"/>
            </a:p>
          </xdr:txBody>
        </xdr:sp>
      </mc:Choice>
      <mc:Fallback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78A9522A-9E51-A133-1A75-602811952F9E}"/>
                </a:ext>
              </a:extLst>
            </xdr:cNvPr>
            <xdr:cNvSpPr txBox="1"/>
          </xdr:nvSpPr>
          <xdr:spPr>
            <a:xfrm>
              <a:off x="4933950" y="2051050"/>
              <a:ext cx="215444" cy="21909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400" b="0" i="0">
                  <a:latin typeface="Cambria Math" panose="02040503050406030204" pitchFamily="18" charset="0"/>
                </a:rPr>
                <a:t>𝑇_𝑎</a:t>
              </a:r>
              <a:endParaRPr lang="en-GB" sz="1400"/>
            </a:p>
          </xdr:txBody>
        </xdr:sp>
      </mc:Fallback>
    </mc:AlternateContent>
    <xdr:clientData/>
  </xdr:oneCellAnchor>
  <xdr:twoCellAnchor editAs="oneCell">
    <xdr:from>
      <xdr:col>0</xdr:col>
      <xdr:colOff>88901</xdr:colOff>
      <xdr:row>1</xdr:row>
      <xdr:rowOff>46818</xdr:rowOff>
    </xdr:from>
    <xdr:to>
      <xdr:col>1</xdr:col>
      <xdr:colOff>241301</xdr:colOff>
      <xdr:row>4</xdr:row>
      <xdr:rowOff>165735</xdr:rowOff>
    </xdr:to>
    <xdr:pic>
      <xdr:nvPicPr>
        <xdr:cNvPr id="19" name="Picture 18" descr="Text&#10;&#10;Description automatically generated">
          <a:extLst>
            <a:ext uri="{FF2B5EF4-FFF2-40B4-BE49-F238E27FC236}">
              <a16:creationId xmlns:a16="http://schemas.microsoft.com/office/drawing/2014/main" id="{F7CA44C3-F46A-C3DE-66F7-2FF5BB9A7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1" y="237318"/>
          <a:ext cx="1917700" cy="69041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659677</xdr:colOff>
      <xdr:row>4</xdr:row>
      <xdr:rowOff>181764</xdr:rowOff>
    </xdr:from>
    <xdr:ext cx="456855" cy="17438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BE6F432A-1730-6614-D995-4830DD4AB8B6}"/>
                </a:ext>
              </a:extLst>
            </xdr:cNvPr>
            <xdr:cNvSpPr txBox="1"/>
          </xdr:nvSpPr>
          <xdr:spPr>
            <a:xfrm>
              <a:off x="6721450" y="974388"/>
              <a:ext cx="456855" cy="17438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𝑇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𝐹𝑠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BE6F432A-1730-6614-D995-4830DD4AB8B6}"/>
                </a:ext>
              </a:extLst>
            </xdr:cNvPr>
            <xdr:cNvSpPr txBox="1"/>
          </xdr:nvSpPr>
          <xdr:spPr>
            <a:xfrm>
              <a:off x="6721450" y="974388"/>
              <a:ext cx="456855" cy="17438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𝑇=𝐹𝑠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</xdr:col>
      <xdr:colOff>1028341</xdr:colOff>
      <xdr:row>1</xdr:row>
      <xdr:rowOff>99079</xdr:rowOff>
    </xdr:from>
    <xdr:ext cx="264540" cy="17209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D5F34293-2246-1D61-35BE-4999130F7396}"/>
                </a:ext>
              </a:extLst>
            </xdr:cNvPr>
            <xdr:cNvSpPr txBox="1"/>
          </xdr:nvSpPr>
          <xdr:spPr>
            <a:xfrm flipH="1">
              <a:off x="1280540" y="306242"/>
              <a:ext cx="264540" cy="1720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1" i="1">
                        <a:latin typeface="Cambria Math" panose="02040503050406030204" pitchFamily="18" charset="0"/>
                      </a:rPr>
                      <m:t>(</m:t>
                    </m:r>
                    <m:r>
                      <a:rPr lang="en-GB" sz="1100" b="1" i="1">
                        <a:latin typeface="Cambria Math" panose="02040503050406030204" pitchFamily="18" charset="0"/>
                      </a:rPr>
                      <m:t>𝑵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)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D5F34293-2246-1D61-35BE-4999130F7396}"/>
                </a:ext>
              </a:extLst>
            </xdr:cNvPr>
            <xdr:cNvSpPr txBox="1"/>
          </xdr:nvSpPr>
          <xdr:spPr>
            <a:xfrm flipH="1">
              <a:off x="1280540" y="306242"/>
              <a:ext cx="264540" cy="1720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1" i="0">
                  <a:latin typeface="Cambria Math" panose="02040503050406030204" pitchFamily="18" charset="0"/>
                </a:rPr>
                <a:t>(𝑵</a:t>
              </a:r>
              <a:r>
                <a:rPr lang="en-GB" sz="1100" b="0" i="0">
                  <a:latin typeface="Cambria Math" panose="02040503050406030204" pitchFamily="18" charset="0"/>
                </a:rPr>
                <a:t>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10</xdr:col>
      <xdr:colOff>391242</xdr:colOff>
      <xdr:row>1</xdr:row>
      <xdr:rowOff>108085</xdr:rowOff>
    </xdr:from>
    <xdr:ext cx="230245" cy="17209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CB08B475-FA17-393E-6852-15B235ED9507}"/>
                </a:ext>
              </a:extLst>
            </xdr:cNvPr>
            <xdr:cNvSpPr txBox="1"/>
          </xdr:nvSpPr>
          <xdr:spPr>
            <a:xfrm flipH="1">
              <a:off x="8128334" y="315248"/>
              <a:ext cx="230245" cy="1720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1" i="1">
                        <a:latin typeface="Cambria Math" panose="02040503050406030204" pitchFamily="18" charset="0"/>
                      </a:rPr>
                      <m:t>(</m:t>
                    </m:r>
                    <m:r>
                      <a:rPr lang="en-GB" sz="1100" b="1" i="1">
                        <a:latin typeface="Cambria Math" panose="02040503050406030204" pitchFamily="18" charset="0"/>
                      </a:rPr>
                      <m:t>𝑻</m:t>
                    </m:r>
                    <m:r>
                      <a:rPr lang="en-GB" sz="1100" b="1" i="1">
                        <a:latin typeface="Cambria Math" panose="02040503050406030204" pitchFamily="18" charset="0"/>
                      </a:rPr>
                      <m:t>)</m:t>
                    </m:r>
                  </m:oMath>
                </m:oMathPara>
              </a14:m>
              <a:endParaRPr lang="en-GB" sz="1100" b="1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CB08B475-FA17-393E-6852-15B235ED9507}"/>
                </a:ext>
              </a:extLst>
            </xdr:cNvPr>
            <xdr:cNvSpPr txBox="1"/>
          </xdr:nvSpPr>
          <xdr:spPr>
            <a:xfrm flipH="1">
              <a:off x="8128334" y="315248"/>
              <a:ext cx="230245" cy="1720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1" i="0">
                  <a:latin typeface="Cambria Math" panose="02040503050406030204" pitchFamily="18" charset="0"/>
                </a:rPr>
                <a:t>(𝑻)</a:t>
              </a:r>
              <a:endParaRPr lang="en-GB" sz="1100" b="1"/>
            </a:p>
          </xdr:txBody>
        </xdr:sp>
      </mc:Fallback>
    </mc:AlternateContent>
    <xdr:clientData/>
  </xdr:oneCellAnchor>
  <xdr:oneCellAnchor>
    <xdr:from>
      <xdr:col>12</xdr:col>
      <xdr:colOff>479538</xdr:colOff>
      <xdr:row>4</xdr:row>
      <xdr:rowOff>92229</xdr:rowOff>
    </xdr:from>
    <xdr:ext cx="822405" cy="31803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F612879D-33C0-394D-A73A-AA52F5EBA56D}"/>
                </a:ext>
              </a:extLst>
            </xdr:cNvPr>
            <xdr:cNvSpPr txBox="1"/>
          </xdr:nvSpPr>
          <xdr:spPr>
            <a:xfrm>
              <a:off x="10153155" y="884853"/>
              <a:ext cx="822405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𝑃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2.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𝜋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.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𝑁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.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𝑇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60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F612879D-33C0-394D-A73A-AA52F5EBA56D}"/>
                </a:ext>
              </a:extLst>
            </xdr:cNvPr>
            <xdr:cNvSpPr txBox="1"/>
          </xdr:nvSpPr>
          <xdr:spPr>
            <a:xfrm>
              <a:off x="10153155" y="884853"/>
              <a:ext cx="822405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𝑃=</a:t>
              </a:r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(2.𝜋.𝑁.𝑇)/60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13</xdr:col>
      <xdr:colOff>137267</xdr:colOff>
      <xdr:row>4</xdr:row>
      <xdr:rowOff>11168</xdr:rowOff>
    </xdr:from>
    <xdr:ext cx="1423403" cy="50013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5" name="TextBox 24">
              <a:extLst>
                <a:ext uri="{FF2B5EF4-FFF2-40B4-BE49-F238E27FC236}">
                  <a16:creationId xmlns:a16="http://schemas.microsoft.com/office/drawing/2014/main" id="{11B2B74A-8D7A-A33D-4AE2-23F3BB6BC2C6}"/>
                </a:ext>
              </a:extLst>
            </xdr:cNvPr>
            <xdr:cNvSpPr txBox="1"/>
          </xdr:nvSpPr>
          <xdr:spPr>
            <a:xfrm>
              <a:off x="11540246" y="803792"/>
              <a:ext cx="1423403" cy="50013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𝑃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𝑠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𝑃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. 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1.01325</m:t>
                        </m:r>
                      </m:num>
                      <m:den>
                        <m:sSub>
                          <m:sSub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𝜌</m:t>
                            </m:r>
                          </m:e>
                          <m:sub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𝑎</m:t>
                            </m:r>
                          </m:sub>
                        </m:sSub>
                      </m:den>
                    </m:f>
                    <m:r>
                      <a:rPr lang="en-GB" sz="1100" b="0" i="1">
                        <a:latin typeface="Cambria Math" panose="02040503050406030204" pitchFamily="18" charset="0"/>
                      </a:rPr>
                      <m:t> . </m:t>
                    </m:r>
                    <m:rad>
                      <m:radPr>
                        <m:degHide m:val="on"/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fPr>
                          <m:num>
                            <m:sSub>
                              <m:sSubPr>
                                <m:ctrlP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  <m:t>𝑇</m:t>
                                </m:r>
                              </m:e>
                              <m:sub>
                                <m:r>
                                  <a:rPr lang="en-GB" sz="1100" b="0" i="1">
                                    <a:latin typeface="Cambria Math" panose="02040503050406030204" pitchFamily="18" charset="0"/>
                                  </a:rPr>
                                  <m:t>𝑎</m:t>
                                </m:r>
                              </m:sub>
                            </m:sSub>
                          </m:num>
                          <m:den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293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25" name="TextBox 24">
              <a:extLst>
                <a:ext uri="{FF2B5EF4-FFF2-40B4-BE49-F238E27FC236}">
                  <a16:creationId xmlns:a16="http://schemas.microsoft.com/office/drawing/2014/main" id="{11B2B74A-8D7A-A33D-4AE2-23F3BB6BC2C6}"/>
                </a:ext>
              </a:extLst>
            </xdr:cNvPr>
            <xdr:cNvSpPr txBox="1"/>
          </xdr:nvSpPr>
          <xdr:spPr>
            <a:xfrm>
              <a:off x="11540246" y="803792"/>
              <a:ext cx="1423403" cy="50013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𝑃_𝑠=𝑃.  1.01325/</a:t>
              </a:r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𝜌_</a:t>
              </a:r>
              <a:r>
                <a:rPr lang="en-GB" sz="1100" b="0" i="0">
                  <a:latin typeface="Cambria Math" panose="02040503050406030204" pitchFamily="18" charset="0"/>
                </a:rPr>
                <a:t>𝑎   . √(𝑇_𝑎/293)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13</xdr:col>
      <xdr:colOff>1235413</xdr:colOff>
      <xdr:row>1</xdr:row>
      <xdr:rowOff>18012</xdr:rowOff>
    </xdr:from>
    <xdr:ext cx="304800" cy="19306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6" name="TextBox 25">
              <a:extLst>
                <a:ext uri="{FF2B5EF4-FFF2-40B4-BE49-F238E27FC236}">
                  <a16:creationId xmlns:a16="http://schemas.microsoft.com/office/drawing/2014/main" id="{EC5E8AC9-B127-A44F-B65E-24BC6F4D8D97}"/>
                </a:ext>
              </a:extLst>
            </xdr:cNvPr>
            <xdr:cNvSpPr txBox="1"/>
          </xdr:nvSpPr>
          <xdr:spPr>
            <a:xfrm>
              <a:off x="12638392" y="225175"/>
              <a:ext cx="304800" cy="19306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b="1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(</m:t>
                        </m:r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𝑩</m:t>
                        </m:r>
                      </m:e>
                      <m:sub>
                        <m:r>
                          <a:rPr lang="en-GB" sz="1100" b="1" i="1">
                            <a:latin typeface="Cambria Math" panose="02040503050406030204" pitchFamily="18" charset="0"/>
                          </a:rPr>
                          <m:t>𝒑</m:t>
                        </m:r>
                      </m:sub>
                    </m:sSub>
                    <m:r>
                      <a:rPr lang="en-GB" sz="1100" b="1" i="1">
                        <a:latin typeface="Cambria Math" panose="02040503050406030204" pitchFamily="18" charset="0"/>
                      </a:rPr>
                      <m:t>)</m:t>
                    </m:r>
                  </m:oMath>
                </m:oMathPara>
              </a14:m>
              <a:endParaRPr lang="en-GB" sz="1100" b="1"/>
            </a:p>
          </xdr:txBody>
        </xdr:sp>
      </mc:Choice>
      <mc:Fallback xmlns="">
        <xdr:sp macro="" textlink="">
          <xdr:nvSpPr>
            <xdr:cNvPr id="26" name="TextBox 25">
              <a:extLst>
                <a:ext uri="{FF2B5EF4-FFF2-40B4-BE49-F238E27FC236}">
                  <a16:creationId xmlns:a16="http://schemas.microsoft.com/office/drawing/2014/main" id="{EC5E8AC9-B127-A44F-B65E-24BC6F4D8D97}"/>
                </a:ext>
              </a:extLst>
            </xdr:cNvPr>
            <xdr:cNvSpPr txBox="1"/>
          </xdr:nvSpPr>
          <xdr:spPr>
            <a:xfrm>
              <a:off x="12638392" y="225175"/>
              <a:ext cx="304800" cy="19306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GB" sz="1100" b="1" i="0">
                  <a:latin typeface="Cambria Math" panose="02040503050406030204" pitchFamily="18" charset="0"/>
                </a:rPr>
                <a:t>〖(𝑩〗_𝒑)</a:t>
              </a:r>
              <a:endParaRPr lang="en-GB" sz="1100" b="1"/>
            </a:p>
          </xdr:txBody>
        </xdr:sp>
      </mc:Fallback>
    </mc:AlternateContent>
    <xdr:clientData/>
  </xdr:oneCellAnchor>
  <xdr:oneCellAnchor>
    <xdr:from>
      <xdr:col>10</xdr:col>
      <xdr:colOff>468368</xdr:colOff>
      <xdr:row>4</xdr:row>
      <xdr:rowOff>90072</xdr:rowOff>
    </xdr:from>
    <xdr:ext cx="765915" cy="31694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0E2F761F-1EE3-FE48-A8CC-3412928763F7}"/>
                </a:ext>
              </a:extLst>
            </xdr:cNvPr>
            <xdr:cNvSpPr txBox="1"/>
          </xdr:nvSpPr>
          <xdr:spPr>
            <a:xfrm>
              <a:off x="8205460" y="882696"/>
              <a:ext cx="765915" cy="31694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𝐾𝑤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= 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.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9459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0E2F761F-1EE3-FE48-A8CC-3412928763F7}"/>
                </a:ext>
              </a:extLst>
            </xdr:cNvPr>
            <xdr:cNvSpPr txBox="1"/>
          </xdr:nvSpPr>
          <xdr:spPr>
            <a:xfrm>
              <a:off x="8205460" y="882696"/>
              <a:ext cx="765915" cy="31694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𝐾𝑤=  (𝑇.𝑁)/9459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267871</xdr:colOff>
      <xdr:row>9</xdr:row>
      <xdr:rowOff>132765</xdr:rowOff>
    </xdr:from>
    <xdr:ext cx="65" cy="172098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2311FEF5-8BF6-5EA0-9707-909E2E551E72}"/>
            </a:ext>
          </a:extLst>
        </xdr:cNvPr>
        <xdr:cNvSpPr txBox="1"/>
      </xdr:nvSpPr>
      <xdr:spPr>
        <a:xfrm>
          <a:off x="3834680" y="1835105"/>
          <a:ext cx="65" cy="1720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28</xdr:col>
      <xdr:colOff>110246</xdr:colOff>
      <xdr:row>4</xdr:row>
      <xdr:rowOff>38189</xdr:rowOff>
    </xdr:from>
    <xdr:ext cx="923523" cy="32130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52B7807E-4712-0AE5-A8B7-FAB4E3745EF4}"/>
                </a:ext>
              </a:extLst>
            </xdr:cNvPr>
            <xdr:cNvSpPr txBox="1"/>
          </xdr:nvSpPr>
          <xdr:spPr>
            <a:xfrm>
              <a:off x="28383508" y="830813"/>
              <a:ext cx="923523" cy="32130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𝜂</m:t>
                        </m:r>
                      </m:e>
                      <m: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𝑡</m:t>
                        </m:r>
                      </m:sub>
                    </m:sSub>
                    <m:r>
                      <a:rPr lang="en-GB" sz="1100" b="0" i="1">
                        <a:latin typeface="Cambria Math" panose="02040503050406030204" pitchFamily="18" charset="0"/>
                      </a:rPr>
                      <m:t>= 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𝐵𝑃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(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𝑘𝑊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)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𝑀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′.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𝐶𝑉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52B7807E-4712-0AE5-A8B7-FAB4E3745EF4}"/>
                </a:ext>
              </a:extLst>
            </xdr:cNvPr>
            <xdr:cNvSpPr txBox="1"/>
          </xdr:nvSpPr>
          <xdr:spPr>
            <a:xfrm>
              <a:off x="28383508" y="830813"/>
              <a:ext cx="923523" cy="32130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𝜂_</a:t>
              </a:r>
              <a:r>
                <a:rPr lang="en-GB" sz="1100" b="0" i="0">
                  <a:latin typeface="Cambria Math" panose="02040503050406030204" pitchFamily="18" charset="0"/>
                </a:rPr>
                <a:t>𝑡=  (𝐵𝑃 (𝑘𝑊))/(𝑀′.𝐶𝑉)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16</xdr:col>
      <xdr:colOff>416488</xdr:colOff>
      <xdr:row>4</xdr:row>
      <xdr:rowOff>78720</xdr:rowOff>
    </xdr:from>
    <xdr:ext cx="746999" cy="37805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0" name="TextBox 39">
              <a:extLst>
                <a:ext uri="{FF2B5EF4-FFF2-40B4-BE49-F238E27FC236}">
                  <a16:creationId xmlns:a16="http://schemas.microsoft.com/office/drawing/2014/main" id="{7ED88EDC-185D-FFB3-2F69-B478ECF17046}"/>
                </a:ext>
              </a:extLst>
            </xdr:cNvPr>
            <xdr:cNvSpPr txBox="1"/>
          </xdr:nvSpPr>
          <xdr:spPr>
            <a:xfrm>
              <a:off x="17593013" y="871344"/>
              <a:ext cx="746999" cy="3780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𝐵𝑆𝐹𝐶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= 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𝑀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′</m:t>
                        </m:r>
                      </m:num>
                      <m:den>
                        <m:sSub>
                          <m:sSub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𝐵</m:t>
                            </m:r>
                          </m:e>
                          <m:sub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𝑝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0" name="TextBox 39">
              <a:extLst>
                <a:ext uri="{FF2B5EF4-FFF2-40B4-BE49-F238E27FC236}">
                  <a16:creationId xmlns:a16="http://schemas.microsoft.com/office/drawing/2014/main" id="{7ED88EDC-185D-FFB3-2F69-B478ECF17046}"/>
                </a:ext>
              </a:extLst>
            </xdr:cNvPr>
            <xdr:cNvSpPr txBox="1"/>
          </xdr:nvSpPr>
          <xdr:spPr>
            <a:xfrm>
              <a:off x="17593013" y="871344"/>
              <a:ext cx="746999" cy="3780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𝐵𝑆𝐹𝐶=  𝑀′/𝐵_𝑝 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1491214</xdr:colOff>
      <xdr:row>1</xdr:row>
      <xdr:rowOff>105742</xdr:rowOff>
    </xdr:from>
    <xdr:ext cx="251928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1" name="TextBox 40">
              <a:extLst>
                <a:ext uri="{FF2B5EF4-FFF2-40B4-BE49-F238E27FC236}">
                  <a16:creationId xmlns:a16="http://schemas.microsoft.com/office/drawing/2014/main" id="{7971D131-D798-A536-2214-BDEF2113F5B3}"/>
                </a:ext>
              </a:extLst>
            </xdr:cNvPr>
            <xdr:cNvSpPr txBox="1"/>
          </xdr:nvSpPr>
          <xdr:spPr>
            <a:xfrm>
              <a:off x="5274193" y="312905"/>
              <a:ext cx="25192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1"/>
                <a:t>(</a:t>
              </a:r>
              <a14:m>
                <m:oMath xmlns:m="http://schemas.openxmlformats.org/officeDocument/2006/math">
                  <m:r>
                    <a:rPr lang="en-GB" sz="1100" b="1" i="1">
                      <a:latin typeface="Cambria Math" panose="02040503050406030204" pitchFamily="18" charset="0"/>
                    </a:rPr>
                    <m:t>𝑴</m:t>
                  </m:r>
                  <m:r>
                    <a:rPr lang="en-GB" sz="1100" b="1" i="1">
                      <a:latin typeface="Cambria Math" panose="02040503050406030204" pitchFamily="18" charset="0"/>
                    </a:rPr>
                    <m:t>′</m:t>
                  </m:r>
                </m:oMath>
              </a14:m>
              <a:r>
                <a:rPr lang="en-GB" sz="1100" b="1"/>
                <a:t>)</a:t>
              </a:r>
            </a:p>
          </xdr:txBody>
        </xdr:sp>
      </mc:Choice>
      <mc:Fallback xmlns="">
        <xdr:sp macro="" textlink="">
          <xdr:nvSpPr>
            <xdr:cNvPr id="41" name="TextBox 40">
              <a:extLst>
                <a:ext uri="{FF2B5EF4-FFF2-40B4-BE49-F238E27FC236}">
                  <a16:creationId xmlns:a16="http://schemas.microsoft.com/office/drawing/2014/main" id="{7971D131-D798-A536-2214-BDEF2113F5B3}"/>
                </a:ext>
              </a:extLst>
            </xdr:cNvPr>
            <xdr:cNvSpPr txBox="1"/>
          </xdr:nvSpPr>
          <xdr:spPr>
            <a:xfrm>
              <a:off x="5274193" y="312905"/>
              <a:ext cx="251928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1"/>
                <a:t>(</a:t>
              </a:r>
              <a:r>
                <a:rPr lang="en-GB" sz="1100" b="1" i="0">
                  <a:latin typeface="Cambria Math" panose="02040503050406030204" pitchFamily="18" charset="0"/>
                </a:rPr>
                <a:t>𝑴′</a:t>
              </a:r>
              <a:r>
                <a:rPr lang="en-GB" sz="1100" b="1"/>
                <a:t>)</a:t>
              </a:r>
            </a:p>
          </xdr:txBody>
        </xdr:sp>
      </mc:Fallback>
    </mc:AlternateContent>
    <xdr:clientData/>
  </xdr:oneCellAnchor>
  <xdr:oneCellAnchor>
    <xdr:from>
      <xdr:col>19</xdr:col>
      <xdr:colOff>439004</xdr:colOff>
      <xdr:row>4</xdr:row>
      <xdr:rowOff>159786</xdr:rowOff>
    </xdr:from>
    <xdr:ext cx="797141" cy="17530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3" name="TextBox 42">
              <a:extLst>
                <a:ext uri="{FF2B5EF4-FFF2-40B4-BE49-F238E27FC236}">
                  <a16:creationId xmlns:a16="http://schemas.microsoft.com/office/drawing/2014/main" id="{62F7E569-A5AA-4788-F433-95BBDCF30D90}"/>
                </a:ext>
              </a:extLst>
            </xdr:cNvPr>
            <xdr:cNvSpPr txBox="1"/>
          </xdr:nvSpPr>
          <xdr:spPr>
            <a:xfrm>
              <a:off x="20876096" y="952410"/>
              <a:ext cx="797141" cy="17530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en-GB" sz="1100" b="0" i="1">
                      <a:latin typeface="Cambria Math" panose="02040503050406030204" pitchFamily="18" charset="0"/>
                    </a:rPr>
                    <m:t>=</m:t>
                  </m:r>
                  <m:sSup>
                    <m:sSupPr>
                      <m:ctrlPr>
                        <a:rPr lang="en-GB" sz="1100" b="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𝑀</m:t>
                      </m:r>
                    </m:e>
                    <m:sup>
                      <m:r>
                        <a:rPr lang="en-GB" sz="1100" b="0" i="1">
                          <a:latin typeface="Cambria Math" panose="02040503050406030204" pitchFamily="18" charset="0"/>
                        </a:rPr>
                        <m:t>′</m:t>
                      </m:r>
                    </m:sup>
                  </m:sSup>
                  <m:r>
                    <a:rPr lang="en-GB" sz="1100" b="0" i="1">
                      <a:latin typeface="Cambria Math" panose="02040503050406030204" pitchFamily="18" charset="0"/>
                    </a:rPr>
                    <m:t>.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𝐶𝑉</m:t>
                  </m:r>
                </m:oMath>
              </a14:m>
              <a:r>
                <a:rPr lang="en-GB" sz="1100"/>
                <a:t>.</a:t>
              </a:r>
              <a14:m>
                <m:oMath xmlns:m="http://schemas.openxmlformats.org/officeDocument/2006/math">
                  <m:sSup>
                    <m:sSup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10</m:t>
                      </m:r>
                    </m:e>
                    <m:sup>
                      <m:r>
                        <a:rPr lang="en-GB" sz="1100" b="0" i="1">
                          <a:latin typeface="Cambria Math" panose="02040503050406030204" pitchFamily="18" charset="0"/>
                        </a:rPr>
                        <m:t>3</m:t>
                      </m:r>
                    </m:sup>
                  </m:sSup>
                </m:oMath>
              </a14:m>
              <a:endParaRPr lang="en-GB" sz="1100"/>
            </a:p>
          </xdr:txBody>
        </xdr:sp>
      </mc:Choice>
      <mc:Fallback xmlns="">
        <xdr:sp macro="" textlink="">
          <xdr:nvSpPr>
            <xdr:cNvPr id="43" name="TextBox 42">
              <a:extLst>
                <a:ext uri="{FF2B5EF4-FFF2-40B4-BE49-F238E27FC236}">
                  <a16:creationId xmlns:a16="http://schemas.microsoft.com/office/drawing/2014/main" id="{62F7E569-A5AA-4788-F433-95BBDCF30D90}"/>
                </a:ext>
              </a:extLst>
            </xdr:cNvPr>
            <xdr:cNvSpPr txBox="1"/>
          </xdr:nvSpPr>
          <xdr:spPr>
            <a:xfrm>
              <a:off x="20876096" y="952410"/>
              <a:ext cx="797141" cy="17530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=𝑀^′.𝐶𝑉</a:t>
              </a:r>
              <a:r>
                <a:rPr lang="en-GB" sz="1100"/>
                <a:t>.</a:t>
              </a:r>
              <a:r>
                <a:rPr lang="en-GB" sz="1100" b="0" i="0">
                  <a:latin typeface="Cambria Math" panose="02040503050406030204" pitchFamily="18" charset="0"/>
                </a:rPr>
                <a:t>10^3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22</xdr:col>
      <xdr:colOff>198968</xdr:colOff>
      <xdr:row>4</xdr:row>
      <xdr:rowOff>159787</xdr:rowOff>
    </xdr:from>
    <xdr:ext cx="1172309" cy="17209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4" name="TextBox 43">
              <a:extLst>
                <a:ext uri="{FF2B5EF4-FFF2-40B4-BE49-F238E27FC236}">
                  <a16:creationId xmlns:a16="http://schemas.microsoft.com/office/drawing/2014/main" id="{B19E7E18-AD5A-BA8A-E3AA-B62B3AC98706}"/>
                </a:ext>
              </a:extLst>
            </xdr:cNvPr>
            <xdr:cNvSpPr txBox="1"/>
          </xdr:nvSpPr>
          <xdr:spPr>
            <a:xfrm>
              <a:off x="23959677" y="952411"/>
              <a:ext cx="1172309" cy="1720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𝑃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 </m:t>
                    </m:r>
                    <m:d>
                      <m:d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𝑊𝑎𝑡𝑡𝑠</m:t>
                        </m:r>
                      </m:e>
                    </m:d>
                    <m:r>
                      <a:rPr lang="en-GB" sz="1100" b="0" i="1">
                        <a:latin typeface="Cambria Math" panose="02040503050406030204" pitchFamily="18" charset="0"/>
                      </a:rPr>
                      <m:t>. 3600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4" name="TextBox 43">
              <a:extLst>
                <a:ext uri="{FF2B5EF4-FFF2-40B4-BE49-F238E27FC236}">
                  <a16:creationId xmlns:a16="http://schemas.microsoft.com/office/drawing/2014/main" id="{B19E7E18-AD5A-BA8A-E3AA-B62B3AC98706}"/>
                </a:ext>
              </a:extLst>
            </xdr:cNvPr>
            <xdr:cNvSpPr txBox="1"/>
          </xdr:nvSpPr>
          <xdr:spPr>
            <a:xfrm>
              <a:off x="23959677" y="952411"/>
              <a:ext cx="1172309" cy="1720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=𝑃 (𝑊𝑎𝑡𝑡𝑠). 3600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25</xdr:col>
      <xdr:colOff>826310</xdr:colOff>
      <xdr:row>4</xdr:row>
      <xdr:rowOff>69714</xdr:rowOff>
    </xdr:from>
    <xdr:ext cx="1246687" cy="35105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5" name="TextBox 44">
              <a:extLst>
                <a:ext uri="{FF2B5EF4-FFF2-40B4-BE49-F238E27FC236}">
                  <a16:creationId xmlns:a16="http://schemas.microsoft.com/office/drawing/2014/main" id="{C97EC094-3F9B-56B3-C63E-D72BDCC18625}"/>
                </a:ext>
              </a:extLst>
            </xdr:cNvPr>
            <xdr:cNvSpPr txBox="1"/>
          </xdr:nvSpPr>
          <xdr:spPr>
            <a:xfrm>
              <a:off x="27739501" y="862338"/>
              <a:ext cx="1246687" cy="35105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𝑚𝑒𝑐h𝑎𝑛𝑖𝑐𝑎𝑙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𝑒𝑛𝑒𝑟𝑔𝑦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𝑓𝑢𝑒𝑙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𝑒𝑛𝑒𝑟𝑔𝑦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5" name="TextBox 44">
              <a:extLst>
                <a:ext uri="{FF2B5EF4-FFF2-40B4-BE49-F238E27FC236}">
                  <a16:creationId xmlns:a16="http://schemas.microsoft.com/office/drawing/2014/main" id="{C97EC094-3F9B-56B3-C63E-D72BDCC18625}"/>
                </a:ext>
              </a:extLst>
            </xdr:cNvPr>
            <xdr:cNvSpPr txBox="1"/>
          </xdr:nvSpPr>
          <xdr:spPr>
            <a:xfrm>
              <a:off x="27739501" y="862338"/>
              <a:ext cx="1246687" cy="35105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(</a:t>
              </a:r>
              <a:r>
                <a:rPr lang="en-GB" sz="1100" b="0" i="0">
                  <a:latin typeface="Cambria Math" panose="02040503050406030204" pitchFamily="18" charset="0"/>
                </a:rPr>
                <a:t>𝑚𝑒𝑐ℎ𝑎𝑛𝑖𝑐𝑎𝑙 𝑒𝑛𝑒𝑟𝑔𝑦)/(𝑓𝑢𝑒𝑙 𝑒𝑛𝑒𝑟𝑔𝑦)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803792</xdr:colOff>
      <xdr:row>1</xdr:row>
      <xdr:rowOff>92231</xdr:rowOff>
    </xdr:from>
    <xdr:ext cx="22846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DBC6F2A1-5761-ABB6-203F-B8F8E07EA8DD}"/>
                </a:ext>
              </a:extLst>
            </xdr:cNvPr>
            <xdr:cNvSpPr txBox="1"/>
          </xdr:nvSpPr>
          <xdr:spPr>
            <a:xfrm>
              <a:off x="7631168" y="299394"/>
              <a:ext cx="22846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(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𝝀</m:t>
                    </m:r>
                    <m:r>
                      <a:rPr lang="en-GB" sz="1100" b="1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)</m:t>
                    </m:r>
                  </m:oMath>
                </m:oMathPara>
              </a14:m>
              <a:endParaRPr lang="en-GB" sz="1100" b="1"/>
            </a:p>
          </xdr:txBody>
        </xdr:sp>
      </mc:Choice>
      <mc:Fallback xmlns="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DBC6F2A1-5761-ABB6-203F-B8F8E07EA8DD}"/>
                </a:ext>
              </a:extLst>
            </xdr:cNvPr>
            <xdr:cNvSpPr txBox="1"/>
          </xdr:nvSpPr>
          <xdr:spPr>
            <a:xfrm>
              <a:off x="7631168" y="299394"/>
              <a:ext cx="22846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1" i="0">
                  <a:latin typeface="Cambria Math" panose="02040503050406030204" pitchFamily="18" charset="0"/>
                  <a:ea typeface="Cambria Math" panose="02040503050406030204" pitchFamily="18" charset="0"/>
                </a:rPr>
                <a:t>(𝝀)</a:t>
              </a:r>
              <a:endParaRPr lang="en-GB" sz="1100" b="1"/>
            </a:p>
          </xdr:txBody>
        </xdr:sp>
      </mc:Fallback>
    </mc:AlternateContent>
    <xdr:clientData/>
  </xdr:oneCellAnchor>
  <xdr:twoCellAnchor>
    <xdr:from>
      <xdr:col>2</xdr:col>
      <xdr:colOff>46837</xdr:colOff>
      <xdr:row>102</xdr:row>
      <xdr:rowOff>10989</xdr:rowOff>
    </xdr:from>
    <xdr:to>
      <xdr:col>6</xdr:col>
      <xdr:colOff>871887</xdr:colOff>
      <xdr:row>116</xdr:row>
      <xdr:rowOff>106104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A6B5006F-3B69-71AB-AC5C-2FFEC855AE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14</xdr:col>
      <xdr:colOff>533580</xdr:colOff>
      <xdr:row>4</xdr:row>
      <xdr:rowOff>101239</xdr:rowOff>
    </xdr:from>
    <xdr:ext cx="344325" cy="31694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2" name="TextBox 31">
              <a:extLst>
                <a:ext uri="{FF2B5EF4-FFF2-40B4-BE49-F238E27FC236}">
                  <a16:creationId xmlns:a16="http://schemas.microsoft.com/office/drawing/2014/main" id="{482C6E0E-0674-306B-F1FB-A871E51B3CD0}"/>
                </a:ext>
              </a:extLst>
            </xdr:cNvPr>
            <xdr:cNvSpPr txBox="1"/>
          </xdr:nvSpPr>
          <xdr:spPr>
            <a:xfrm>
              <a:off x="16034786" y="893863"/>
              <a:ext cx="344325" cy="31694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𝑃</m:t>
                            </m:r>
                          </m:e>
                          <m:sub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𝑠</m:t>
                            </m:r>
                          </m:sub>
                        </m:sSub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1000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2" name="TextBox 31">
              <a:extLst>
                <a:ext uri="{FF2B5EF4-FFF2-40B4-BE49-F238E27FC236}">
                  <a16:creationId xmlns:a16="http://schemas.microsoft.com/office/drawing/2014/main" id="{482C6E0E-0674-306B-F1FB-A871E51B3CD0}"/>
                </a:ext>
              </a:extLst>
            </xdr:cNvPr>
            <xdr:cNvSpPr txBox="1"/>
          </xdr:nvSpPr>
          <xdr:spPr>
            <a:xfrm>
              <a:off x="16034786" y="893863"/>
              <a:ext cx="344325" cy="31694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𝑃_𝑠/1000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17</xdr:col>
      <xdr:colOff>380459</xdr:colOff>
      <xdr:row>4</xdr:row>
      <xdr:rowOff>164289</xdr:rowOff>
    </xdr:from>
    <xdr:ext cx="841897" cy="17209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3" name="TextBox 32">
              <a:extLst>
                <a:ext uri="{FF2B5EF4-FFF2-40B4-BE49-F238E27FC236}">
                  <a16:creationId xmlns:a16="http://schemas.microsoft.com/office/drawing/2014/main" id="{C66C19AC-C0B3-E87E-AAD3-D3372466328C}"/>
                </a:ext>
              </a:extLst>
            </xdr:cNvPr>
            <xdr:cNvSpPr txBox="1"/>
          </xdr:nvSpPr>
          <xdr:spPr>
            <a:xfrm>
              <a:off x="19034147" y="956913"/>
              <a:ext cx="841897" cy="1720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/>
                <a:t>= </a:t>
              </a:r>
              <a14:m>
                <m:oMath xmlns:m="http://schemas.openxmlformats.org/officeDocument/2006/math">
                  <m:r>
                    <a:rPr lang="en-GB" sz="1100" b="0" i="1">
                      <a:latin typeface="Cambria Math" panose="02040503050406030204" pitchFamily="18" charset="0"/>
                    </a:rPr>
                    <m:t>𝐵𝑆𝐹𝐶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 . 1000</m:t>
                  </m:r>
                </m:oMath>
              </a14:m>
              <a:endParaRPr lang="en-GB" sz="1100"/>
            </a:p>
          </xdr:txBody>
        </xdr:sp>
      </mc:Choice>
      <mc:Fallback xmlns="">
        <xdr:sp macro="" textlink="">
          <xdr:nvSpPr>
            <xdr:cNvPr id="33" name="TextBox 32">
              <a:extLst>
                <a:ext uri="{FF2B5EF4-FFF2-40B4-BE49-F238E27FC236}">
                  <a16:creationId xmlns:a16="http://schemas.microsoft.com/office/drawing/2014/main" id="{C66C19AC-C0B3-E87E-AAD3-D3372466328C}"/>
                </a:ext>
              </a:extLst>
            </xdr:cNvPr>
            <xdr:cNvSpPr txBox="1"/>
          </xdr:nvSpPr>
          <xdr:spPr>
            <a:xfrm>
              <a:off x="19034147" y="956913"/>
              <a:ext cx="841897" cy="1720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/>
                <a:t>= </a:t>
              </a:r>
              <a:r>
                <a:rPr lang="en-GB" sz="1100" b="0" i="0">
                  <a:latin typeface="Cambria Math" panose="02040503050406030204" pitchFamily="18" charset="0"/>
                </a:rPr>
                <a:t>𝐵𝑆𝐹𝐶 . 1000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20</xdr:col>
      <xdr:colOff>164289</xdr:colOff>
      <xdr:row>4</xdr:row>
      <xdr:rowOff>146274</xdr:rowOff>
    </xdr:from>
    <xdr:ext cx="1244123" cy="17530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4" name="TextBox 33">
              <a:extLst>
                <a:ext uri="{FF2B5EF4-FFF2-40B4-BE49-F238E27FC236}">
                  <a16:creationId xmlns:a16="http://schemas.microsoft.com/office/drawing/2014/main" id="{C86F67D8-BA09-BA50-F7E1-32F293F2481F}"/>
                </a:ext>
              </a:extLst>
            </xdr:cNvPr>
            <xdr:cNvSpPr txBox="1"/>
          </xdr:nvSpPr>
          <xdr:spPr>
            <a:xfrm>
              <a:off x="22249679" y="938898"/>
              <a:ext cx="1244123" cy="17530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/>
                <a:t>= </a:t>
              </a:r>
              <a14:m>
                <m:oMath xmlns:m="http://schemas.openxmlformats.org/officeDocument/2006/math">
                  <m:r>
                    <a:rPr lang="en-GB" sz="1100" b="0" i="1">
                      <a:latin typeface="Cambria Math" panose="02040503050406030204" pitchFamily="18" charset="0"/>
                    </a:rPr>
                    <m:t>𝐶𝑜𝑙𝑢𝑚𝑛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 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𝑇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 . 1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𝑥</m:t>
                  </m:r>
                  <m:sSup>
                    <m:sSupPr>
                      <m:ctrlPr>
                        <a:rPr lang="en-GB" sz="1100" b="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10</m:t>
                      </m:r>
                    </m:e>
                    <m:sup>
                      <m:r>
                        <a:rPr lang="en-GB" sz="1100" b="0" i="1">
                          <a:latin typeface="Cambria Math" panose="02040503050406030204" pitchFamily="18" charset="0"/>
                        </a:rPr>
                        <m:t>−6</m:t>
                      </m:r>
                    </m:sup>
                  </m:sSup>
                </m:oMath>
              </a14:m>
              <a:endParaRPr lang="en-GB" sz="1100"/>
            </a:p>
          </xdr:txBody>
        </xdr:sp>
      </mc:Choice>
      <mc:Fallback xmlns="">
        <xdr:sp macro="" textlink="">
          <xdr:nvSpPr>
            <xdr:cNvPr id="34" name="TextBox 33">
              <a:extLst>
                <a:ext uri="{FF2B5EF4-FFF2-40B4-BE49-F238E27FC236}">
                  <a16:creationId xmlns:a16="http://schemas.microsoft.com/office/drawing/2014/main" id="{C86F67D8-BA09-BA50-F7E1-32F293F2481F}"/>
                </a:ext>
              </a:extLst>
            </xdr:cNvPr>
            <xdr:cNvSpPr txBox="1"/>
          </xdr:nvSpPr>
          <xdr:spPr>
            <a:xfrm>
              <a:off x="22249679" y="938898"/>
              <a:ext cx="1244123" cy="17530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/>
                <a:t>= </a:t>
              </a:r>
              <a:r>
                <a:rPr lang="en-GB" sz="1100" b="0" i="0">
                  <a:latin typeface="Cambria Math" panose="02040503050406030204" pitchFamily="18" charset="0"/>
                </a:rPr>
                <a:t>𝐶𝑜𝑙𝑢𝑚𝑛 𝑇 . 1𝑥10^(−6)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23</xdr:col>
      <xdr:colOff>56204</xdr:colOff>
      <xdr:row>4</xdr:row>
      <xdr:rowOff>168793</xdr:rowOff>
    </xdr:from>
    <xdr:ext cx="1370888" cy="17530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5" name="TextBox 34">
              <a:extLst>
                <a:ext uri="{FF2B5EF4-FFF2-40B4-BE49-F238E27FC236}">
                  <a16:creationId xmlns:a16="http://schemas.microsoft.com/office/drawing/2014/main" id="{5021CE4D-B245-42F8-6FBC-BB1118118AE6}"/>
                </a:ext>
              </a:extLst>
            </xdr:cNvPr>
            <xdr:cNvSpPr txBox="1"/>
          </xdr:nvSpPr>
          <xdr:spPr>
            <a:xfrm>
              <a:off x="25312091" y="961417"/>
              <a:ext cx="1370888" cy="17530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𝐶𝑜𝑙𝑢𝑚𝑛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𝑊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 . 1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𝑥</m:t>
                    </m:r>
                    <m:sSup>
                      <m:sSup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10</m:t>
                        </m:r>
                      </m:e>
                      <m:sup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−6</m:t>
                        </m:r>
                      </m:sup>
                    </m:sSup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5" name="TextBox 34">
              <a:extLst>
                <a:ext uri="{FF2B5EF4-FFF2-40B4-BE49-F238E27FC236}">
                  <a16:creationId xmlns:a16="http://schemas.microsoft.com/office/drawing/2014/main" id="{5021CE4D-B245-42F8-6FBC-BB1118118AE6}"/>
                </a:ext>
              </a:extLst>
            </xdr:cNvPr>
            <xdr:cNvSpPr txBox="1"/>
          </xdr:nvSpPr>
          <xdr:spPr>
            <a:xfrm>
              <a:off x="25312091" y="961417"/>
              <a:ext cx="1370888" cy="17530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=𝐶𝑜𝑙𝑢𝑚𝑛 𝑊 . 1𝑥10^(−6)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6</xdr:col>
      <xdr:colOff>434502</xdr:colOff>
      <xdr:row>4</xdr:row>
      <xdr:rowOff>83225</xdr:rowOff>
    </xdr:from>
    <xdr:ext cx="523926" cy="32149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7" name="TextBox 36">
              <a:extLst>
                <a:ext uri="{FF2B5EF4-FFF2-40B4-BE49-F238E27FC236}">
                  <a16:creationId xmlns:a16="http://schemas.microsoft.com/office/drawing/2014/main" id="{6002E0DB-ECC0-3173-568C-2D3E78F12F62}"/>
                </a:ext>
              </a:extLst>
            </xdr:cNvPr>
            <xdr:cNvSpPr txBox="1"/>
          </xdr:nvSpPr>
          <xdr:spPr>
            <a:xfrm>
              <a:off x="5739679" y="875849"/>
              <a:ext cx="523926" cy="3214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= </m:t>
                    </m:r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𝑘𝑔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/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h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3600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7" name="TextBox 36">
              <a:extLst>
                <a:ext uri="{FF2B5EF4-FFF2-40B4-BE49-F238E27FC236}">
                  <a16:creationId xmlns:a16="http://schemas.microsoft.com/office/drawing/2014/main" id="{6002E0DB-ECC0-3173-568C-2D3E78F12F62}"/>
                </a:ext>
              </a:extLst>
            </xdr:cNvPr>
            <xdr:cNvSpPr txBox="1"/>
          </xdr:nvSpPr>
          <xdr:spPr>
            <a:xfrm>
              <a:off x="5739679" y="875849"/>
              <a:ext cx="523926" cy="3214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=  (𝑘𝑔/ℎ)/3600</a:t>
              </a:r>
              <a:endParaRPr lang="en-GB" sz="1100"/>
            </a:p>
          </xdr:txBody>
        </xdr:sp>
      </mc:Fallback>
    </mc:AlternateContent>
    <xdr:clientData/>
  </xdr:oneCellAnchor>
  <xdr:twoCellAnchor>
    <xdr:from>
      <xdr:col>0</xdr:col>
      <xdr:colOff>0</xdr:colOff>
      <xdr:row>0</xdr:row>
      <xdr:rowOff>0</xdr:rowOff>
    </xdr:from>
    <xdr:to>
      <xdr:col>29</xdr:col>
      <xdr:colOff>504397</xdr:colOff>
      <xdr:row>98</xdr:row>
      <xdr:rowOff>117091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ACC18F6A-2685-EAA4-1F58-B03A2AD368FB}"/>
            </a:ext>
          </a:extLst>
        </xdr:cNvPr>
        <xdr:cNvGrpSpPr/>
      </xdr:nvGrpSpPr>
      <xdr:grpSpPr>
        <a:xfrm>
          <a:off x="0" y="0"/>
          <a:ext cx="30939362" cy="18995956"/>
          <a:chOff x="0" y="0"/>
          <a:chExt cx="7694930" cy="4193540"/>
        </a:xfrm>
      </xdr:grpSpPr>
      <xdr:pic>
        <xdr:nvPicPr>
          <xdr:cNvPr id="15" name="Picture 14">
            <a:extLst>
              <a:ext uri="{FF2B5EF4-FFF2-40B4-BE49-F238E27FC236}">
                <a16:creationId xmlns:a16="http://schemas.microsoft.com/office/drawing/2014/main" id="{7BC33D09-04EF-FF15-4B11-FF3E291D543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alphaModFix amt="21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7694930" cy="4193540"/>
          </a:xfrm>
          <a:prstGeom prst="rect">
            <a:avLst/>
          </a:prstGeom>
        </xdr:spPr>
      </xdr:pic>
      <xdr:sp macro="" textlink="">
        <xdr:nvSpPr>
          <xdr:cNvPr id="16" name="Text Box 3">
            <a:extLst>
              <a:ext uri="{FF2B5EF4-FFF2-40B4-BE49-F238E27FC236}">
                <a16:creationId xmlns:a16="http://schemas.microsoft.com/office/drawing/2014/main" id="{B53C8925-CB71-F664-FF0D-6969F0772BCA}"/>
              </a:ext>
            </a:extLst>
          </xdr:cNvPr>
          <xdr:cNvSpPr txBox="1"/>
        </xdr:nvSpPr>
        <xdr:spPr>
          <a:xfrm rot="201422">
            <a:off x="667637" y="2456692"/>
            <a:ext cx="1161934" cy="295421"/>
          </a:xfrm>
          <a:prstGeom prst="rect">
            <a:avLst/>
          </a:prstGeom>
          <a:solidFill>
            <a:schemeClr val="tx1"/>
          </a:solidFill>
          <a:ln w="6350">
            <a:solidFill>
              <a:prstClr val="black"/>
            </a:solidFill>
          </a:ln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r>
              <a:rPr lang="en-GB" sz="1000" i="1" kern="100">
                <a:solidFill>
                  <a:srgbClr val="FFFFFF"/>
                </a:solidFill>
                <a:effectLst/>
                <a:latin typeface="Trebuchet MS" panose="020B070302020209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H A R R I S O N 1</a:t>
            </a:r>
            <a:endParaRPr lang="en-GB" sz="1200" kern="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168628</xdr:colOff>
      <xdr:row>27</xdr:row>
      <xdr:rowOff>32456</xdr:rowOff>
    </xdr:from>
    <xdr:to>
      <xdr:col>7</xdr:col>
      <xdr:colOff>793749</xdr:colOff>
      <xdr:row>49</xdr:row>
      <xdr:rowOff>116417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3D2AFA2-8ACF-7243-86DB-680C122004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167923</xdr:colOff>
      <xdr:row>2</xdr:row>
      <xdr:rowOff>57150</xdr:rowOff>
    </xdr:from>
    <xdr:to>
      <xdr:col>8</xdr:col>
      <xdr:colOff>71967</xdr:colOff>
      <xdr:row>26</xdr:row>
      <xdr:rowOff>31750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6D8E56C-C89B-8A43-9E01-37976A4A430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131232</xdr:colOff>
      <xdr:row>2</xdr:row>
      <xdr:rowOff>67733</xdr:rowOff>
    </xdr:from>
    <xdr:to>
      <xdr:col>15</xdr:col>
      <xdr:colOff>578554</xdr:colOff>
      <xdr:row>26</xdr:row>
      <xdr:rowOff>21167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3A5131B-1FDC-5F4C-82BB-17456E6C60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21167</xdr:colOff>
      <xdr:row>27</xdr:row>
      <xdr:rowOff>42334</xdr:rowOff>
    </xdr:from>
    <xdr:to>
      <xdr:col>15</xdr:col>
      <xdr:colOff>560917</xdr:colOff>
      <xdr:row>48</xdr:row>
      <xdr:rowOff>105833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6DEC13A-F834-AD43-8CFF-F3323D5548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645583</xdr:colOff>
      <xdr:row>26</xdr:row>
      <xdr:rowOff>169333</xdr:rowOff>
    </xdr:from>
    <xdr:to>
      <xdr:col>23</xdr:col>
      <xdr:colOff>148166</xdr:colOff>
      <xdr:row>50</xdr:row>
      <xdr:rowOff>105833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F5F5E56-2CD9-4647-A946-F0E10CE150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158748</xdr:colOff>
      <xdr:row>27</xdr:row>
      <xdr:rowOff>67028</xdr:rowOff>
    </xdr:from>
    <xdr:to>
      <xdr:col>30</xdr:col>
      <xdr:colOff>783165</xdr:colOff>
      <xdr:row>47</xdr:row>
      <xdr:rowOff>194028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824859C-9292-FA43-8199-9912863917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791633</xdr:colOff>
      <xdr:row>1</xdr:row>
      <xdr:rowOff>56443</xdr:rowOff>
    </xdr:from>
    <xdr:to>
      <xdr:col>23</xdr:col>
      <xdr:colOff>183443</xdr:colOff>
      <xdr:row>24</xdr:row>
      <xdr:rowOff>183443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B2C6A522-0030-CA49-99C3-34FEBB06E9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20529-17E8-4C4A-859C-AA6530BB462F}">
  <dimension ref="A3:U30"/>
  <sheetViews>
    <sheetView showGridLines="0" showRowColHeaders="0" tabSelected="1" workbookViewId="0">
      <selection activeCell="B79" sqref="B79"/>
    </sheetView>
  </sheetViews>
  <sheetFormatPr baseColWidth="10" defaultRowHeight="15" x14ac:dyDescent="0.2"/>
  <sheetData>
    <row r="3" spans="1:21" ht="15" customHeight="1" x14ac:dyDescent="0.2"/>
    <row r="4" spans="1:21" ht="15" customHeight="1" x14ac:dyDescent="0.2"/>
    <row r="5" spans="1:21" ht="15" customHeight="1" x14ac:dyDescent="0.2"/>
    <row r="6" spans="1:21" ht="15" customHeight="1" x14ac:dyDescent="0.2">
      <c r="A6" s="84" t="s">
        <v>53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</row>
    <row r="7" spans="1:21" ht="15" customHeight="1" x14ac:dyDescent="0.2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</row>
    <row r="8" spans="1:21" ht="15" customHeight="1" x14ac:dyDescent="0.2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</row>
    <row r="9" spans="1:21" ht="15" customHeight="1" x14ac:dyDescent="0.2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</row>
    <row r="10" spans="1:21" ht="15" customHeight="1" x14ac:dyDescent="0.2">
      <c r="A10" s="86" t="s">
        <v>54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</row>
    <row r="11" spans="1:21" ht="15" customHeight="1" x14ac:dyDescent="0.2">
      <c r="A11" s="86"/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</row>
    <row r="12" spans="1:21" x14ac:dyDescent="0.2">
      <c r="A12" s="86"/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</row>
    <row r="13" spans="1:21" x14ac:dyDescent="0.2">
      <c r="A13" s="86"/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</row>
    <row r="14" spans="1:21" ht="15" customHeight="1" x14ac:dyDescent="0.3">
      <c r="A14" s="86"/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</row>
    <row r="15" spans="1:21" ht="15" customHeight="1" x14ac:dyDescent="0.2"/>
    <row r="16" spans="1:21" ht="15" customHeight="1" x14ac:dyDescent="0.2"/>
    <row r="17" spans="3:21" ht="15" customHeight="1" x14ac:dyDescent="0.2">
      <c r="C17" s="88" t="s">
        <v>55</v>
      </c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</row>
    <row r="18" spans="3:21" x14ac:dyDescent="0.2"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</row>
    <row r="19" spans="3:21" ht="15" customHeight="1" x14ac:dyDescent="0.2"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</row>
    <row r="20" spans="3:21" ht="15" customHeight="1" x14ac:dyDescent="0.2"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</row>
    <row r="21" spans="3:21" ht="15" customHeight="1" x14ac:dyDescent="0.45"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</row>
    <row r="22" spans="3:21" ht="15" customHeight="1" x14ac:dyDescent="0.2">
      <c r="C22" s="88" t="s">
        <v>56</v>
      </c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8"/>
    </row>
    <row r="23" spans="3:21" x14ac:dyDescent="0.2"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8"/>
      <c r="U23" s="88"/>
    </row>
    <row r="24" spans="3:21" ht="15" customHeight="1" x14ac:dyDescent="0.2"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</row>
    <row r="25" spans="3:21" ht="15" customHeight="1" x14ac:dyDescent="0.2"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</row>
    <row r="26" spans="3:21" ht="15" customHeight="1" x14ac:dyDescent="0.45"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</row>
    <row r="27" spans="3:21" ht="15" customHeight="1" x14ac:dyDescent="0.2">
      <c r="C27" s="88" t="s">
        <v>57</v>
      </c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</row>
    <row r="28" spans="3:21" x14ac:dyDescent="0.2"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</row>
    <row r="29" spans="3:21" x14ac:dyDescent="0.2"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</row>
    <row r="30" spans="3:21" x14ac:dyDescent="0.2"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</row>
  </sheetData>
  <mergeCells count="5">
    <mergeCell ref="C27:U30"/>
    <mergeCell ref="A6:U9"/>
    <mergeCell ref="A10:U14"/>
    <mergeCell ref="C17:U20"/>
    <mergeCell ref="C22:U25"/>
  </mergeCells>
  <hyperlinks>
    <hyperlink ref="C17:U20" location="Constants!A1" display="CONSTANTS" xr:uid="{3C3F1DD4-1DE2-DF4A-96DB-8509F166EADE}"/>
    <hyperlink ref="C22:U25" location="'GrE HnD BsC'!A1" display="DYNAMOMETER RESULTS" xr:uid="{363B5ECE-CF51-784B-A23C-DC5679A41BD5}"/>
    <hyperlink ref="C27:U30" location="Graphs!A1" display="COMPARISON GRAPHS" xr:uid="{EE4DD568-7F73-3B46-98E2-1C305C9E5947}"/>
  </hyperlinks>
  <pageMargins left="0.7" right="0.7" top="0.75" bottom="0.75" header="0.3" footer="0.3"/>
  <drawing r:id="rId1"/>
  <picture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C5FA4-795B-2641-AE86-CBAF6E73D03D}">
  <dimension ref="A2:AB13"/>
  <sheetViews>
    <sheetView showGridLines="0" showRowColHeaders="0" workbookViewId="0"/>
  </sheetViews>
  <sheetFormatPr baseColWidth="10" defaultRowHeight="15" x14ac:dyDescent="0.2"/>
  <cols>
    <col min="1" max="1" width="23.1640625" customWidth="1"/>
    <col min="2" max="2" width="13.5" customWidth="1"/>
    <col min="3" max="3" width="11" customWidth="1"/>
    <col min="4" max="4" width="12.1640625" customWidth="1"/>
    <col min="5" max="5" width="12.5" bestFit="1" customWidth="1"/>
    <col min="6" max="6" width="12.6640625" bestFit="1" customWidth="1"/>
    <col min="7" max="7" width="11.33203125" bestFit="1" customWidth="1"/>
    <col min="8" max="8" width="12.1640625" customWidth="1"/>
    <col min="9" max="9" width="10" bestFit="1" customWidth="1"/>
    <col min="10" max="10" width="8.6640625" bestFit="1" customWidth="1"/>
    <col min="11" max="11" width="15.83203125" bestFit="1" customWidth="1"/>
    <col min="12" max="12" width="14" bestFit="1" customWidth="1"/>
    <col min="13" max="13" width="13.33203125" bestFit="1" customWidth="1"/>
    <col min="14" max="14" width="12.5" bestFit="1" customWidth="1"/>
    <col min="15" max="15" width="15" bestFit="1" customWidth="1"/>
  </cols>
  <sheetData>
    <row r="2" spans="1:28" x14ac:dyDescent="0.2">
      <c r="A2" s="85" t="s">
        <v>52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</row>
    <row r="3" spans="1:28" x14ac:dyDescent="0.2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28" x14ac:dyDescent="0.2">
      <c r="A4" s="85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</row>
    <row r="5" spans="1:28" x14ac:dyDescent="0.2">
      <c r="A5" s="85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</row>
    <row r="8" spans="1:28" ht="55" customHeight="1" thickBot="1" x14ac:dyDescent="0.25"/>
    <row r="9" spans="1:28" s="4" customFormat="1" ht="75" customHeight="1" thickBot="1" x14ac:dyDescent="0.25">
      <c r="B9" s="41" t="s">
        <v>51</v>
      </c>
      <c r="C9" s="42" t="s">
        <v>0</v>
      </c>
      <c r="D9" s="42" t="s">
        <v>1</v>
      </c>
      <c r="E9" s="42" t="s">
        <v>1</v>
      </c>
      <c r="F9" s="42" t="s">
        <v>11</v>
      </c>
      <c r="G9" s="42" t="s">
        <v>10</v>
      </c>
      <c r="H9" s="42" t="s">
        <v>36</v>
      </c>
      <c r="I9" s="42" t="s">
        <v>12</v>
      </c>
      <c r="J9" s="42" t="s">
        <v>13</v>
      </c>
      <c r="K9" s="42" t="s">
        <v>14</v>
      </c>
      <c r="L9" s="42" t="s">
        <v>15</v>
      </c>
      <c r="M9" s="42" t="s">
        <v>22</v>
      </c>
      <c r="N9" s="42" t="s">
        <v>23</v>
      </c>
      <c r="O9" s="43" t="s">
        <v>20</v>
      </c>
      <c r="AA9" s="5"/>
      <c r="AB9" s="5"/>
    </row>
    <row r="10" spans="1:28" s="4" customFormat="1" ht="22" thickBot="1" x14ac:dyDescent="0.25">
      <c r="A10" s="33" t="s">
        <v>32</v>
      </c>
      <c r="B10"/>
      <c r="C10" s="24"/>
      <c r="D10" s="21"/>
      <c r="E10" s="24"/>
      <c r="F10" s="21"/>
      <c r="G10" s="24"/>
      <c r="H10" s="22"/>
      <c r="I10" s="24"/>
      <c r="J10" s="21"/>
      <c r="K10" s="24"/>
      <c r="L10" s="21"/>
      <c r="M10" s="24"/>
      <c r="N10" s="21"/>
      <c r="O10" s="23"/>
      <c r="AA10" s="5"/>
      <c r="AB10" s="5"/>
    </row>
    <row r="11" spans="1:28" s="4" customFormat="1" ht="71" customHeight="1" thickBot="1" x14ac:dyDescent="0.25">
      <c r="A11" s="51" t="s">
        <v>38</v>
      </c>
      <c r="B11" s="52"/>
      <c r="C11" s="52"/>
      <c r="D11" s="53"/>
      <c r="E11" s="52"/>
      <c r="F11" s="53"/>
      <c r="G11" s="52"/>
      <c r="H11" s="54"/>
      <c r="I11" s="52"/>
      <c r="J11" s="53"/>
      <c r="K11" s="52"/>
      <c r="L11" s="53"/>
      <c r="M11" s="52"/>
      <c r="N11" s="53"/>
      <c r="O11" s="55"/>
      <c r="AA11" s="5"/>
      <c r="AB11" s="5"/>
    </row>
    <row r="12" spans="1:28" s="4" customFormat="1" ht="27" customHeight="1" thickBot="1" x14ac:dyDescent="0.25">
      <c r="A12" s="34" t="s">
        <v>33</v>
      </c>
      <c r="B12" s="44" t="s">
        <v>18</v>
      </c>
      <c r="C12" s="44" t="s">
        <v>2</v>
      </c>
      <c r="D12" s="45" t="s">
        <v>35</v>
      </c>
      <c r="E12" s="44" t="s">
        <v>17</v>
      </c>
      <c r="F12" s="45" t="s">
        <v>7</v>
      </c>
      <c r="G12" s="46"/>
      <c r="H12" s="47" t="s">
        <v>37</v>
      </c>
      <c r="I12" s="46" t="s">
        <v>7</v>
      </c>
      <c r="J12" s="48" t="s">
        <v>7</v>
      </c>
      <c r="K12" s="49"/>
      <c r="L12" s="50"/>
      <c r="M12" s="49"/>
      <c r="N12" s="50"/>
      <c r="O12" s="46" t="s">
        <v>21</v>
      </c>
      <c r="AA12" s="5"/>
      <c r="AB12" s="5"/>
    </row>
    <row r="13" spans="1:28" ht="32" customHeight="1" thickBot="1" x14ac:dyDescent="0.25">
      <c r="A13" s="36" t="s">
        <v>34</v>
      </c>
      <c r="B13" s="56">
        <v>1.0188999999999999</v>
      </c>
      <c r="C13" s="37">
        <v>46</v>
      </c>
      <c r="D13" s="38">
        <v>27</v>
      </c>
      <c r="E13" s="57">
        <f>D13+273</f>
        <v>300</v>
      </c>
      <c r="F13" s="38">
        <v>0.81577599999999995</v>
      </c>
      <c r="G13" s="37">
        <v>5252</v>
      </c>
      <c r="H13" s="38">
        <v>9459</v>
      </c>
      <c r="I13" s="37">
        <v>7.4999999999999997E-2</v>
      </c>
      <c r="J13" s="38">
        <v>0.09</v>
      </c>
      <c r="K13" s="39">
        <f>(PI()*I13^2)/4</f>
        <v>4.4178646691106467E-3</v>
      </c>
      <c r="L13" s="38">
        <v>4</v>
      </c>
      <c r="M13" s="39">
        <f>K13*J13*L13</f>
        <v>1.5904312808798329E-3</v>
      </c>
      <c r="N13" s="40">
        <f>M13/L13</f>
        <v>3.9760782021995821E-4</v>
      </c>
      <c r="O13" s="37">
        <v>43391</v>
      </c>
      <c r="AA13" s="1"/>
      <c r="AB13" s="1"/>
    </row>
  </sheetData>
  <mergeCells count="1">
    <mergeCell ref="A2:O5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4"/>
  <sheetViews>
    <sheetView showGridLines="0" showRowColHeaders="0" zoomScale="141" zoomScaleNormal="14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baseColWidth="10" defaultColWidth="8.83203125" defaultRowHeight="15" x14ac:dyDescent="0.2"/>
  <cols>
    <col min="1" max="1" width="3.33203125" style="30" customWidth="1"/>
    <col min="2" max="2" width="17.1640625" style="1" customWidth="1"/>
    <col min="3" max="3" width="10.6640625" style="1" customWidth="1"/>
    <col min="4" max="4" width="1.83203125" style="25" customWidth="1"/>
    <col min="5" max="5" width="14.5" customWidth="1"/>
    <col min="6" max="7" width="20" customWidth="1"/>
    <col min="8" max="8" width="14" style="1" customWidth="1"/>
    <col min="9" max="9" width="1.33203125" style="61" customWidth="1"/>
    <col min="10" max="10" width="22" style="1" customWidth="1"/>
    <col min="11" max="11" width="23" style="1" customWidth="1"/>
    <col min="12" max="12" width="2.33203125" style="25" customWidth="1"/>
    <col min="13" max="13" width="22.6640625" style="1" customWidth="1"/>
    <col min="14" max="14" width="21.1640625" style="1" customWidth="1"/>
    <col min="15" max="15" width="19.1640625" style="1" customWidth="1"/>
    <col min="16" max="16" width="2.83203125" style="25" customWidth="1"/>
    <col min="17" max="17" width="19.33203125" style="1" customWidth="1"/>
    <col min="18" max="18" width="20.1640625" style="1" customWidth="1"/>
    <col min="19" max="19" width="1.6640625" style="30" customWidth="1"/>
    <col min="20" max="20" width="21.6640625" style="1" customWidth="1"/>
    <col min="21" max="21" width="19.6640625" customWidth="1"/>
    <col min="22" max="22" width="2.33203125" style="30" customWidth="1"/>
    <col min="23" max="24" width="19.6640625" customWidth="1"/>
    <col min="25" max="25" width="2.1640625" style="30" customWidth="1"/>
    <col min="26" max="27" width="19.6640625" customWidth="1"/>
    <col min="28" max="28" width="2.1640625" style="30" customWidth="1"/>
    <col min="29" max="29" width="15.83203125" bestFit="1" customWidth="1"/>
  </cols>
  <sheetData>
    <row r="1" spans="1:29" s="30" customFormat="1" ht="16" thickBot="1" x14ac:dyDescent="0.25">
      <c r="B1" s="25"/>
      <c r="C1" s="25"/>
      <c r="D1" s="25"/>
      <c r="H1" s="25"/>
      <c r="I1" s="61"/>
      <c r="J1" s="25"/>
      <c r="K1" s="25"/>
      <c r="L1" s="25"/>
      <c r="M1" s="25"/>
      <c r="N1" s="25"/>
      <c r="O1" s="25"/>
      <c r="P1" s="25"/>
      <c r="Q1" s="25"/>
      <c r="R1" s="25"/>
      <c r="T1" s="25"/>
    </row>
    <row r="2" spans="1:29" s="6" customFormat="1" ht="15" customHeight="1" x14ac:dyDescent="0.2">
      <c r="A2" s="30"/>
      <c r="B2" s="79" t="s">
        <v>49</v>
      </c>
      <c r="C2" s="81" t="s">
        <v>39</v>
      </c>
      <c r="D2" s="26"/>
      <c r="E2" s="73" t="s">
        <v>47</v>
      </c>
      <c r="F2" s="77"/>
      <c r="G2" s="77"/>
      <c r="H2" s="74" t="s">
        <v>48</v>
      </c>
      <c r="I2" s="61"/>
      <c r="J2" s="66" t="s">
        <v>41</v>
      </c>
      <c r="K2" s="67"/>
      <c r="L2" s="28"/>
      <c r="M2" s="70" t="s">
        <v>40</v>
      </c>
      <c r="N2" s="71"/>
      <c r="O2" s="72"/>
      <c r="P2" s="30"/>
      <c r="Q2" s="73" t="s">
        <v>50</v>
      </c>
      <c r="R2" s="74"/>
      <c r="S2" s="26"/>
      <c r="T2" s="66" t="s">
        <v>42</v>
      </c>
      <c r="U2" s="67"/>
      <c r="V2" s="28"/>
      <c r="W2" s="66" t="s">
        <v>43</v>
      </c>
      <c r="X2" s="67"/>
      <c r="Y2" s="28"/>
      <c r="Z2" s="66" t="s">
        <v>44</v>
      </c>
      <c r="AA2" s="67"/>
      <c r="AB2" s="28"/>
      <c r="AC2" s="81" t="s">
        <v>9</v>
      </c>
    </row>
    <row r="3" spans="1:29" x14ac:dyDescent="0.2">
      <c r="B3" s="80"/>
      <c r="C3" s="82"/>
      <c r="D3" s="26"/>
      <c r="E3" s="75"/>
      <c r="F3" s="78"/>
      <c r="G3" s="78"/>
      <c r="H3" s="76"/>
      <c r="I3" s="62"/>
      <c r="J3" s="68"/>
      <c r="K3" s="69"/>
      <c r="L3" s="28"/>
      <c r="M3" s="17" t="s">
        <v>16</v>
      </c>
      <c r="N3" s="16" t="s">
        <v>8</v>
      </c>
      <c r="O3" s="18" t="s">
        <v>16</v>
      </c>
      <c r="Q3" s="75"/>
      <c r="R3" s="76"/>
      <c r="S3" s="26"/>
      <c r="T3" s="68"/>
      <c r="U3" s="69"/>
      <c r="V3" s="28"/>
      <c r="W3" s="68"/>
      <c r="X3" s="69"/>
      <c r="Y3" s="28"/>
      <c r="Z3" s="68"/>
      <c r="AA3" s="69"/>
      <c r="AB3" s="28"/>
      <c r="AC3" s="82"/>
    </row>
    <row r="4" spans="1:29" ht="16" thickBot="1" x14ac:dyDescent="0.25">
      <c r="B4" s="35" t="s">
        <v>4</v>
      </c>
      <c r="C4" s="35" t="s">
        <v>3</v>
      </c>
      <c r="D4" s="27"/>
      <c r="E4" s="9" t="s">
        <v>5</v>
      </c>
      <c r="F4" s="10" t="s">
        <v>26</v>
      </c>
      <c r="G4" s="10" t="s">
        <v>45</v>
      </c>
      <c r="H4" s="11"/>
      <c r="I4" s="62"/>
      <c r="J4" s="13" t="s">
        <v>6</v>
      </c>
      <c r="K4" s="15" t="s">
        <v>19</v>
      </c>
      <c r="M4" s="13" t="s">
        <v>24</v>
      </c>
      <c r="N4" s="14" t="s">
        <v>24</v>
      </c>
      <c r="O4" s="15" t="s">
        <v>25</v>
      </c>
      <c r="Q4" s="13" t="s">
        <v>28</v>
      </c>
      <c r="R4" s="15" t="s">
        <v>27</v>
      </c>
      <c r="S4" s="25"/>
      <c r="T4" s="19" t="s">
        <v>29</v>
      </c>
      <c r="U4" s="20" t="s">
        <v>30</v>
      </c>
      <c r="V4" s="25"/>
      <c r="W4" s="13" t="s">
        <v>29</v>
      </c>
      <c r="X4" s="15" t="s">
        <v>30</v>
      </c>
      <c r="Y4" s="25"/>
      <c r="Z4" s="13" t="s">
        <v>31</v>
      </c>
      <c r="AA4" s="15" t="s">
        <v>2</v>
      </c>
      <c r="AB4" s="25"/>
      <c r="AC4" s="83"/>
    </row>
    <row r="5" spans="1:29" ht="39" customHeight="1" x14ac:dyDescent="0.2">
      <c r="B5" s="2"/>
      <c r="C5" s="2"/>
      <c r="D5" s="27"/>
      <c r="E5" s="2"/>
      <c r="F5" s="32" t="s">
        <v>46</v>
      </c>
      <c r="G5" s="32"/>
      <c r="H5" s="2"/>
      <c r="I5" s="62"/>
      <c r="O5" s="59"/>
      <c r="Q5"/>
      <c r="R5"/>
      <c r="S5" s="25"/>
      <c r="T5" s="60"/>
      <c r="U5" s="60"/>
      <c r="V5" s="25"/>
      <c r="W5" s="60"/>
      <c r="X5" s="60"/>
      <c r="Y5" s="25"/>
      <c r="Z5" s="65"/>
      <c r="AA5" s="65"/>
      <c r="AB5" s="25"/>
      <c r="AC5" s="1"/>
    </row>
    <row r="6" spans="1:29" x14ac:dyDescent="0.2">
      <c r="B6" s="1">
        <v>1000</v>
      </c>
      <c r="C6" s="1">
        <v>102.27500000000001</v>
      </c>
      <c r="E6" s="1">
        <v>7.0400000000000004E-2</v>
      </c>
      <c r="F6" s="1">
        <f>(E6*0.75)*60</f>
        <v>3.1680000000000001</v>
      </c>
      <c r="G6" s="1">
        <f>F6/3600</f>
        <v>8.8000000000000003E-4</v>
      </c>
      <c r="H6" s="7">
        <v>1.2658</v>
      </c>
      <c r="I6" s="61">
        <v>1</v>
      </c>
      <c r="J6" s="3">
        <f>C6*Constants!$F$13</f>
        <v>83.433490399999997</v>
      </c>
      <c r="K6" s="7">
        <f>J6*B6/Constants!$H$13</f>
        <v>8.8205402685273278</v>
      </c>
      <c r="L6" s="29"/>
      <c r="M6" s="8">
        <f t="shared" ref="M6:M37" si="0">((J6*(2*PI())*B6/60))</f>
        <v>8737.1346834664837</v>
      </c>
      <c r="N6" s="8">
        <f>M6*((1.01325/Constants!$B$13)*(SQRT(Constants!$E$13/293)))</f>
        <v>8791.8627117276719</v>
      </c>
      <c r="O6" s="3">
        <f>N6/1000</f>
        <v>8.7918627117276724</v>
      </c>
      <c r="Q6" s="7">
        <f t="shared" ref="Q6:Q37" si="1">F6/O6</f>
        <v>0.36033319717039375</v>
      </c>
      <c r="R6" s="3">
        <f>Q6*1000</f>
        <v>360.33319717039376</v>
      </c>
      <c r="S6" s="31"/>
      <c r="T6" s="63">
        <f>F6*(Constants!$O$13*10^3)</f>
        <v>137462688</v>
      </c>
      <c r="U6" s="3">
        <f>T6*10^-6</f>
        <v>137.46268799999999</v>
      </c>
      <c r="V6" s="31"/>
      <c r="W6" s="64">
        <f>N6*3600</f>
        <v>31650705.762219619</v>
      </c>
      <c r="X6" s="3">
        <f>W6*10^-6</f>
        <v>31.650705762219619</v>
      </c>
      <c r="Y6" s="31"/>
      <c r="Z6" s="3">
        <f>X6/U6</f>
        <v>0.23024943148368832</v>
      </c>
      <c r="AA6" s="12">
        <f>Z6</f>
        <v>0.23024943148368832</v>
      </c>
      <c r="AB6" s="58"/>
      <c r="AC6" s="12">
        <f>O6/(G6*Constants!$O$13)</f>
        <v>0.23024943148368829</v>
      </c>
    </row>
    <row r="7" spans="1:29" x14ac:dyDescent="0.2">
      <c r="B7" s="1">
        <f t="shared" ref="B7:B38" si="2">B6+50</f>
        <v>1050</v>
      </c>
      <c r="C7" s="1">
        <v>102.756</v>
      </c>
      <c r="E7" s="1">
        <v>7.2400000000000006E-2</v>
      </c>
      <c r="F7" s="1">
        <f t="shared" ref="F7:F70" si="3">(E7*0.75)*60</f>
        <v>3.258</v>
      </c>
      <c r="G7" s="1">
        <f t="shared" ref="G7:G70" si="4">F7/3600</f>
        <v>9.0499999999999999E-4</v>
      </c>
      <c r="H7" s="7">
        <v>1.26783</v>
      </c>
      <c r="I7" s="61">
        <v>1</v>
      </c>
      <c r="J7" s="3">
        <f>C7*Constants!$F$13</f>
        <v>83.825878656</v>
      </c>
      <c r="K7" s="7">
        <f>J7*B7/Constants!$H$13</f>
        <v>9.3051244940057103</v>
      </c>
      <c r="L7" s="29"/>
      <c r="M7" s="8">
        <f t="shared" si="0"/>
        <v>9217.1367598239667</v>
      </c>
      <c r="N7" s="8">
        <f>M7*((1.01325/Constants!$B$13)*(SQRT(Constants!$E$13/293)))</f>
        <v>9274.8714450902298</v>
      </c>
      <c r="O7" s="3">
        <f t="shared" ref="O7:O70" si="5">N7/1000</f>
        <v>9.2748714450902305</v>
      </c>
      <c r="Q7" s="7">
        <f t="shared" si="1"/>
        <v>0.35127171511629557</v>
      </c>
      <c r="R7" s="3">
        <f t="shared" ref="R7:R70" si="6">Q7*1000</f>
        <v>351.27171511629558</v>
      </c>
      <c r="S7" s="31"/>
      <c r="T7" s="63">
        <f>F7*(Constants!$O$13*10^3)</f>
        <v>141367878</v>
      </c>
      <c r="U7" s="3">
        <f t="shared" ref="U7:U70" si="7">T7*10^-6</f>
        <v>141.36787799999999</v>
      </c>
      <c r="V7" s="31"/>
      <c r="W7" s="64">
        <f t="shared" ref="W7:W70" si="8">N7*3600</f>
        <v>33389537.202324826</v>
      </c>
      <c r="X7" s="3">
        <f t="shared" ref="X7:X70" si="9">W7*10^-6</f>
        <v>33.389537202324824</v>
      </c>
      <c r="Y7" s="31"/>
      <c r="Z7" s="3">
        <f t="shared" ref="Z7:Z70" si="10">X7/U7</f>
        <v>0.23618899621825565</v>
      </c>
      <c r="AA7" s="12">
        <f t="shared" ref="AA7:AA70" si="11">Z7</f>
        <v>0.23618899621825565</v>
      </c>
      <c r="AB7" s="58"/>
      <c r="AC7" s="12">
        <f>O7/(G7*Constants!$O$13)</f>
        <v>0.23618899621825568</v>
      </c>
    </row>
    <row r="8" spans="1:29" x14ac:dyDescent="0.2">
      <c r="B8" s="1">
        <f t="shared" si="2"/>
        <v>1100</v>
      </c>
      <c r="C8" s="1">
        <v>103.68899999999999</v>
      </c>
      <c r="E8" s="1">
        <v>7.3700000000000002E-2</v>
      </c>
      <c r="F8" s="1">
        <f t="shared" si="3"/>
        <v>3.3165000000000004</v>
      </c>
      <c r="G8" s="1">
        <f t="shared" si="4"/>
        <v>9.2125000000000009E-4</v>
      </c>
      <c r="H8" s="7">
        <v>1.2734399999999999</v>
      </c>
      <c r="I8" s="61">
        <v>1</v>
      </c>
      <c r="J8" s="3">
        <f>C8*Constants!$F$13</f>
        <v>84.586997663999995</v>
      </c>
      <c r="K8" s="7">
        <f>J8*B8/Constants!$H$13</f>
        <v>9.8367372270218834</v>
      </c>
      <c r="L8" s="29"/>
      <c r="M8" s="8">
        <f t="shared" si="0"/>
        <v>9743.7226498494438</v>
      </c>
      <c r="N8" s="8">
        <f>M8*((1.01325/Constants!$B$13)*(SQRT(Constants!$E$13/293)))</f>
        <v>9804.7557857537395</v>
      </c>
      <c r="O8" s="3">
        <f t="shared" si="5"/>
        <v>9.8047557857537395</v>
      </c>
      <c r="Q8" s="7">
        <f t="shared" si="1"/>
        <v>0.33825421789891574</v>
      </c>
      <c r="R8" s="3">
        <f t="shared" si="6"/>
        <v>338.25421789891573</v>
      </c>
      <c r="S8" s="31"/>
      <c r="T8" s="63">
        <f>F8*(Constants!$O$13*10^3)</f>
        <v>143906251.50000003</v>
      </c>
      <c r="U8" s="3">
        <f t="shared" si="7"/>
        <v>143.90625150000002</v>
      </c>
      <c r="V8" s="31"/>
      <c r="W8" s="64">
        <f t="shared" si="8"/>
        <v>35297120.828713462</v>
      </c>
      <c r="X8" s="3">
        <f t="shared" si="9"/>
        <v>35.29712082871346</v>
      </c>
      <c r="Y8" s="31"/>
      <c r="Z8" s="3">
        <f t="shared" si="10"/>
        <v>0.24527857866350897</v>
      </c>
      <c r="AA8" s="12">
        <f t="shared" si="11"/>
        <v>0.24527857866350897</v>
      </c>
      <c r="AB8" s="58"/>
      <c r="AC8" s="12">
        <f>O8/(G8*Constants!$O$13)</f>
        <v>0.24527857866350899</v>
      </c>
    </row>
    <row r="9" spans="1:29" x14ac:dyDescent="0.2">
      <c r="B9" s="1">
        <f t="shared" si="2"/>
        <v>1150</v>
      </c>
      <c r="C9" s="1">
        <v>104.209</v>
      </c>
      <c r="E9" s="1">
        <v>7.2800000000000004E-2</v>
      </c>
      <c r="F9" s="1">
        <f t="shared" si="3"/>
        <v>3.2760000000000002</v>
      </c>
      <c r="G9" s="1">
        <f t="shared" si="4"/>
        <v>9.1000000000000011E-4</v>
      </c>
      <c r="H9" s="7">
        <v>1.2847599999999999</v>
      </c>
      <c r="I9" s="61">
        <v>1</v>
      </c>
      <c r="J9" s="3">
        <f>C9*Constants!$F$13</f>
        <v>85.011201184000001</v>
      </c>
      <c r="K9" s="7">
        <f>J9*B9/Constants!$H$13</f>
        <v>10.335435179363568</v>
      </c>
      <c r="L9" s="29"/>
      <c r="M9" s="8">
        <f t="shared" si="0"/>
        <v>10237.704995979102</v>
      </c>
      <c r="N9" s="8">
        <f>M9*((1.01325/Constants!$B$13)*(SQRT(Constants!$E$13/293)))</f>
        <v>10301.832359084756</v>
      </c>
      <c r="O9" s="3">
        <f t="shared" si="5"/>
        <v>10.301832359084756</v>
      </c>
      <c r="Q9" s="7">
        <f t="shared" si="1"/>
        <v>0.31800168026526199</v>
      </c>
      <c r="R9" s="3">
        <f t="shared" si="6"/>
        <v>318.001680265262</v>
      </c>
      <c r="S9" s="31"/>
      <c r="T9" s="63">
        <f>F9*(Constants!$O$13*10^3)</f>
        <v>142148916</v>
      </c>
      <c r="U9" s="3">
        <f t="shared" si="7"/>
        <v>142.14891599999999</v>
      </c>
      <c r="V9" s="31"/>
      <c r="W9" s="64">
        <f t="shared" si="8"/>
        <v>37086596.492705122</v>
      </c>
      <c r="X9" s="3">
        <f t="shared" si="9"/>
        <v>37.086596492705119</v>
      </c>
      <c r="Y9" s="31"/>
      <c r="Z9" s="3">
        <f t="shared" si="10"/>
        <v>0.26089960821583136</v>
      </c>
      <c r="AA9" s="12">
        <f t="shared" si="11"/>
        <v>0.26089960821583136</v>
      </c>
      <c r="AB9" s="58"/>
      <c r="AC9" s="12">
        <f>O9/(G9*Constants!$O$13)</f>
        <v>0.2608996082158313</v>
      </c>
    </row>
    <row r="10" spans="1:29" x14ac:dyDescent="0.2">
      <c r="B10" s="1">
        <f t="shared" si="2"/>
        <v>1200</v>
      </c>
      <c r="C10" s="1">
        <v>105.81100000000001</v>
      </c>
      <c r="E10" s="1">
        <v>7.4399999999999994E-2</v>
      </c>
      <c r="F10" s="1">
        <f t="shared" si="3"/>
        <v>3.3479999999999999</v>
      </c>
      <c r="G10" s="1">
        <f t="shared" si="4"/>
        <v>9.2999999999999995E-4</v>
      </c>
      <c r="H10" s="7">
        <v>1.2918099999999999</v>
      </c>
      <c r="I10" s="61">
        <v>1</v>
      </c>
      <c r="J10" s="3">
        <f>C10*Constants!$F$13</f>
        <v>86.318074335999995</v>
      </c>
      <c r="K10" s="7">
        <f>J10*B10/Constants!$H$13</f>
        <v>10.950596173295272</v>
      </c>
      <c r="L10" s="29"/>
      <c r="M10" s="8">
        <f t="shared" si="0"/>
        <v>10847.049128239809</v>
      </c>
      <c r="N10" s="8">
        <f>M10*((1.01325/Constants!$B$13)*(SQRT(Constants!$E$13/293)))</f>
        <v>10914.993326509313</v>
      </c>
      <c r="O10" s="3">
        <f t="shared" si="5"/>
        <v>10.914993326509313</v>
      </c>
      <c r="Q10" s="7">
        <f t="shared" si="1"/>
        <v>0.30673404003543375</v>
      </c>
      <c r="R10" s="3">
        <f t="shared" si="6"/>
        <v>306.73404003543374</v>
      </c>
      <c r="S10" s="31"/>
      <c r="T10" s="63">
        <f>F10*(Constants!$O$13*10^3)</f>
        <v>145273068</v>
      </c>
      <c r="U10" s="3">
        <f t="shared" si="7"/>
        <v>145.27306799999999</v>
      </c>
      <c r="V10" s="31"/>
      <c r="W10" s="64">
        <f t="shared" si="8"/>
        <v>39293975.975433528</v>
      </c>
      <c r="X10" s="3">
        <f t="shared" si="9"/>
        <v>39.293975975433526</v>
      </c>
      <c r="Y10" s="31"/>
      <c r="Z10" s="3">
        <f t="shared" si="10"/>
        <v>0.27048355566796128</v>
      </c>
      <c r="AA10" s="12">
        <f t="shared" si="11"/>
        <v>0.27048355566796128</v>
      </c>
      <c r="AB10" s="58"/>
      <c r="AC10" s="12">
        <f>O10/(G10*Constants!$O$13)</f>
        <v>0.27048355566796134</v>
      </c>
    </row>
    <row r="11" spans="1:29" x14ac:dyDescent="0.2">
      <c r="B11" s="1">
        <f t="shared" si="2"/>
        <v>1250</v>
      </c>
      <c r="C11" s="1">
        <v>107.51</v>
      </c>
      <c r="E11" s="1">
        <v>7.8950000000000006E-2</v>
      </c>
      <c r="F11" s="1">
        <f t="shared" si="3"/>
        <v>3.5527500000000001</v>
      </c>
      <c r="G11" s="1">
        <f t="shared" si="4"/>
        <v>9.8687500000000012E-4</v>
      </c>
      <c r="H11" s="7">
        <v>1.2972900000000001</v>
      </c>
      <c r="I11" s="61">
        <v>1</v>
      </c>
      <c r="J11" s="3">
        <f>C11*Constants!$F$13</f>
        <v>87.704077760000004</v>
      </c>
      <c r="K11" s="7">
        <f>J11*B11/Constants!$H$13</f>
        <v>11.590030362617613</v>
      </c>
      <c r="L11" s="29"/>
      <c r="M11" s="8">
        <f t="shared" si="0"/>
        <v>11480.436932528499</v>
      </c>
      <c r="N11" s="8">
        <f>M11*((1.01325/Constants!$B$13)*(SQRT(Constants!$E$13/293)))</f>
        <v>11552.348571716477</v>
      </c>
      <c r="O11" s="3">
        <f t="shared" si="5"/>
        <v>11.552348571716477</v>
      </c>
      <c r="Q11" s="7">
        <f t="shared" si="1"/>
        <v>0.30753486859790308</v>
      </c>
      <c r="R11" s="3">
        <f t="shared" si="6"/>
        <v>307.53486859790308</v>
      </c>
      <c r="S11" s="31"/>
      <c r="T11" s="63">
        <f>F11*(Constants!$O$13*10^3)</f>
        <v>154157375.25</v>
      </c>
      <c r="U11" s="3">
        <f t="shared" si="7"/>
        <v>154.15737525</v>
      </c>
      <c r="V11" s="31"/>
      <c r="W11" s="64">
        <f t="shared" si="8"/>
        <v>41588454.858179316</v>
      </c>
      <c r="X11" s="3">
        <f t="shared" si="9"/>
        <v>41.588454858179311</v>
      </c>
      <c r="Y11" s="31"/>
      <c r="Z11" s="3">
        <f t="shared" si="10"/>
        <v>0.26977920965983304</v>
      </c>
      <c r="AA11" s="12">
        <f t="shared" si="11"/>
        <v>0.26977920965983304</v>
      </c>
      <c r="AB11" s="58"/>
      <c r="AC11" s="12">
        <f>O11/(G11*Constants!$O$13)</f>
        <v>0.2697792096598331</v>
      </c>
    </row>
    <row r="12" spans="1:29" x14ac:dyDescent="0.2">
      <c r="B12" s="1">
        <f t="shared" si="2"/>
        <v>1300</v>
      </c>
      <c r="C12" s="1">
        <v>109.488</v>
      </c>
      <c r="E12" s="1">
        <v>7.9000000000000001E-2</v>
      </c>
      <c r="F12" s="1">
        <f t="shared" si="3"/>
        <v>3.5549999999999997</v>
      </c>
      <c r="G12" s="1">
        <f t="shared" si="4"/>
        <v>9.8749999999999988E-4</v>
      </c>
      <c r="H12" s="7">
        <v>1.29895</v>
      </c>
      <c r="I12" s="61">
        <v>1</v>
      </c>
      <c r="J12" s="3">
        <f>C12*Constants!$F$13</f>
        <v>89.317682687999991</v>
      </c>
      <c r="K12" s="7">
        <f>J12*B12/Constants!$H$13</f>
        <v>12.275397768728194</v>
      </c>
      <c r="L12" s="29"/>
      <c r="M12" s="8">
        <f t="shared" si="0"/>
        <v>12159.323616625685</v>
      </c>
      <c r="N12" s="8">
        <f>M12*((1.01325/Constants!$B$13)*(SQRT(Constants!$E$13/293)))</f>
        <v>12235.487694511183</v>
      </c>
      <c r="O12" s="3">
        <f t="shared" si="5"/>
        <v>12.235487694511182</v>
      </c>
      <c r="Q12" s="7">
        <f t="shared" si="1"/>
        <v>0.29054828779687847</v>
      </c>
      <c r="R12" s="3">
        <f t="shared" si="6"/>
        <v>290.54828779687847</v>
      </c>
      <c r="S12" s="31"/>
      <c r="T12" s="63">
        <f>F12*(Constants!$O$13*10^3)</f>
        <v>154255005</v>
      </c>
      <c r="U12" s="3">
        <f t="shared" si="7"/>
        <v>154.25500499999998</v>
      </c>
      <c r="V12" s="31"/>
      <c r="W12" s="64">
        <f t="shared" si="8"/>
        <v>44047755.700240254</v>
      </c>
      <c r="X12" s="3">
        <f t="shared" si="9"/>
        <v>44.047755700240252</v>
      </c>
      <c r="Y12" s="31"/>
      <c r="Z12" s="3">
        <f t="shared" si="10"/>
        <v>0.28555154952826495</v>
      </c>
      <c r="AA12" s="12">
        <f t="shared" si="11"/>
        <v>0.28555154952826495</v>
      </c>
      <c r="AB12" s="58"/>
      <c r="AC12" s="12">
        <f>O12/(G12*Constants!$O$13)</f>
        <v>0.28555154952826495</v>
      </c>
    </row>
    <row r="13" spans="1:29" x14ac:dyDescent="0.2">
      <c r="B13" s="1">
        <f t="shared" si="2"/>
        <v>1350</v>
      </c>
      <c r="C13" s="1">
        <v>111.797</v>
      </c>
      <c r="E13" s="1">
        <v>7.9600000000000004E-2</v>
      </c>
      <c r="F13" s="1">
        <f t="shared" si="3"/>
        <v>3.5820000000000003</v>
      </c>
      <c r="G13" s="1">
        <f t="shared" si="4"/>
        <v>9.9500000000000001E-4</v>
      </c>
      <c r="H13" s="7">
        <v>1.2946899999999999</v>
      </c>
      <c r="I13" s="61">
        <v>1</v>
      </c>
      <c r="J13" s="3">
        <f>C13*Constants!$F$13</f>
        <v>91.201309471999991</v>
      </c>
      <c r="K13" s="7">
        <f>J13*B13/Constants!$H$13</f>
        <v>13.016361960799237</v>
      </c>
      <c r="L13" s="29"/>
      <c r="M13" s="8">
        <f t="shared" si="0"/>
        <v>12893.281372575198</v>
      </c>
      <c r="N13" s="8">
        <f>M13*((1.01325/Constants!$B$13)*(SQRT(Constants!$E$13/293)))</f>
        <v>12974.04284563261</v>
      </c>
      <c r="O13" s="3">
        <f t="shared" si="5"/>
        <v>12.97404284563261</v>
      </c>
      <c r="Q13" s="7">
        <f t="shared" si="1"/>
        <v>0.27608973105910406</v>
      </c>
      <c r="R13" s="3">
        <f t="shared" si="6"/>
        <v>276.08973105910405</v>
      </c>
      <c r="S13" s="31"/>
      <c r="T13" s="63">
        <f>F13*(Constants!$O$13*10^3)</f>
        <v>155426562</v>
      </c>
      <c r="U13" s="3">
        <f t="shared" si="7"/>
        <v>155.42656199999999</v>
      </c>
      <c r="V13" s="31"/>
      <c r="W13" s="64">
        <f t="shared" si="8"/>
        <v>46706554.244277395</v>
      </c>
      <c r="X13" s="3">
        <f t="shared" si="9"/>
        <v>46.706554244277392</v>
      </c>
      <c r="Y13" s="31"/>
      <c r="Z13" s="3">
        <f t="shared" si="10"/>
        <v>0.30050561270394305</v>
      </c>
      <c r="AA13" s="12">
        <f t="shared" si="11"/>
        <v>0.30050561270394305</v>
      </c>
      <c r="AB13" s="58"/>
      <c r="AC13" s="12">
        <f>O13/(G13*Constants!$O$13)</f>
        <v>0.3005056127039431</v>
      </c>
    </row>
    <row r="14" spans="1:29" x14ac:dyDescent="0.2">
      <c r="B14" s="1">
        <f t="shared" si="2"/>
        <v>1400</v>
      </c>
      <c r="C14" s="1">
        <v>114.268</v>
      </c>
      <c r="E14" s="1">
        <v>8.3500000000000005E-2</v>
      </c>
      <c r="F14" s="1">
        <f t="shared" si="3"/>
        <v>3.7574999999999998</v>
      </c>
      <c r="G14" s="1">
        <f t="shared" si="4"/>
        <v>1.04375E-3</v>
      </c>
      <c r="H14" s="7">
        <v>1.2855000000000001</v>
      </c>
      <c r="I14" s="61">
        <v>1</v>
      </c>
      <c r="J14" s="3">
        <f>C14*Constants!$F$13</f>
        <v>93.217091967999991</v>
      </c>
      <c r="K14" s="7">
        <f>J14*B14/Constants!$H$13</f>
        <v>13.796799741537159</v>
      </c>
      <c r="L14" s="29"/>
      <c r="M14" s="8">
        <f t="shared" si="0"/>
        <v>13666.339461398067</v>
      </c>
      <c r="N14" s="8">
        <f>M14*((1.01325/Constants!$B$13)*(SQRT(Constants!$E$13/293)))</f>
        <v>13751.943247921552</v>
      </c>
      <c r="O14" s="3">
        <f t="shared" si="5"/>
        <v>13.751943247921552</v>
      </c>
      <c r="Q14" s="7">
        <f t="shared" si="1"/>
        <v>0.27323411188218094</v>
      </c>
      <c r="R14" s="3">
        <f t="shared" si="6"/>
        <v>273.23411188218097</v>
      </c>
      <c r="S14" s="31"/>
      <c r="T14" s="63">
        <f>F14*(Constants!$O$13*10^3)</f>
        <v>163041682.5</v>
      </c>
      <c r="U14" s="3">
        <f t="shared" si="7"/>
        <v>163.04168249999998</v>
      </c>
      <c r="V14" s="31"/>
      <c r="W14" s="64">
        <f t="shared" si="8"/>
        <v>49506995.692517586</v>
      </c>
      <c r="X14" s="3">
        <f t="shared" si="9"/>
        <v>49.506995692517584</v>
      </c>
      <c r="Y14" s="31"/>
      <c r="Z14" s="3">
        <f t="shared" si="10"/>
        <v>0.30364625127391942</v>
      </c>
      <c r="AA14" s="12">
        <f t="shared" si="11"/>
        <v>0.30364625127391942</v>
      </c>
      <c r="AB14" s="58"/>
      <c r="AC14" s="12">
        <f>O14/(G14*Constants!$O$13)</f>
        <v>0.30364625127391942</v>
      </c>
    </row>
    <row r="15" spans="1:29" x14ac:dyDescent="0.2">
      <c r="B15" s="1">
        <f t="shared" si="2"/>
        <v>1450</v>
      </c>
      <c r="C15" s="1">
        <v>115.783</v>
      </c>
      <c r="E15" s="1">
        <v>8.4699999999999998E-2</v>
      </c>
      <c r="F15" s="1">
        <f t="shared" si="3"/>
        <v>3.8114999999999997</v>
      </c>
      <c r="G15" s="1">
        <f t="shared" si="4"/>
        <v>1.05875E-3</v>
      </c>
      <c r="H15" s="7">
        <v>1.2781800000000001</v>
      </c>
      <c r="I15" s="61">
        <v>1</v>
      </c>
      <c r="J15" s="3">
        <f>C15*Constants!$F$13</f>
        <v>94.452992607999988</v>
      </c>
      <c r="K15" s="7">
        <f>J15*B15/Constants!$H$13</f>
        <v>14.478997703943332</v>
      </c>
      <c r="L15" s="29"/>
      <c r="M15" s="8">
        <f t="shared" si="0"/>
        <v>14342.08667153175</v>
      </c>
      <c r="N15" s="8">
        <f>M15*((1.01325/Constants!$B$13)*(SQRT(Constants!$E$13/293)))</f>
        <v>14431.923231584935</v>
      </c>
      <c r="O15" s="3">
        <f t="shared" si="5"/>
        <v>14.431923231584936</v>
      </c>
      <c r="Q15" s="7">
        <f t="shared" si="1"/>
        <v>0.26410201459902133</v>
      </c>
      <c r="R15" s="3">
        <f t="shared" si="6"/>
        <v>264.10201459902135</v>
      </c>
      <c r="S15" s="31"/>
      <c r="T15" s="63">
        <f>F15*(Constants!$O$13*10^3)</f>
        <v>165384796.5</v>
      </c>
      <c r="U15" s="3">
        <f t="shared" si="7"/>
        <v>165.38479649999999</v>
      </c>
      <c r="V15" s="31"/>
      <c r="W15" s="64">
        <f t="shared" si="8"/>
        <v>51954923.633705765</v>
      </c>
      <c r="X15" s="3">
        <f t="shared" si="9"/>
        <v>51.954923633705761</v>
      </c>
      <c r="Y15" s="31"/>
      <c r="Z15" s="3">
        <f t="shared" si="10"/>
        <v>0.31414570585214441</v>
      </c>
      <c r="AA15" s="12">
        <f t="shared" si="11"/>
        <v>0.31414570585214441</v>
      </c>
      <c r="AB15" s="58"/>
      <c r="AC15" s="12">
        <f>O15/(G15*Constants!$O$13)</f>
        <v>0.31414570585214446</v>
      </c>
    </row>
    <row r="16" spans="1:29" x14ac:dyDescent="0.2">
      <c r="B16" s="1">
        <f t="shared" si="2"/>
        <v>1500</v>
      </c>
      <c r="C16" s="1">
        <v>116.985</v>
      </c>
      <c r="E16" s="1">
        <v>8.8650000000000007E-2</v>
      </c>
      <c r="F16" s="1">
        <f t="shared" si="3"/>
        <v>3.9892500000000002</v>
      </c>
      <c r="G16" s="1">
        <f t="shared" si="4"/>
        <v>1.108125E-3</v>
      </c>
      <c r="H16" s="7">
        <v>1.2795000000000001</v>
      </c>
      <c r="I16" s="61">
        <v>1</v>
      </c>
      <c r="J16" s="3">
        <f>C16*Constants!$F$13</f>
        <v>95.43355536</v>
      </c>
      <c r="K16" s="7">
        <f>J16*B16/Constants!$H$13</f>
        <v>15.133770275927688</v>
      </c>
      <c r="L16" s="29"/>
      <c r="M16" s="8">
        <f t="shared" si="0"/>
        <v>14990.667821246541</v>
      </c>
      <c r="N16" s="8">
        <f>M16*((1.01325/Constants!$B$13)*(SQRT(Constants!$E$13/293)))</f>
        <v>15084.566990928308</v>
      </c>
      <c r="O16" s="3">
        <f t="shared" si="5"/>
        <v>15.084566990928307</v>
      </c>
      <c r="Q16" s="7">
        <f t="shared" si="1"/>
        <v>0.26445903302355922</v>
      </c>
      <c r="R16" s="3">
        <f t="shared" si="6"/>
        <v>264.45903302355924</v>
      </c>
      <c r="S16" s="31"/>
      <c r="T16" s="63">
        <f>F16*(Constants!$O$13*10^3)</f>
        <v>173097546.75</v>
      </c>
      <c r="U16" s="3">
        <f t="shared" si="7"/>
        <v>173.09754674999999</v>
      </c>
      <c r="V16" s="31"/>
      <c r="W16" s="64">
        <f t="shared" si="8"/>
        <v>54304441.16734191</v>
      </c>
      <c r="X16" s="3">
        <f t="shared" si="9"/>
        <v>54.304441167341906</v>
      </c>
      <c r="Y16" s="31"/>
      <c r="Z16" s="3">
        <f t="shared" si="10"/>
        <v>0.31372161065790444</v>
      </c>
      <c r="AA16" s="12">
        <f t="shared" si="11"/>
        <v>0.31372161065790444</v>
      </c>
      <c r="AB16" s="58"/>
      <c r="AC16" s="12">
        <f>O16/(G16*Constants!$O$13)</f>
        <v>0.31372161065790444</v>
      </c>
    </row>
    <row r="17" spans="2:29" x14ac:dyDescent="0.2">
      <c r="B17" s="1">
        <f t="shared" si="2"/>
        <v>1550</v>
      </c>
      <c r="C17" s="1">
        <v>117.788</v>
      </c>
      <c r="E17" s="1">
        <v>9.3200000000000005E-2</v>
      </c>
      <c r="F17" s="1">
        <f t="shared" si="3"/>
        <v>4.194</v>
      </c>
      <c r="G17" s="1">
        <f t="shared" si="4"/>
        <v>1.165E-3</v>
      </c>
      <c r="H17" s="7">
        <v>1.27766</v>
      </c>
      <c r="I17" s="61">
        <v>1</v>
      </c>
      <c r="J17" s="3">
        <f>C17*Constants!$F$13</f>
        <v>96.088623487999996</v>
      </c>
      <c r="K17" s="7">
        <f>J17*B17/Constants!$H$13</f>
        <v>15.745572090749549</v>
      </c>
      <c r="L17" s="29"/>
      <c r="M17" s="8">
        <f t="shared" si="0"/>
        <v>15596.684538245248</v>
      </c>
      <c r="N17" s="8">
        <f>M17*((1.01325/Constants!$B$13)*(SQRT(Constants!$E$13/293)))</f>
        <v>15694.379700688512</v>
      </c>
      <c r="O17" s="3">
        <f t="shared" si="5"/>
        <v>15.694379700688513</v>
      </c>
      <c r="Q17" s="7">
        <f t="shared" si="1"/>
        <v>0.26722942097647917</v>
      </c>
      <c r="R17" s="3">
        <f t="shared" si="6"/>
        <v>267.22942097647916</v>
      </c>
      <c r="S17" s="31"/>
      <c r="T17" s="63">
        <f>F17*(Constants!$O$13*10^3)</f>
        <v>181981854</v>
      </c>
      <c r="U17" s="3">
        <f t="shared" si="7"/>
        <v>181.981854</v>
      </c>
      <c r="V17" s="31"/>
      <c r="W17" s="64">
        <f t="shared" si="8"/>
        <v>56499766.922478646</v>
      </c>
      <c r="X17" s="3">
        <f t="shared" si="9"/>
        <v>56.499766922478642</v>
      </c>
      <c r="Y17" s="31"/>
      <c r="Z17" s="3">
        <f t="shared" si="10"/>
        <v>0.31046923460005327</v>
      </c>
      <c r="AA17" s="12">
        <f t="shared" si="11"/>
        <v>0.31046923460005327</v>
      </c>
      <c r="AB17" s="58"/>
      <c r="AC17" s="12">
        <f>O17/(G17*Constants!$O$13)</f>
        <v>0.31046923460005327</v>
      </c>
    </row>
    <row r="18" spans="2:29" x14ac:dyDescent="0.2">
      <c r="B18" s="1">
        <f t="shared" si="2"/>
        <v>1600</v>
      </c>
      <c r="C18" s="1">
        <v>118.471</v>
      </c>
      <c r="E18" s="1">
        <v>9.5899999999999999E-2</v>
      </c>
      <c r="F18" s="1">
        <f t="shared" si="3"/>
        <v>4.3155000000000001</v>
      </c>
      <c r="G18" s="1">
        <f t="shared" si="4"/>
        <v>1.1987499999999999E-3</v>
      </c>
      <c r="H18" s="7">
        <v>1.2823500000000001</v>
      </c>
      <c r="I18" s="61">
        <v>1</v>
      </c>
      <c r="J18" s="3">
        <f>C18*Constants!$F$13</f>
        <v>96.645798495999998</v>
      </c>
      <c r="K18" s="7">
        <f>J18*B18/Constants!$H$13</f>
        <v>16.347740521577332</v>
      </c>
      <c r="L18" s="29"/>
      <c r="M18" s="8">
        <f t="shared" si="0"/>
        <v>16193.158962952164</v>
      </c>
      <c r="N18" s="8">
        <f>M18*((1.01325/Constants!$B$13)*(SQRT(Constants!$E$13/293)))</f>
        <v>16294.59034674889</v>
      </c>
      <c r="O18" s="3">
        <f t="shared" si="5"/>
        <v>16.29459034674889</v>
      </c>
      <c r="Q18" s="7">
        <f t="shared" si="1"/>
        <v>0.26484249730531162</v>
      </c>
      <c r="R18" s="3">
        <f t="shared" si="6"/>
        <v>264.84249730531161</v>
      </c>
      <c r="S18" s="31"/>
      <c r="T18" s="63">
        <f>F18*(Constants!$O$13*10^3)</f>
        <v>187253860.5</v>
      </c>
      <c r="U18" s="3">
        <f t="shared" si="7"/>
        <v>187.2538605</v>
      </c>
      <c r="V18" s="31"/>
      <c r="W18" s="64">
        <f t="shared" si="8"/>
        <v>58660525.248296</v>
      </c>
      <c r="X18" s="3">
        <f t="shared" si="9"/>
        <v>58.660525248295997</v>
      </c>
      <c r="Y18" s="31"/>
      <c r="Z18" s="3">
        <f t="shared" si="10"/>
        <v>0.31326737452388065</v>
      </c>
      <c r="AA18" s="12">
        <f t="shared" si="11"/>
        <v>0.31326737452388065</v>
      </c>
      <c r="AB18" s="58"/>
      <c r="AC18" s="12">
        <f>O18/(G18*Constants!$O$13)</f>
        <v>0.3132673745238807</v>
      </c>
    </row>
    <row r="19" spans="2:29" x14ac:dyDescent="0.2">
      <c r="B19" s="1">
        <f t="shared" si="2"/>
        <v>1650</v>
      </c>
      <c r="C19" s="1">
        <v>118.77200000000001</v>
      </c>
      <c r="E19" s="1">
        <v>9.8750000000000004E-2</v>
      </c>
      <c r="F19" s="1">
        <f t="shared" si="3"/>
        <v>4.4437500000000005</v>
      </c>
      <c r="G19" s="1">
        <f t="shared" si="4"/>
        <v>1.2343750000000002E-3</v>
      </c>
      <c r="H19" s="7">
        <v>1.2902800000000001</v>
      </c>
      <c r="I19" s="61">
        <v>1</v>
      </c>
      <c r="J19" s="3">
        <f>C19*Constants!$F$13</f>
        <v>96.891347072000002</v>
      </c>
      <c r="K19" s="7">
        <f>J19*B19/Constants!$H$13</f>
        <v>16.901440180653346</v>
      </c>
      <c r="L19" s="29"/>
      <c r="M19" s="8">
        <f t="shared" si="0"/>
        <v>16741.622928679775</v>
      </c>
      <c r="N19" s="8">
        <f>M19*((1.01325/Constants!$B$13)*(SQRT(Constants!$E$13/293)))</f>
        <v>16846.489803916662</v>
      </c>
      <c r="O19" s="3">
        <f t="shared" si="5"/>
        <v>16.846489803916661</v>
      </c>
      <c r="Q19" s="7">
        <f t="shared" si="1"/>
        <v>0.26377898611061801</v>
      </c>
      <c r="R19" s="3">
        <f t="shared" si="6"/>
        <v>263.77898611061801</v>
      </c>
      <c r="S19" s="31"/>
      <c r="T19" s="63">
        <f>F19*(Constants!$O$13*10^3)</f>
        <v>192818756.25000003</v>
      </c>
      <c r="U19" s="3">
        <f t="shared" si="7"/>
        <v>192.81875625000001</v>
      </c>
      <c r="V19" s="31"/>
      <c r="W19" s="64">
        <f t="shared" si="8"/>
        <v>60647363.294099987</v>
      </c>
      <c r="X19" s="3">
        <f t="shared" si="9"/>
        <v>60.647363294099982</v>
      </c>
      <c r="Y19" s="31"/>
      <c r="Z19" s="3">
        <f t="shared" si="10"/>
        <v>0.31453041433099682</v>
      </c>
      <c r="AA19" s="12">
        <f t="shared" si="11"/>
        <v>0.31453041433099682</v>
      </c>
      <c r="AB19" s="58"/>
      <c r="AC19" s="12">
        <f>O19/(G19*Constants!$O$13)</f>
        <v>0.31453041433099677</v>
      </c>
    </row>
    <row r="20" spans="2:29" x14ac:dyDescent="0.2">
      <c r="B20" s="1">
        <f t="shared" si="2"/>
        <v>1700</v>
      </c>
      <c r="C20" s="1">
        <v>118.65600000000001</v>
      </c>
      <c r="E20" s="1">
        <v>0.10005</v>
      </c>
      <c r="F20" s="1">
        <f t="shared" si="3"/>
        <v>4.5022500000000001</v>
      </c>
      <c r="G20" s="1">
        <f t="shared" si="4"/>
        <v>1.250625E-3</v>
      </c>
      <c r="H20" s="7">
        <v>1.29942</v>
      </c>
      <c r="I20" s="61">
        <v>1</v>
      </c>
      <c r="J20" s="3">
        <f>C20*Constants!$F$13</f>
        <v>96.796717055999991</v>
      </c>
      <c r="K20" s="7">
        <f>J20*B20/Constants!$H$13</f>
        <v>17.396597842816362</v>
      </c>
      <c r="L20" s="29"/>
      <c r="M20" s="8">
        <f t="shared" si="0"/>
        <v>17232.098461035232</v>
      </c>
      <c r="N20" s="8">
        <f>M20*((1.01325/Constants!$B$13)*(SQRT(Constants!$E$13/293)))</f>
        <v>17340.037597347247</v>
      </c>
      <c r="O20" s="3">
        <f t="shared" si="5"/>
        <v>17.340037597347248</v>
      </c>
      <c r="Q20" s="7">
        <f t="shared" si="1"/>
        <v>0.2596447657465733</v>
      </c>
      <c r="R20" s="3">
        <f t="shared" si="6"/>
        <v>259.64476574657328</v>
      </c>
      <c r="S20" s="31"/>
      <c r="T20" s="63">
        <f>F20*(Constants!$O$13*10^3)</f>
        <v>195357129.75</v>
      </c>
      <c r="U20" s="3">
        <f t="shared" si="7"/>
        <v>195.35712974999998</v>
      </c>
      <c r="V20" s="31"/>
      <c r="W20" s="64">
        <f t="shared" si="8"/>
        <v>62424135.350450091</v>
      </c>
      <c r="X20" s="3">
        <f t="shared" si="9"/>
        <v>62.424135350450086</v>
      </c>
      <c r="Y20" s="31"/>
      <c r="Z20" s="3">
        <f t="shared" si="10"/>
        <v>0.31953855705361117</v>
      </c>
      <c r="AA20" s="12">
        <f t="shared" si="11"/>
        <v>0.31953855705361117</v>
      </c>
      <c r="AB20" s="58"/>
      <c r="AC20" s="12">
        <f>O20/(G20*Constants!$O$13)</f>
        <v>0.31953855705361117</v>
      </c>
    </row>
    <row r="21" spans="2:29" x14ac:dyDescent="0.2">
      <c r="B21" s="1">
        <f t="shared" si="2"/>
        <v>1750</v>
      </c>
      <c r="C21" s="1">
        <v>118.861</v>
      </c>
      <c r="E21" s="1">
        <v>0.10305</v>
      </c>
      <c r="F21" s="1">
        <f t="shared" si="3"/>
        <v>4.6372500000000008</v>
      </c>
      <c r="G21" s="1">
        <f t="shared" si="4"/>
        <v>1.2881250000000002E-3</v>
      </c>
      <c r="H21" s="7">
        <v>1.31053</v>
      </c>
      <c r="I21" s="61">
        <v>1</v>
      </c>
      <c r="J21" s="3">
        <f>C21*Constants!$F$13</f>
        <v>96.963951135999991</v>
      </c>
      <c r="K21" s="7">
        <f>J21*B21/Constants!$H$13</f>
        <v>17.939202292842793</v>
      </c>
      <c r="L21" s="29"/>
      <c r="M21" s="8">
        <f t="shared" si="0"/>
        <v>17769.572132194007</v>
      </c>
      <c r="N21" s="8">
        <f>M21*((1.01325/Constants!$B$13)*(SQRT(Constants!$E$13/293)))</f>
        <v>17880.877918481154</v>
      </c>
      <c r="O21" s="3">
        <f t="shared" si="5"/>
        <v>17.880877918481154</v>
      </c>
      <c r="Q21" s="7">
        <f t="shared" si="1"/>
        <v>0.25934129303612519</v>
      </c>
      <c r="R21" s="3">
        <f t="shared" si="6"/>
        <v>259.34129303612519</v>
      </c>
      <c r="S21" s="31"/>
      <c r="T21" s="63">
        <f>F21*(Constants!$O$13*10^3)</f>
        <v>201214914.75000003</v>
      </c>
      <c r="U21" s="3">
        <f t="shared" si="7"/>
        <v>201.21491475000002</v>
      </c>
      <c r="V21" s="31"/>
      <c r="W21" s="64">
        <f t="shared" si="8"/>
        <v>64371160.506532155</v>
      </c>
      <c r="X21" s="3">
        <f t="shared" si="9"/>
        <v>64.371160506532149</v>
      </c>
      <c r="Y21" s="31"/>
      <c r="Z21" s="3">
        <f t="shared" si="10"/>
        <v>0.31991247063623618</v>
      </c>
      <c r="AA21" s="12">
        <f t="shared" si="11"/>
        <v>0.31991247063623618</v>
      </c>
      <c r="AB21" s="58"/>
      <c r="AC21" s="12">
        <f>O21/(G21*Constants!$O$13)</f>
        <v>0.31991247063623623</v>
      </c>
    </row>
    <row r="22" spans="2:29" x14ac:dyDescent="0.2">
      <c r="B22" s="1">
        <f t="shared" si="2"/>
        <v>1800</v>
      </c>
      <c r="C22" s="1">
        <v>119.584</v>
      </c>
      <c r="E22" s="1">
        <v>0.10929999999999999</v>
      </c>
      <c r="F22" s="1">
        <f t="shared" si="3"/>
        <v>4.9184999999999999</v>
      </c>
      <c r="G22" s="1">
        <f t="shared" si="4"/>
        <v>1.3662500000000001E-3</v>
      </c>
      <c r="H22" s="7">
        <v>1.3149</v>
      </c>
      <c r="I22" s="61">
        <v>1</v>
      </c>
      <c r="J22" s="3">
        <f>C22*Constants!$F$13</f>
        <v>97.553757183999991</v>
      </c>
      <c r="K22" s="7">
        <f>J22*B22/Constants!$H$13</f>
        <v>18.563988046431966</v>
      </c>
      <c r="L22" s="29"/>
      <c r="M22" s="8">
        <f t="shared" si="0"/>
        <v>18388.45001396021</v>
      </c>
      <c r="N22" s="8">
        <f>M22*((1.01325/Constants!$B$13)*(SQRT(Constants!$E$13/293)))</f>
        <v>18503.632353308582</v>
      </c>
      <c r="O22" s="3">
        <f t="shared" si="5"/>
        <v>18.503632353308582</v>
      </c>
      <c r="Q22" s="7">
        <f t="shared" si="1"/>
        <v>0.26581267429476013</v>
      </c>
      <c r="R22" s="3">
        <f t="shared" si="6"/>
        <v>265.81267429476014</v>
      </c>
      <c r="S22" s="31"/>
      <c r="T22" s="63">
        <f>F22*(Constants!$O$13*10^3)</f>
        <v>213418633.5</v>
      </c>
      <c r="U22" s="3">
        <f t="shared" si="7"/>
        <v>213.4186335</v>
      </c>
      <c r="V22" s="31"/>
      <c r="W22" s="64">
        <f t="shared" si="8"/>
        <v>66613076.471910894</v>
      </c>
      <c r="X22" s="3">
        <f t="shared" si="9"/>
        <v>66.613076471910887</v>
      </c>
      <c r="Y22" s="31"/>
      <c r="Z22" s="3">
        <f t="shared" si="10"/>
        <v>0.31212399488965376</v>
      </c>
      <c r="AA22" s="12">
        <f t="shared" si="11"/>
        <v>0.31212399488965376</v>
      </c>
      <c r="AB22" s="58"/>
      <c r="AC22" s="12">
        <f>O22/(G22*Constants!$O$13)</f>
        <v>0.31212399488965376</v>
      </c>
    </row>
    <row r="23" spans="2:29" x14ac:dyDescent="0.2">
      <c r="B23" s="1">
        <f t="shared" si="2"/>
        <v>1850</v>
      </c>
      <c r="C23" s="1">
        <v>119.934</v>
      </c>
      <c r="E23" s="1">
        <v>0.11415</v>
      </c>
      <c r="F23" s="1">
        <f t="shared" si="3"/>
        <v>5.1367500000000001</v>
      </c>
      <c r="G23" s="1">
        <f t="shared" si="4"/>
        <v>1.426875E-3</v>
      </c>
      <c r="H23" s="7">
        <v>1.3184899999999999</v>
      </c>
      <c r="I23" s="61">
        <v>1</v>
      </c>
      <c r="J23" s="3">
        <f>C23*Constants!$F$13</f>
        <v>97.839278783999987</v>
      </c>
      <c r="K23" s="7">
        <f>J23*B23/Constants!$H$13</f>
        <v>19.135496960608943</v>
      </c>
      <c r="L23" s="29"/>
      <c r="M23" s="8">
        <f t="shared" si="0"/>
        <v>18954.554833387512</v>
      </c>
      <c r="N23" s="8">
        <f>M23*((1.01325/Constants!$B$13)*(SQRT(Constants!$E$13/293)))</f>
        <v>19073.283163690452</v>
      </c>
      <c r="O23" s="3">
        <f t="shared" si="5"/>
        <v>19.073283163690451</v>
      </c>
      <c r="Q23" s="7">
        <f t="shared" si="1"/>
        <v>0.26931650706988719</v>
      </c>
      <c r="R23" s="3">
        <f t="shared" si="6"/>
        <v>269.31650706988717</v>
      </c>
      <c r="S23" s="31"/>
      <c r="T23" s="63">
        <f>F23*(Constants!$O$13*10^3)</f>
        <v>222888719.25</v>
      </c>
      <c r="U23" s="3">
        <f t="shared" si="7"/>
        <v>222.88871924999998</v>
      </c>
      <c r="V23" s="31"/>
      <c r="W23" s="64">
        <f t="shared" si="8"/>
        <v>68663819.389285624</v>
      </c>
      <c r="X23" s="3">
        <f t="shared" si="9"/>
        <v>68.663819389285621</v>
      </c>
      <c r="Y23" s="31"/>
      <c r="Z23" s="3">
        <f t="shared" si="10"/>
        <v>0.30806323272139141</v>
      </c>
      <c r="AA23" s="12">
        <f t="shared" si="11"/>
        <v>0.30806323272139141</v>
      </c>
      <c r="AB23" s="58"/>
      <c r="AC23" s="12">
        <f>O23/(G23*Constants!$O$13)</f>
        <v>0.30806323272139141</v>
      </c>
    </row>
    <row r="24" spans="2:29" x14ac:dyDescent="0.2">
      <c r="B24" s="1">
        <f t="shared" si="2"/>
        <v>1900</v>
      </c>
      <c r="C24" s="1">
        <v>120.176</v>
      </c>
      <c r="E24" s="1">
        <v>0.11745</v>
      </c>
      <c r="F24" s="1">
        <f t="shared" si="3"/>
        <v>5.2852499999999996</v>
      </c>
      <c r="G24" s="1">
        <f t="shared" si="4"/>
        <v>1.4681249999999998E-3</v>
      </c>
      <c r="H24" s="7">
        <v>1.3189200000000001</v>
      </c>
      <c r="I24" s="61">
        <v>1</v>
      </c>
      <c r="J24" s="3">
        <f>C24*Constants!$F$13</f>
        <v>98.036696575999997</v>
      </c>
      <c r="K24" s="7">
        <f>J24*B24/Constants!$H$13</f>
        <v>19.692327253874616</v>
      </c>
      <c r="L24" s="29"/>
      <c r="M24" s="8">
        <f t="shared" si="0"/>
        <v>19506.119830540305</v>
      </c>
      <c r="N24" s="8">
        <f>M24*((1.01325/Constants!$B$13)*(SQRT(Constants!$E$13/293)))</f>
        <v>19628.30307665325</v>
      </c>
      <c r="O24" s="3">
        <f t="shared" si="5"/>
        <v>19.62830307665325</v>
      </c>
      <c r="Q24" s="7">
        <f t="shared" si="1"/>
        <v>0.26926678171616902</v>
      </c>
      <c r="R24" s="3">
        <f t="shared" si="6"/>
        <v>269.26678171616902</v>
      </c>
      <c r="S24" s="31"/>
      <c r="T24" s="63">
        <f>F24*(Constants!$O$13*10^3)</f>
        <v>229332282.74999997</v>
      </c>
      <c r="U24" s="3">
        <f t="shared" si="7"/>
        <v>229.33228274999996</v>
      </c>
      <c r="V24" s="31"/>
      <c r="W24" s="64">
        <f t="shared" si="8"/>
        <v>70661891.075951695</v>
      </c>
      <c r="X24" s="3">
        <f t="shared" si="9"/>
        <v>70.661891075951687</v>
      </c>
      <c r="Y24" s="31"/>
      <c r="Z24" s="3">
        <f t="shared" si="10"/>
        <v>0.30812012259513299</v>
      </c>
      <c r="AA24" s="12">
        <f t="shared" si="11"/>
        <v>0.30812012259513299</v>
      </c>
      <c r="AB24" s="58"/>
      <c r="AC24" s="12">
        <f>O24/(G24*Constants!$O$13)</f>
        <v>0.30812012259513299</v>
      </c>
    </row>
    <row r="25" spans="2:29" x14ac:dyDescent="0.2">
      <c r="B25" s="1">
        <f t="shared" si="2"/>
        <v>1950</v>
      </c>
      <c r="C25" s="1">
        <v>120.94799999999999</v>
      </c>
      <c r="E25" s="1">
        <v>0.12055</v>
      </c>
      <c r="F25" s="1">
        <f t="shared" si="3"/>
        <v>5.4247500000000004</v>
      </c>
      <c r="G25" s="1">
        <f t="shared" si="4"/>
        <v>1.5068750000000002E-3</v>
      </c>
      <c r="H25" s="7">
        <v>1.31484</v>
      </c>
      <c r="I25" s="61">
        <v>1</v>
      </c>
      <c r="J25" s="3">
        <f>C25*Constants!$F$13</f>
        <v>98.666475647999988</v>
      </c>
      <c r="K25" s="7">
        <f>J25*B25/Constants!$H$13</f>
        <v>20.340377155470978</v>
      </c>
      <c r="L25" s="29"/>
      <c r="M25" s="8">
        <f t="shared" si="0"/>
        <v>20148.041878337946</v>
      </c>
      <c r="N25" s="8">
        <f>M25*((1.01325/Constants!$B$13)*(SQRT(Constants!$E$13/293)))</f>
        <v>20274.246022519437</v>
      </c>
      <c r="O25" s="3">
        <f t="shared" si="5"/>
        <v>20.274246022519439</v>
      </c>
      <c r="Q25" s="7">
        <f t="shared" si="1"/>
        <v>0.26756851988352648</v>
      </c>
      <c r="R25" s="3">
        <f t="shared" si="6"/>
        <v>267.56851988352651</v>
      </c>
      <c r="S25" s="31"/>
      <c r="T25" s="63">
        <f>F25*(Constants!$O$13*10^3)</f>
        <v>235385327.25000003</v>
      </c>
      <c r="U25" s="3">
        <f t="shared" si="7"/>
        <v>235.38532725000002</v>
      </c>
      <c r="V25" s="31"/>
      <c r="W25" s="64">
        <f t="shared" si="8"/>
        <v>72987285.68106997</v>
      </c>
      <c r="X25" s="3">
        <f t="shared" si="9"/>
        <v>72.987285681069963</v>
      </c>
      <c r="Y25" s="31"/>
      <c r="Z25" s="3">
        <f t="shared" si="10"/>
        <v>0.31007576612263099</v>
      </c>
      <c r="AA25" s="12">
        <f t="shared" si="11"/>
        <v>0.31007576612263099</v>
      </c>
      <c r="AB25" s="58"/>
      <c r="AC25" s="12">
        <f>O25/(G25*Constants!$O$13)</f>
        <v>0.31007576612263105</v>
      </c>
    </row>
    <row r="26" spans="2:29" x14ac:dyDescent="0.2">
      <c r="B26" s="1">
        <f t="shared" si="2"/>
        <v>2000</v>
      </c>
      <c r="C26" s="1">
        <v>122.157</v>
      </c>
      <c r="E26" s="1">
        <v>0.12554999999999999</v>
      </c>
      <c r="F26" s="1">
        <f t="shared" si="3"/>
        <v>5.64975</v>
      </c>
      <c r="G26" s="1">
        <f t="shared" si="4"/>
        <v>1.569375E-3</v>
      </c>
      <c r="H26" s="7">
        <v>1.31653</v>
      </c>
      <c r="I26" s="61">
        <v>1</v>
      </c>
      <c r="J26" s="3">
        <f>C26*Constants!$F$13</f>
        <v>99.652748831999986</v>
      </c>
      <c r="K26" s="7">
        <f>J26*B26/Constants!$H$13</f>
        <v>21.070461746907704</v>
      </c>
      <c r="L26" s="29"/>
      <c r="M26" s="8">
        <f t="shared" si="0"/>
        <v>20871.222909376</v>
      </c>
      <c r="N26" s="8">
        <f>M26*((1.01325/Constants!$B$13)*(SQRT(Constants!$E$13/293)))</f>
        <v>21001.956945030892</v>
      </c>
      <c r="O26" s="3">
        <f t="shared" si="5"/>
        <v>21.001956945030891</v>
      </c>
      <c r="Q26" s="7">
        <f t="shared" si="1"/>
        <v>0.26901064575969164</v>
      </c>
      <c r="R26" s="3">
        <f t="shared" si="6"/>
        <v>269.01064575969161</v>
      </c>
      <c r="S26" s="31"/>
      <c r="T26" s="63">
        <f>F26*(Constants!$O$13*10^3)</f>
        <v>245148302.25</v>
      </c>
      <c r="U26" s="3">
        <f t="shared" si="7"/>
        <v>245.14830225</v>
      </c>
      <c r="V26" s="31"/>
      <c r="W26" s="64">
        <f t="shared" si="8"/>
        <v>75607045.002111211</v>
      </c>
      <c r="X26" s="3">
        <f t="shared" si="9"/>
        <v>75.607045002111207</v>
      </c>
      <c r="Y26" s="31"/>
      <c r="Z26" s="3">
        <f t="shared" si="10"/>
        <v>0.30841349627217829</v>
      </c>
      <c r="AA26" s="12">
        <f t="shared" si="11"/>
        <v>0.30841349627217829</v>
      </c>
      <c r="AB26" s="58"/>
      <c r="AC26" s="12">
        <f>O26/(G26*Constants!$O$13)</f>
        <v>0.30841349627217829</v>
      </c>
    </row>
    <row r="27" spans="2:29" x14ac:dyDescent="0.2">
      <c r="B27" s="1">
        <f t="shared" si="2"/>
        <v>2050</v>
      </c>
      <c r="C27" s="1">
        <v>122.845</v>
      </c>
      <c r="E27" s="1">
        <v>0.12784999999999999</v>
      </c>
      <c r="F27" s="1">
        <f t="shared" si="3"/>
        <v>5.7532499999999995</v>
      </c>
      <c r="G27" s="1">
        <f t="shared" si="4"/>
        <v>1.5981249999999999E-3</v>
      </c>
      <c r="H27" s="7">
        <v>1.32098</v>
      </c>
      <c r="I27" s="61">
        <v>1</v>
      </c>
      <c r="J27" s="3">
        <f>C27*Constants!$F$13</f>
        <v>100.21400272</v>
      </c>
      <c r="K27" s="7">
        <f>J27*B27/Constants!$H$13</f>
        <v>21.718860934136799</v>
      </c>
      <c r="L27" s="29"/>
      <c r="M27" s="8">
        <f t="shared" si="0"/>
        <v>21513.490940018601</v>
      </c>
      <c r="N27" s="8">
        <f>M27*((1.01325/Constants!$B$13)*(SQRT(Constants!$E$13/293)))</f>
        <v>21648.248040923794</v>
      </c>
      <c r="O27" s="3">
        <f t="shared" si="5"/>
        <v>21.648248040923793</v>
      </c>
      <c r="Q27" s="7">
        <f t="shared" si="1"/>
        <v>0.26576053586988058</v>
      </c>
      <c r="R27" s="3">
        <f t="shared" si="6"/>
        <v>265.76053586988058</v>
      </c>
      <c r="S27" s="31"/>
      <c r="T27" s="63">
        <f>F27*(Constants!$O$13*10^3)</f>
        <v>249639270.74999997</v>
      </c>
      <c r="U27" s="3">
        <f t="shared" si="7"/>
        <v>249.63927074999995</v>
      </c>
      <c r="V27" s="31"/>
      <c r="W27" s="64">
        <f t="shared" si="8"/>
        <v>77933692.947325662</v>
      </c>
      <c r="X27" s="3">
        <f t="shared" si="9"/>
        <v>77.933692947325653</v>
      </c>
      <c r="Y27" s="31"/>
      <c r="Z27" s="3">
        <f t="shared" si="10"/>
        <v>0.31218522916361174</v>
      </c>
      <c r="AA27" s="12">
        <f t="shared" si="11"/>
        <v>0.31218522916361174</v>
      </c>
      <c r="AB27" s="58"/>
      <c r="AC27" s="12">
        <f>O27/(G27*Constants!$O$13)</f>
        <v>0.31218522916361169</v>
      </c>
    </row>
    <row r="28" spans="2:29" x14ac:dyDescent="0.2">
      <c r="B28" s="1">
        <f t="shared" si="2"/>
        <v>2100</v>
      </c>
      <c r="C28" s="1">
        <v>123.79600000000001</v>
      </c>
      <c r="E28" s="1">
        <v>0.13089999999999999</v>
      </c>
      <c r="F28" s="1">
        <f t="shared" si="3"/>
        <v>5.8904999999999994</v>
      </c>
      <c r="G28" s="1">
        <f t="shared" si="4"/>
        <v>1.6362499999999999E-3</v>
      </c>
      <c r="H28" s="7">
        <v>1.32287</v>
      </c>
      <c r="I28" s="61">
        <v>1</v>
      </c>
      <c r="J28" s="3">
        <f>C28*Constants!$F$13</f>
        <v>100.989805696</v>
      </c>
      <c r="K28" s="7">
        <f>J28*B28/Constants!$H$13</f>
        <v>22.42082587605455</v>
      </c>
      <c r="L28" s="29"/>
      <c r="M28" s="8">
        <f t="shared" si="0"/>
        <v>22208.818216340998</v>
      </c>
      <c r="N28" s="8">
        <f>M28*((1.01325/Constants!$B$13)*(SQRT(Constants!$E$13/293)))</f>
        <v>22347.930737210288</v>
      </c>
      <c r="O28" s="3">
        <f t="shared" si="5"/>
        <v>22.347930737210287</v>
      </c>
      <c r="Q28" s="7">
        <f t="shared" si="1"/>
        <v>0.26358145052741094</v>
      </c>
      <c r="R28" s="3">
        <f t="shared" si="6"/>
        <v>263.58145052741094</v>
      </c>
      <c r="S28" s="31"/>
      <c r="T28" s="63">
        <f>F28*(Constants!$O$13*10^3)</f>
        <v>255594685.49999997</v>
      </c>
      <c r="U28" s="3">
        <f t="shared" si="7"/>
        <v>255.59468549999997</v>
      </c>
      <c r="V28" s="31"/>
      <c r="W28" s="64">
        <f t="shared" si="8"/>
        <v>80452550.653957039</v>
      </c>
      <c r="X28" s="3">
        <f t="shared" si="9"/>
        <v>80.452550653957033</v>
      </c>
      <c r="Y28" s="31"/>
      <c r="Z28" s="3">
        <f t="shared" si="10"/>
        <v>0.31476613254525998</v>
      </c>
      <c r="AA28" s="12">
        <f t="shared" si="11"/>
        <v>0.31476613254525998</v>
      </c>
      <c r="AB28" s="58"/>
      <c r="AC28" s="12">
        <f>O28/(G28*Constants!$O$13)</f>
        <v>0.31476613254525998</v>
      </c>
    </row>
    <row r="29" spans="2:29" x14ac:dyDescent="0.2">
      <c r="B29" s="1">
        <f t="shared" si="2"/>
        <v>2150</v>
      </c>
      <c r="C29" s="1">
        <v>124.794</v>
      </c>
      <c r="E29" s="1">
        <v>0.13435</v>
      </c>
      <c r="F29" s="1">
        <f t="shared" si="3"/>
        <v>6.04575</v>
      </c>
      <c r="G29" s="1">
        <f t="shared" si="4"/>
        <v>1.6793750000000001E-3</v>
      </c>
      <c r="H29" s="7">
        <v>1.3216399999999999</v>
      </c>
      <c r="I29" s="61">
        <v>1</v>
      </c>
      <c r="J29" s="3">
        <f>C29*Constants!$F$13</f>
        <v>101.80395014399998</v>
      </c>
      <c r="K29" s="7">
        <f>J29*B29/Constants!$H$13</f>
        <v>23.13970745423406</v>
      </c>
      <c r="L29" s="29"/>
      <c r="M29" s="8">
        <f t="shared" si="0"/>
        <v>22920.902167981516</v>
      </c>
      <c r="N29" s="8">
        <f>M29*((1.01325/Constants!$B$13)*(SQRT(Constants!$E$13/293)))</f>
        <v>23064.475069975921</v>
      </c>
      <c r="O29" s="3">
        <f t="shared" si="5"/>
        <v>23.06447506997592</v>
      </c>
      <c r="Q29" s="7">
        <f t="shared" si="1"/>
        <v>0.262123893201889</v>
      </c>
      <c r="R29" s="3">
        <f t="shared" si="6"/>
        <v>262.12389320188902</v>
      </c>
      <c r="S29" s="31"/>
      <c r="T29" s="63">
        <f>F29*(Constants!$O$13*10^3)</f>
        <v>262331138.25</v>
      </c>
      <c r="U29" s="3">
        <f t="shared" si="7"/>
        <v>262.33113824999998</v>
      </c>
      <c r="V29" s="31"/>
      <c r="W29" s="64">
        <f t="shared" si="8"/>
        <v>83032110.251913309</v>
      </c>
      <c r="X29" s="3">
        <f t="shared" si="9"/>
        <v>83.032110251913309</v>
      </c>
      <c r="Y29" s="31"/>
      <c r="Z29" s="3">
        <f t="shared" si="10"/>
        <v>0.31651641054057489</v>
      </c>
      <c r="AA29" s="12">
        <f t="shared" si="11"/>
        <v>0.31651641054057489</v>
      </c>
      <c r="AB29" s="58"/>
      <c r="AC29" s="12">
        <f>O29/(G29*Constants!$O$13)</f>
        <v>0.31651641054057489</v>
      </c>
    </row>
    <row r="30" spans="2:29" x14ac:dyDescent="0.2">
      <c r="B30" s="1">
        <f t="shared" si="2"/>
        <v>2200</v>
      </c>
      <c r="C30" s="1">
        <v>125.137</v>
      </c>
      <c r="E30" s="1">
        <v>0.13769999999999999</v>
      </c>
      <c r="F30" s="1">
        <f t="shared" si="3"/>
        <v>6.1964999999999995</v>
      </c>
      <c r="G30" s="1">
        <f t="shared" si="4"/>
        <v>1.7212499999999999E-3</v>
      </c>
      <c r="H30" s="7">
        <v>1.3165199999999999</v>
      </c>
      <c r="I30" s="61">
        <v>1</v>
      </c>
      <c r="J30" s="3">
        <f>C30*Constants!$F$13</f>
        <v>102.08376131199999</v>
      </c>
      <c r="K30" s="7">
        <f>J30*B30/Constants!$H$13</f>
        <v>23.74291942979173</v>
      </c>
      <c r="L30" s="29"/>
      <c r="M30" s="8">
        <f t="shared" si="0"/>
        <v>23518.410269830161</v>
      </c>
      <c r="N30" s="8">
        <f>M30*((1.01325/Constants!$B$13)*(SQRT(Constants!$E$13/293)))</f>
        <v>23665.725867967973</v>
      </c>
      <c r="O30" s="3">
        <f t="shared" si="5"/>
        <v>23.665725867967971</v>
      </c>
      <c r="Q30" s="7">
        <f t="shared" si="1"/>
        <v>0.26183435211624273</v>
      </c>
      <c r="R30" s="3">
        <f t="shared" si="6"/>
        <v>261.83435211624271</v>
      </c>
      <c r="S30" s="31"/>
      <c r="T30" s="63">
        <f>F30*(Constants!$O$13*10^3)</f>
        <v>268872331.5</v>
      </c>
      <c r="U30" s="3">
        <f t="shared" si="7"/>
        <v>268.87233149999997</v>
      </c>
      <c r="V30" s="31"/>
      <c r="W30" s="64">
        <f t="shared" si="8"/>
        <v>85196613.124684706</v>
      </c>
      <c r="X30" s="3">
        <f t="shared" si="9"/>
        <v>85.196613124684703</v>
      </c>
      <c r="Y30" s="31"/>
      <c r="Z30" s="3">
        <f t="shared" si="10"/>
        <v>0.31686642001943854</v>
      </c>
      <c r="AA30" s="12">
        <f t="shared" si="11"/>
        <v>0.31686642001943854</v>
      </c>
      <c r="AB30" s="58"/>
      <c r="AC30" s="12">
        <f>O30/(G30*Constants!$O$13)</f>
        <v>0.31686642001943849</v>
      </c>
    </row>
    <row r="31" spans="2:29" x14ac:dyDescent="0.2">
      <c r="B31" s="1">
        <f t="shared" si="2"/>
        <v>2250</v>
      </c>
      <c r="C31" s="1">
        <v>126.02800000000001</v>
      </c>
      <c r="E31" s="1">
        <v>0.14105000000000001</v>
      </c>
      <c r="F31" s="1">
        <f t="shared" si="3"/>
        <v>6.3472500000000007</v>
      </c>
      <c r="G31" s="1">
        <f t="shared" si="4"/>
        <v>1.7631250000000002E-3</v>
      </c>
      <c r="H31" s="7">
        <v>1.3046500000000001</v>
      </c>
      <c r="I31" s="61">
        <v>1</v>
      </c>
      <c r="J31" s="3">
        <f>C31*Constants!$F$13</f>
        <v>102.810617728</v>
      </c>
      <c r="K31" s="7">
        <f>J31*B31/Constants!$H$13</f>
        <v>24.455427623215986</v>
      </c>
      <c r="L31" s="29"/>
      <c r="M31" s="8">
        <f t="shared" si="0"/>
        <v>24224.181102398499</v>
      </c>
      <c r="N31" s="8">
        <f>M31*((1.01325/Constants!$B$13)*(SQRT(Constants!$E$13/293)))</f>
        <v>24375.917537283149</v>
      </c>
      <c r="O31" s="3">
        <f t="shared" si="5"/>
        <v>24.375917537283147</v>
      </c>
      <c r="Q31" s="7">
        <f t="shared" si="1"/>
        <v>0.26039019824758736</v>
      </c>
      <c r="R31" s="3">
        <f t="shared" si="6"/>
        <v>260.39019824758736</v>
      </c>
      <c r="S31" s="31"/>
      <c r="T31" s="63">
        <f>F31*(Constants!$O$13*10^3)</f>
        <v>275413524.75000006</v>
      </c>
      <c r="U31" s="3">
        <f t="shared" si="7"/>
        <v>275.41352475000002</v>
      </c>
      <c r="V31" s="31"/>
      <c r="W31" s="64">
        <f t="shared" si="8"/>
        <v>87753303.134219334</v>
      </c>
      <c r="X31" s="3">
        <f t="shared" si="9"/>
        <v>87.753303134219323</v>
      </c>
      <c r="Y31" s="31"/>
      <c r="Z31" s="3">
        <f t="shared" si="10"/>
        <v>0.31862379748371206</v>
      </c>
      <c r="AA31" s="12">
        <f t="shared" si="11"/>
        <v>0.31862379748371206</v>
      </c>
      <c r="AB31" s="58"/>
      <c r="AC31" s="12">
        <f>O31/(G31*Constants!$O$13)</f>
        <v>0.31862379748371206</v>
      </c>
    </row>
    <row r="32" spans="2:29" x14ac:dyDescent="0.2">
      <c r="B32" s="1">
        <f t="shared" si="2"/>
        <v>2300</v>
      </c>
      <c r="C32" s="1">
        <v>126.66</v>
      </c>
      <c r="E32" s="1">
        <v>0.14495</v>
      </c>
      <c r="F32" s="1">
        <f t="shared" si="3"/>
        <v>6.5227499999999994</v>
      </c>
      <c r="G32" s="1">
        <f t="shared" si="4"/>
        <v>1.8118749999999999E-3</v>
      </c>
      <c r="H32" s="7">
        <v>1.2964599999999999</v>
      </c>
      <c r="I32" s="61">
        <v>1</v>
      </c>
      <c r="J32" s="3">
        <f>C32*Constants!$F$13</f>
        <v>103.32618815999999</v>
      </c>
      <c r="K32" s="7">
        <f>J32*B32/Constants!$H$13</f>
        <v>25.124244927370754</v>
      </c>
      <c r="L32" s="29"/>
      <c r="M32" s="8">
        <f t="shared" si="0"/>
        <v>24886.674179595098</v>
      </c>
      <c r="N32" s="8">
        <f>M32*((1.01325/Constants!$B$13)*(SQRT(Constants!$E$13/293)))</f>
        <v>25042.560366219328</v>
      </c>
      <c r="O32" s="3">
        <f t="shared" si="5"/>
        <v>25.042560366219327</v>
      </c>
      <c r="Q32" s="7">
        <f t="shared" si="1"/>
        <v>0.26046657788229738</v>
      </c>
      <c r="R32" s="3">
        <f t="shared" si="6"/>
        <v>260.46657788229737</v>
      </c>
      <c r="S32" s="31"/>
      <c r="T32" s="63">
        <f>F32*(Constants!$O$13*10^3)</f>
        <v>283028645.25</v>
      </c>
      <c r="U32" s="3">
        <f t="shared" si="7"/>
        <v>283.02864525000001</v>
      </c>
      <c r="V32" s="31"/>
      <c r="W32" s="64">
        <f t="shared" si="8"/>
        <v>90153217.31838958</v>
      </c>
      <c r="X32" s="3">
        <f t="shared" si="9"/>
        <v>90.153217318389579</v>
      </c>
      <c r="Y32" s="31"/>
      <c r="Z32" s="3">
        <f t="shared" si="10"/>
        <v>0.31853036373317262</v>
      </c>
      <c r="AA32" s="12">
        <f t="shared" si="11"/>
        <v>0.31853036373317262</v>
      </c>
      <c r="AB32" s="58"/>
      <c r="AC32" s="12">
        <f>O32/(G32*Constants!$O$13)</f>
        <v>0.31853036373317262</v>
      </c>
    </row>
    <row r="33" spans="2:29" x14ac:dyDescent="0.2">
      <c r="B33" s="1">
        <f t="shared" si="2"/>
        <v>2350</v>
      </c>
      <c r="C33" s="1">
        <v>126.822</v>
      </c>
      <c r="E33" s="1">
        <v>0.14985000000000001</v>
      </c>
      <c r="F33" s="1">
        <f t="shared" si="3"/>
        <v>6.7432499999999997</v>
      </c>
      <c r="G33" s="1">
        <f t="shared" si="4"/>
        <v>1.873125E-3</v>
      </c>
      <c r="H33" s="7">
        <v>1.2822899999999999</v>
      </c>
      <c r="I33" s="61">
        <v>1</v>
      </c>
      <c r="J33" s="3">
        <f>C33*Constants!$F$13</f>
        <v>103.458343872</v>
      </c>
      <c r="K33" s="7">
        <f>J33*B33/Constants!$H$13</f>
        <v>25.703257014398986</v>
      </c>
      <c r="L33" s="29"/>
      <c r="M33" s="8">
        <f t="shared" si="0"/>
        <v>25460.211223099275</v>
      </c>
      <c r="N33" s="8">
        <f>M33*((1.01325/Constants!$B$13)*(SQRT(Constants!$E$13/293)))</f>
        <v>25619.689954952908</v>
      </c>
      <c r="O33" s="3">
        <f t="shared" si="5"/>
        <v>25.619689954952907</v>
      </c>
      <c r="Q33" s="7">
        <f t="shared" si="1"/>
        <v>0.26320576134436652</v>
      </c>
      <c r="R33" s="3">
        <f t="shared" si="6"/>
        <v>263.20576134436652</v>
      </c>
      <c r="S33" s="31"/>
      <c r="T33" s="63">
        <f>F33*(Constants!$O$13*10^3)</f>
        <v>292596360.75</v>
      </c>
      <c r="U33" s="3">
        <f t="shared" si="7"/>
        <v>292.59636074999997</v>
      </c>
      <c r="V33" s="31"/>
      <c r="W33" s="64">
        <f t="shared" si="8"/>
        <v>92230883.837830469</v>
      </c>
      <c r="X33" s="3">
        <f t="shared" si="9"/>
        <v>92.230883837830461</v>
      </c>
      <c r="Y33" s="31"/>
      <c r="Z33" s="3">
        <f t="shared" si="10"/>
        <v>0.31521541690203836</v>
      </c>
      <c r="AA33" s="12">
        <f t="shared" si="11"/>
        <v>0.31521541690203836</v>
      </c>
      <c r="AB33" s="58"/>
      <c r="AC33" s="12">
        <f>O33/(G33*Constants!$O$13)</f>
        <v>0.31521541690203836</v>
      </c>
    </row>
    <row r="34" spans="2:29" x14ac:dyDescent="0.2">
      <c r="B34" s="1">
        <f t="shared" si="2"/>
        <v>2400</v>
      </c>
      <c r="C34" s="1">
        <v>126.69</v>
      </c>
      <c r="E34" s="1">
        <v>0.1537</v>
      </c>
      <c r="F34" s="1">
        <f t="shared" si="3"/>
        <v>6.9165000000000001</v>
      </c>
      <c r="G34" s="1">
        <f t="shared" si="4"/>
        <v>1.92125E-3</v>
      </c>
      <c r="H34" s="7">
        <v>1.2730399999999999</v>
      </c>
      <c r="I34" s="61">
        <v>1</v>
      </c>
      <c r="J34" s="3">
        <f>C34*Constants!$F$13</f>
        <v>103.35066144</v>
      </c>
      <c r="K34" s="7">
        <f>J34*B34/Constants!$H$13</f>
        <v>26.222812924833491</v>
      </c>
      <c r="L34" s="29"/>
      <c r="M34" s="8">
        <f t="shared" si="0"/>
        <v>25974.854297883991</v>
      </c>
      <c r="N34" s="8">
        <f>M34*((1.01325/Constants!$B$13)*(SQRT(Constants!$E$13/293)))</f>
        <v>26137.556672471954</v>
      </c>
      <c r="O34" s="3">
        <f t="shared" si="5"/>
        <v>26.137556672471955</v>
      </c>
      <c r="Q34" s="7">
        <f t="shared" si="1"/>
        <v>0.26461922538017679</v>
      </c>
      <c r="R34" s="3">
        <f t="shared" si="6"/>
        <v>264.61922538017677</v>
      </c>
      <c r="S34" s="31"/>
      <c r="T34" s="63">
        <f>F34*(Constants!$O$13*10^3)</f>
        <v>300113851.5</v>
      </c>
      <c r="U34" s="3">
        <f t="shared" si="7"/>
        <v>300.11385150000001</v>
      </c>
      <c r="V34" s="31"/>
      <c r="W34" s="64">
        <f t="shared" si="8"/>
        <v>94095204.020899028</v>
      </c>
      <c r="X34" s="3">
        <f t="shared" si="9"/>
        <v>94.095204020899018</v>
      </c>
      <c r="Y34" s="31"/>
      <c r="Z34" s="3">
        <f t="shared" si="10"/>
        <v>0.31353169322442626</v>
      </c>
      <c r="AA34" s="12">
        <f t="shared" si="11"/>
        <v>0.31353169322442626</v>
      </c>
      <c r="AB34" s="58"/>
      <c r="AC34" s="12">
        <f>O34/(G34*Constants!$O$13)</f>
        <v>0.31353169322442631</v>
      </c>
    </row>
    <row r="35" spans="2:29" x14ac:dyDescent="0.2">
      <c r="B35" s="1">
        <f t="shared" si="2"/>
        <v>2450</v>
      </c>
      <c r="C35" s="1">
        <v>126.55200000000001</v>
      </c>
      <c r="E35" s="1">
        <v>0.15565000000000001</v>
      </c>
      <c r="F35" s="1">
        <f t="shared" si="3"/>
        <v>7.0042500000000008</v>
      </c>
      <c r="G35" s="1">
        <f t="shared" si="4"/>
        <v>1.9456250000000003E-3</v>
      </c>
      <c r="H35" s="7">
        <v>1.2698400000000001</v>
      </c>
      <c r="I35" s="61">
        <v>1</v>
      </c>
      <c r="J35" s="3">
        <f>C35*Constants!$F$13</f>
        <v>103.238084352</v>
      </c>
      <c r="K35" s="7">
        <f>J35*B35/Constants!$H$13</f>
        <v>26.739962645353632</v>
      </c>
      <c r="L35" s="29"/>
      <c r="M35" s="8">
        <f t="shared" si="0"/>
        <v>26487.113935292338</v>
      </c>
      <c r="N35" s="8">
        <f>M35*((1.01325/Constants!$B$13)*(SQRT(Constants!$E$13/293)))</f>
        <v>26653.02502314029</v>
      </c>
      <c r="O35" s="3">
        <f t="shared" si="5"/>
        <v>26.653025023140291</v>
      </c>
      <c r="Q35" s="7">
        <f t="shared" si="1"/>
        <v>0.26279381023050385</v>
      </c>
      <c r="R35" s="3">
        <f t="shared" si="6"/>
        <v>262.79381023050388</v>
      </c>
      <c r="S35" s="31"/>
      <c r="T35" s="63">
        <f>F35*(Constants!$O$13*10^3)</f>
        <v>303921411.75000006</v>
      </c>
      <c r="U35" s="3">
        <f t="shared" si="7"/>
        <v>303.92141175000006</v>
      </c>
      <c r="V35" s="31"/>
      <c r="W35" s="64">
        <f t="shared" si="8"/>
        <v>95950890.083305046</v>
      </c>
      <c r="X35" s="3">
        <f t="shared" si="9"/>
        <v>95.95089008330504</v>
      </c>
      <c r="Y35" s="31"/>
      <c r="Z35" s="3">
        <f t="shared" si="10"/>
        <v>0.31570954323623768</v>
      </c>
      <c r="AA35" s="12">
        <f t="shared" si="11"/>
        <v>0.31570954323623768</v>
      </c>
      <c r="AB35" s="58"/>
      <c r="AC35" s="12">
        <f>O35/(G35*Constants!$O$13)</f>
        <v>0.31570954323623773</v>
      </c>
    </row>
    <row r="36" spans="2:29" x14ac:dyDescent="0.2">
      <c r="B36" s="1">
        <f t="shared" si="2"/>
        <v>2500</v>
      </c>
      <c r="C36" s="1">
        <v>126.438</v>
      </c>
      <c r="E36" s="1">
        <v>0.15959999999999999</v>
      </c>
      <c r="F36" s="1">
        <f t="shared" si="3"/>
        <v>7.1820000000000004</v>
      </c>
      <c r="G36" s="1">
        <f t="shared" si="4"/>
        <v>1.9950000000000002E-3</v>
      </c>
      <c r="H36" s="7">
        <v>1.2744599999999999</v>
      </c>
      <c r="I36" s="61">
        <v>1</v>
      </c>
      <c r="J36" s="3">
        <f>C36*Constants!$F$13</f>
        <v>103.145085888</v>
      </c>
      <c r="K36" s="7">
        <f>J36*B36/Constants!$H$13</f>
        <v>27.261096809387883</v>
      </c>
      <c r="L36" s="29"/>
      <c r="M36" s="8">
        <f t="shared" si="0"/>
        <v>27003.320339969083</v>
      </c>
      <c r="N36" s="8">
        <f>M36*((1.01325/Constants!$B$13)*(SQRT(Constants!$E$13/293)))</f>
        <v>27172.464863002282</v>
      </c>
      <c r="O36" s="3">
        <f t="shared" si="5"/>
        <v>27.172464863002283</v>
      </c>
      <c r="Q36" s="7">
        <f t="shared" si="1"/>
        <v>0.26431168597365379</v>
      </c>
      <c r="R36" s="3">
        <f t="shared" si="6"/>
        <v>264.31168597365377</v>
      </c>
      <c r="S36" s="31"/>
      <c r="T36" s="63">
        <f>F36*(Constants!$O$13*10^3)</f>
        <v>311634162</v>
      </c>
      <c r="U36" s="3">
        <f t="shared" si="7"/>
        <v>311.634162</v>
      </c>
      <c r="V36" s="31"/>
      <c r="W36" s="64">
        <f t="shared" si="8"/>
        <v>97820873.506808221</v>
      </c>
      <c r="X36" s="3">
        <f t="shared" si="9"/>
        <v>97.820873506808212</v>
      </c>
      <c r="Y36" s="31"/>
      <c r="Z36" s="3">
        <f t="shared" si="10"/>
        <v>0.31389650248552731</v>
      </c>
      <c r="AA36" s="12">
        <f t="shared" si="11"/>
        <v>0.31389650248552731</v>
      </c>
      <c r="AB36" s="58"/>
      <c r="AC36" s="12">
        <f>O36/(G36*Constants!$O$13)</f>
        <v>0.31389650248552725</v>
      </c>
    </row>
    <row r="37" spans="2:29" x14ac:dyDescent="0.2">
      <c r="B37" s="1">
        <f t="shared" si="2"/>
        <v>2550</v>
      </c>
      <c r="C37" s="1">
        <v>126.239</v>
      </c>
      <c r="E37" s="1">
        <v>0.16259999999999999</v>
      </c>
      <c r="F37" s="1">
        <f t="shared" si="3"/>
        <v>7.3170000000000002</v>
      </c>
      <c r="G37" s="1">
        <f t="shared" si="4"/>
        <v>2.0325E-3</v>
      </c>
      <c r="H37" s="7">
        <v>1.2787599999999999</v>
      </c>
      <c r="I37" s="61">
        <v>1</v>
      </c>
      <c r="J37" s="3">
        <f>C37*Constants!$F$13</f>
        <v>102.982746464</v>
      </c>
      <c r="K37" s="7">
        <f>J37*B37/Constants!$H$13</f>
        <v>27.762554549444971</v>
      </c>
      <c r="L37" s="29"/>
      <c r="M37" s="8">
        <f t="shared" si="0"/>
        <v>27500.036377713226</v>
      </c>
      <c r="N37" s="8">
        <f>M37*((1.01325/Constants!$B$13)*(SQRT(Constants!$E$13/293)))</f>
        <v>27672.292251359217</v>
      </c>
      <c r="O37" s="3">
        <f t="shared" si="5"/>
        <v>27.672292251359217</v>
      </c>
      <c r="Q37" s="7">
        <f t="shared" si="1"/>
        <v>0.26441611462962927</v>
      </c>
      <c r="R37" s="3">
        <f t="shared" si="6"/>
        <v>264.41611462962925</v>
      </c>
      <c r="S37" s="31"/>
      <c r="T37" s="63">
        <f>F37*(Constants!$O$13*10^3)</f>
        <v>317491947</v>
      </c>
      <c r="U37" s="3">
        <f t="shared" si="7"/>
        <v>317.49194699999998</v>
      </c>
      <c r="V37" s="31"/>
      <c r="W37" s="64">
        <f t="shared" si="8"/>
        <v>99620252.104893178</v>
      </c>
      <c r="X37" s="3">
        <f t="shared" si="9"/>
        <v>99.620252104893169</v>
      </c>
      <c r="Y37" s="31"/>
      <c r="Z37" s="3">
        <f t="shared" si="10"/>
        <v>0.31377253201604249</v>
      </c>
      <c r="AA37" s="12">
        <f t="shared" si="11"/>
        <v>0.31377253201604249</v>
      </c>
      <c r="AB37" s="58"/>
      <c r="AC37" s="12">
        <f>O37/(G37*Constants!$O$13)</f>
        <v>0.31377253201604255</v>
      </c>
    </row>
    <row r="38" spans="2:29" x14ac:dyDescent="0.2">
      <c r="B38" s="1">
        <f t="shared" si="2"/>
        <v>2600</v>
      </c>
      <c r="C38" s="1">
        <v>126.161</v>
      </c>
      <c r="E38" s="1">
        <v>0.16805</v>
      </c>
      <c r="F38" s="1">
        <f t="shared" si="3"/>
        <v>7.5622499999999997</v>
      </c>
      <c r="G38" s="1">
        <f t="shared" si="4"/>
        <v>2.1006250000000001E-3</v>
      </c>
      <c r="H38" s="7">
        <v>1.27634</v>
      </c>
      <c r="I38" s="61">
        <v>1</v>
      </c>
      <c r="J38" s="3">
        <f>C38*Constants!$F$13</f>
        <v>102.919115936</v>
      </c>
      <c r="K38" s="7">
        <f>J38*B38/Constants!$H$13</f>
        <v>28.289428209493604</v>
      </c>
      <c r="L38" s="29"/>
      <c r="M38" s="8">
        <f t="shared" ref="M38:M69" si="12">((J38*(2*PI())*B38/60))</f>
        <v>28021.928006669463</v>
      </c>
      <c r="N38" s="8">
        <f>M38*((1.01325/Constants!$B$13)*(SQRT(Constants!$E$13/293)))</f>
        <v>28197.452926845417</v>
      </c>
      <c r="O38" s="3">
        <f t="shared" si="5"/>
        <v>28.197452926845418</v>
      </c>
      <c r="Q38" s="7">
        <f t="shared" ref="Q38:Q69" si="13">F38/O38</f>
        <v>0.26818911692553443</v>
      </c>
      <c r="R38" s="3">
        <f t="shared" si="6"/>
        <v>268.18911692553445</v>
      </c>
      <c r="S38" s="31"/>
      <c r="T38" s="63">
        <f>F38*(Constants!$O$13*10^3)</f>
        <v>328133589.75</v>
      </c>
      <c r="U38" s="3">
        <f t="shared" si="7"/>
        <v>328.13358975</v>
      </c>
      <c r="V38" s="31"/>
      <c r="W38" s="64">
        <f t="shared" si="8"/>
        <v>101510830.53664351</v>
      </c>
      <c r="X38" s="3">
        <f t="shared" si="9"/>
        <v>101.5108305366435</v>
      </c>
      <c r="Y38" s="31"/>
      <c r="Z38" s="3">
        <f t="shared" si="10"/>
        <v>0.30935824221465125</v>
      </c>
      <c r="AA38" s="12">
        <f t="shared" si="11"/>
        <v>0.30935824221465125</v>
      </c>
      <c r="AB38" s="58"/>
      <c r="AC38" s="12">
        <f>O38/(G38*Constants!$O$13)</f>
        <v>0.30935824221465125</v>
      </c>
    </row>
    <row r="39" spans="2:29" x14ac:dyDescent="0.2">
      <c r="B39" s="1">
        <f t="shared" ref="B39:B70" si="14">B38+50</f>
        <v>2650</v>
      </c>
      <c r="C39" s="1">
        <v>125.84699999999999</v>
      </c>
      <c r="E39" s="1">
        <v>0.17144999999999999</v>
      </c>
      <c r="F39" s="1">
        <f t="shared" si="3"/>
        <v>7.7152499999999993</v>
      </c>
      <c r="G39" s="1">
        <f t="shared" si="4"/>
        <v>2.1431249999999996E-3</v>
      </c>
      <c r="H39" s="7">
        <v>1.28027</v>
      </c>
      <c r="I39" s="61">
        <v>1</v>
      </c>
      <c r="J39" s="3">
        <f>C39*Constants!$F$13</f>
        <v>102.66296227199999</v>
      </c>
      <c r="K39" s="7">
        <f>J39*B39/Constants!$H$13</f>
        <v>28.761692570123689</v>
      </c>
      <c r="L39" s="29"/>
      <c r="M39" s="8">
        <f t="shared" si="12"/>
        <v>28489.726712804179</v>
      </c>
      <c r="N39" s="8">
        <f>M39*((1.01325/Constants!$B$13)*(SQRT(Constants!$E$13/293)))</f>
        <v>28668.181850006353</v>
      </c>
      <c r="O39" s="3">
        <f t="shared" si="5"/>
        <v>28.668181850006352</v>
      </c>
      <c r="Q39" s="7">
        <f t="shared" si="13"/>
        <v>0.26912240337969984</v>
      </c>
      <c r="R39" s="3">
        <f t="shared" si="6"/>
        <v>269.12240337969985</v>
      </c>
      <c r="S39" s="31"/>
      <c r="T39" s="63">
        <f>F39*(Constants!$O$13*10^3)</f>
        <v>334772412.74999994</v>
      </c>
      <c r="U39" s="3">
        <f t="shared" si="7"/>
        <v>334.77241274999994</v>
      </c>
      <c r="V39" s="31"/>
      <c r="W39" s="64">
        <f t="shared" si="8"/>
        <v>103205454.66002287</v>
      </c>
      <c r="X39" s="3">
        <f t="shared" si="9"/>
        <v>103.20545466002287</v>
      </c>
      <c r="Y39" s="31"/>
      <c r="Z39" s="3">
        <f t="shared" si="10"/>
        <v>0.30828542236272688</v>
      </c>
      <c r="AA39" s="12">
        <f t="shared" si="11"/>
        <v>0.30828542236272688</v>
      </c>
      <c r="AB39" s="58"/>
      <c r="AC39" s="12">
        <f>O39/(G39*Constants!$O$13)</f>
        <v>0.30828542236272688</v>
      </c>
    </row>
    <row r="40" spans="2:29" x14ac:dyDescent="0.2">
      <c r="B40" s="1">
        <f t="shared" si="14"/>
        <v>2700</v>
      </c>
      <c r="C40" s="1">
        <v>124.911</v>
      </c>
      <c r="E40" s="1">
        <v>0.17465</v>
      </c>
      <c r="F40" s="1">
        <f t="shared" si="3"/>
        <v>7.8592500000000003</v>
      </c>
      <c r="G40" s="1">
        <f t="shared" si="4"/>
        <v>2.1831250000000002E-3</v>
      </c>
      <c r="H40" s="7">
        <v>1.2837099999999999</v>
      </c>
      <c r="I40" s="61">
        <v>1</v>
      </c>
      <c r="J40" s="3">
        <f>C40*Constants!$F$13</f>
        <v>101.89939593599999</v>
      </c>
      <c r="K40" s="7">
        <f>J40*B40/Constants!$H$13</f>
        <v>29.086411780019027</v>
      </c>
      <c r="L40" s="29"/>
      <c r="M40" s="8">
        <f t="shared" si="12"/>
        <v>28811.375430999768</v>
      </c>
      <c r="N40" s="8">
        <f>M40*((1.01325/Constants!$B$13)*(SQRT(Constants!$E$13/293)))</f>
        <v>28991.845324844402</v>
      </c>
      <c r="O40" s="3">
        <f t="shared" si="5"/>
        <v>28.991845324844402</v>
      </c>
      <c r="Q40" s="7">
        <f t="shared" si="13"/>
        <v>0.27108484858206178</v>
      </c>
      <c r="R40" s="3">
        <f t="shared" si="6"/>
        <v>271.0848485820618</v>
      </c>
      <c r="S40" s="31"/>
      <c r="T40" s="63">
        <f>F40*(Constants!$O$13*10^3)</f>
        <v>341020716.75</v>
      </c>
      <c r="U40" s="3">
        <f t="shared" si="7"/>
        <v>341.02071674999996</v>
      </c>
      <c r="V40" s="31"/>
      <c r="W40" s="64">
        <f t="shared" si="8"/>
        <v>104370643.16943985</v>
      </c>
      <c r="X40" s="3">
        <f t="shared" si="9"/>
        <v>104.37064316943984</v>
      </c>
      <c r="Y40" s="31"/>
      <c r="Z40" s="3">
        <f t="shared" si="10"/>
        <v>0.30605367370086572</v>
      </c>
      <c r="AA40" s="12">
        <f t="shared" si="11"/>
        <v>0.30605367370086572</v>
      </c>
      <c r="AB40" s="58"/>
      <c r="AC40" s="12">
        <f>O40/(G40*Constants!$O$13)</f>
        <v>0.30605367370086567</v>
      </c>
    </row>
    <row r="41" spans="2:29" x14ac:dyDescent="0.2">
      <c r="B41" s="1">
        <f t="shared" si="14"/>
        <v>2750</v>
      </c>
      <c r="C41" s="1">
        <v>123.92700000000001</v>
      </c>
      <c r="E41" s="1">
        <v>0.1784</v>
      </c>
      <c r="F41" s="1">
        <f t="shared" si="3"/>
        <v>8.0280000000000005</v>
      </c>
      <c r="G41" s="1">
        <f t="shared" si="4"/>
        <v>2.2300000000000002E-3</v>
      </c>
      <c r="H41" s="7">
        <v>1.2811999999999999</v>
      </c>
      <c r="I41" s="61">
        <v>1</v>
      </c>
      <c r="J41" s="3">
        <f>C41*Constants!$F$13</f>
        <v>101.096672352</v>
      </c>
      <c r="K41" s="7">
        <f>J41*B41/Constants!$H$13</f>
        <v>29.39167448652077</v>
      </c>
      <c r="L41" s="29"/>
      <c r="M41" s="8">
        <f t="shared" si="12"/>
        <v>29113.751623313274</v>
      </c>
      <c r="N41" s="8">
        <f>M41*((1.01325/Constants!$B$13)*(SQRT(Constants!$E$13/293)))</f>
        <v>29296.115553749762</v>
      </c>
      <c r="O41" s="3">
        <f t="shared" si="5"/>
        <v>29.296115553749761</v>
      </c>
      <c r="Q41" s="7">
        <f t="shared" si="13"/>
        <v>0.274029503511173</v>
      </c>
      <c r="R41" s="3">
        <f t="shared" si="6"/>
        <v>274.029503511173</v>
      </c>
      <c r="S41" s="31"/>
      <c r="T41" s="63">
        <f>F41*(Constants!$O$13*10^3)</f>
        <v>348342948</v>
      </c>
      <c r="U41" s="3">
        <f t="shared" si="7"/>
        <v>348.34294799999998</v>
      </c>
      <c r="V41" s="31"/>
      <c r="W41" s="64">
        <f t="shared" si="8"/>
        <v>105466015.99349914</v>
      </c>
      <c r="X41" s="3">
        <f t="shared" si="9"/>
        <v>105.46601599349914</v>
      </c>
      <c r="Y41" s="31"/>
      <c r="Z41" s="3">
        <f t="shared" si="10"/>
        <v>0.30276489476542856</v>
      </c>
      <c r="AA41" s="12">
        <f t="shared" si="11"/>
        <v>0.30276489476542856</v>
      </c>
      <c r="AB41" s="58"/>
      <c r="AC41" s="12">
        <f>O41/(G41*Constants!$O$13)</f>
        <v>0.3027648947654285</v>
      </c>
    </row>
    <row r="42" spans="2:29" x14ac:dyDescent="0.2">
      <c r="B42" s="1">
        <f t="shared" si="14"/>
        <v>2800</v>
      </c>
      <c r="C42" s="1">
        <v>123.68899999999999</v>
      </c>
      <c r="E42" s="1">
        <v>0.18004999999999999</v>
      </c>
      <c r="F42" s="1">
        <f t="shared" si="3"/>
        <v>8.102249999999998</v>
      </c>
      <c r="G42" s="1">
        <f t="shared" si="4"/>
        <v>2.2506249999999996E-3</v>
      </c>
      <c r="H42" s="7">
        <v>1.2744800000000001</v>
      </c>
      <c r="I42" s="61">
        <v>1</v>
      </c>
      <c r="J42" s="3">
        <f>C42*Constants!$F$13</f>
        <v>100.90251766399999</v>
      </c>
      <c r="K42" s="7">
        <f>J42*B42/Constants!$H$13</f>
        <v>29.8685959889206</v>
      </c>
      <c r="L42" s="29"/>
      <c r="M42" s="8">
        <f t="shared" si="12"/>
        <v>29586.163434047423</v>
      </c>
      <c r="N42" s="8">
        <f>M42*((1.01325/Constants!$B$13)*(SQRT(Constants!$E$13/293)))</f>
        <v>29771.486477266928</v>
      </c>
      <c r="O42" s="3">
        <f t="shared" si="5"/>
        <v>29.771486477266929</v>
      </c>
      <c r="Q42" s="7">
        <f t="shared" si="13"/>
        <v>0.27214798314443445</v>
      </c>
      <c r="R42" s="3">
        <f t="shared" si="6"/>
        <v>272.14798314443442</v>
      </c>
      <c r="S42" s="31"/>
      <c r="T42" s="63">
        <f>F42*(Constants!$O$13*10^3)</f>
        <v>351564729.74999994</v>
      </c>
      <c r="U42" s="3">
        <f t="shared" si="7"/>
        <v>351.56472974999991</v>
      </c>
      <c r="V42" s="31"/>
      <c r="W42" s="64">
        <f t="shared" si="8"/>
        <v>107177351.31816094</v>
      </c>
      <c r="X42" s="3">
        <f t="shared" si="9"/>
        <v>107.17735131816093</v>
      </c>
      <c r="Y42" s="31"/>
      <c r="Z42" s="3">
        <f t="shared" si="10"/>
        <v>0.30485808799527608</v>
      </c>
      <c r="AA42" s="12">
        <f t="shared" si="11"/>
        <v>0.30485808799527608</v>
      </c>
      <c r="AB42" s="58"/>
      <c r="AC42" s="12">
        <f>O42/(G42*Constants!$O$13)</f>
        <v>0.30485808799527608</v>
      </c>
    </row>
    <row r="43" spans="2:29" x14ac:dyDescent="0.2">
      <c r="B43" s="1">
        <f t="shared" si="14"/>
        <v>2850</v>
      </c>
      <c r="C43" s="1">
        <v>123.389</v>
      </c>
      <c r="E43" s="1">
        <v>0.18310000000000001</v>
      </c>
      <c r="F43" s="1">
        <f t="shared" si="3"/>
        <v>8.2394999999999996</v>
      </c>
      <c r="G43" s="1">
        <f t="shared" si="4"/>
        <v>2.28875E-3</v>
      </c>
      <c r="H43" s="7">
        <v>1.2603599999999999</v>
      </c>
      <c r="I43" s="61">
        <v>1</v>
      </c>
      <c r="J43" s="3">
        <f>C43*Constants!$F$13</f>
        <v>100.65778486399999</v>
      </c>
      <c r="K43" s="7">
        <f>J43*B43/Constants!$H$13</f>
        <v>30.328225696416109</v>
      </c>
      <c r="L43" s="29"/>
      <c r="M43" s="8">
        <f t="shared" si="12"/>
        <v>30041.446958259607</v>
      </c>
      <c r="N43" s="8">
        <f>M43*((1.01325/Constants!$B$13)*(SQRT(Constants!$E$13/293)))</f>
        <v>30229.621825387367</v>
      </c>
      <c r="O43" s="3">
        <f t="shared" si="5"/>
        <v>30.229621825387365</v>
      </c>
      <c r="Q43" s="7">
        <f t="shared" si="13"/>
        <v>0.27256378024154848</v>
      </c>
      <c r="R43" s="3">
        <f t="shared" si="6"/>
        <v>272.5637802415485</v>
      </c>
      <c r="S43" s="31"/>
      <c r="T43" s="63">
        <f>F43*(Constants!$O$13*10^3)</f>
        <v>357520144.5</v>
      </c>
      <c r="U43" s="3">
        <f t="shared" si="7"/>
        <v>357.52014449999996</v>
      </c>
      <c r="V43" s="31"/>
      <c r="W43" s="64">
        <f t="shared" si="8"/>
        <v>108826638.57139452</v>
      </c>
      <c r="X43" s="3">
        <f t="shared" si="9"/>
        <v>108.82663857139451</v>
      </c>
      <c r="Y43" s="31"/>
      <c r="Z43" s="3">
        <f t="shared" si="10"/>
        <v>0.30439302580723399</v>
      </c>
      <c r="AA43" s="12">
        <f t="shared" si="11"/>
        <v>0.30439302580723399</v>
      </c>
      <c r="AB43" s="58"/>
      <c r="AC43" s="12">
        <f>O43/(G43*Constants!$O$13)</f>
        <v>0.30439302580723399</v>
      </c>
    </row>
    <row r="44" spans="2:29" x14ac:dyDescent="0.2">
      <c r="B44" s="1">
        <f t="shared" si="14"/>
        <v>2900</v>
      </c>
      <c r="C44" s="1">
        <v>122.51900000000001</v>
      </c>
      <c r="E44" s="1">
        <v>0.18790000000000001</v>
      </c>
      <c r="F44" s="1">
        <f t="shared" si="3"/>
        <v>8.4555000000000007</v>
      </c>
      <c r="G44" s="1">
        <f t="shared" si="4"/>
        <v>2.3487500000000001E-3</v>
      </c>
      <c r="H44" s="7">
        <v>1.2531000000000001</v>
      </c>
      <c r="I44" s="61">
        <v>1</v>
      </c>
      <c r="J44" s="3">
        <f>C44*Constants!$F$13</f>
        <v>99.948059743999991</v>
      </c>
      <c r="K44" s="7">
        <f>J44*B44/Constants!$H$13</f>
        <v>30.642707818754619</v>
      </c>
      <c r="L44" s="29"/>
      <c r="M44" s="8">
        <f t="shared" si="12"/>
        <v>30352.955389122726</v>
      </c>
      <c r="N44" s="8">
        <f>M44*((1.01325/Constants!$B$13)*(SQRT(Constants!$E$13/293)))</f>
        <v>30543.081495738657</v>
      </c>
      <c r="O44" s="3">
        <f t="shared" si="5"/>
        <v>30.543081495738658</v>
      </c>
      <c r="Q44" s="7">
        <f t="shared" si="13"/>
        <v>0.27683847162506192</v>
      </c>
      <c r="R44" s="3">
        <f t="shared" si="6"/>
        <v>276.83847162506191</v>
      </c>
      <c r="S44" s="31"/>
      <c r="T44" s="63">
        <f>F44*(Constants!$O$13*10^3)</f>
        <v>366892600.5</v>
      </c>
      <c r="U44" s="3">
        <f t="shared" si="7"/>
        <v>366.89260049999996</v>
      </c>
      <c r="V44" s="31"/>
      <c r="W44" s="64">
        <f t="shared" si="8"/>
        <v>109955093.38465917</v>
      </c>
      <c r="X44" s="3">
        <f t="shared" si="9"/>
        <v>109.95509338465916</v>
      </c>
      <c r="Y44" s="31"/>
      <c r="Z44" s="3">
        <f t="shared" si="10"/>
        <v>0.29969286171160919</v>
      </c>
      <c r="AA44" s="12">
        <f t="shared" si="11"/>
        <v>0.29969286171160919</v>
      </c>
      <c r="AB44" s="58"/>
      <c r="AC44" s="12">
        <f>O44/(G44*Constants!$O$13)</f>
        <v>0.29969286171160914</v>
      </c>
    </row>
    <row r="45" spans="2:29" x14ac:dyDescent="0.2">
      <c r="B45" s="1">
        <f t="shared" si="14"/>
        <v>2950</v>
      </c>
      <c r="C45" s="1">
        <v>121.837</v>
      </c>
      <c r="E45" s="1">
        <v>0.19255</v>
      </c>
      <c r="F45" s="1">
        <f t="shared" si="3"/>
        <v>8.6647499999999997</v>
      </c>
      <c r="G45" s="1">
        <f t="shared" si="4"/>
        <v>2.4068749999999997E-3</v>
      </c>
      <c r="H45" s="7">
        <v>1.23943</v>
      </c>
      <c r="I45" s="61">
        <v>1</v>
      </c>
      <c r="J45" s="3">
        <f>C45*Constants!$F$13</f>
        <v>99.391700512</v>
      </c>
      <c r="K45" s="7">
        <f>J45*B45/Constants!$H$13</f>
        <v>30.997517339084467</v>
      </c>
      <c r="L45" s="29"/>
      <c r="M45" s="8">
        <f t="shared" si="12"/>
        <v>30704.409888702445</v>
      </c>
      <c r="N45" s="8">
        <f>M45*((1.01325/Constants!$B$13)*(SQRT(Constants!$E$13/293)))</f>
        <v>30896.737450656125</v>
      </c>
      <c r="O45" s="3">
        <f t="shared" si="5"/>
        <v>30.896737450656126</v>
      </c>
      <c r="Q45" s="7">
        <f t="shared" si="13"/>
        <v>0.2804422316057838</v>
      </c>
      <c r="R45" s="3">
        <f t="shared" si="6"/>
        <v>280.44223160578377</v>
      </c>
      <c r="S45" s="31"/>
      <c r="T45" s="63">
        <f>F45*(Constants!$O$13*10^3)</f>
        <v>375972167.25</v>
      </c>
      <c r="U45" s="3">
        <f t="shared" si="7"/>
        <v>375.97216724999998</v>
      </c>
      <c r="V45" s="31"/>
      <c r="W45" s="64">
        <f t="shared" si="8"/>
        <v>111228254.82236205</v>
      </c>
      <c r="X45" s="3">
        <f t="shared" si="9"/>
        <v>111.22825482236205</v>
      </c>
      <c r="Y45" s="31"/>
      <c r="Z45" s="3">
        <f t="shared" si="10"/>
        <v>0.29584172582754409</v>
      </c>
      <c r="AA45" s="12">
        <f t="shared" si="11"/>
        <v>0.29584172582754409</v>
      </c>
      <c r="AB45" s="58"/>
      <c r="AC45" s="12">
        <f>O45/(G45*Constants!$O$13)</f>
        <v>0.29584172582754414</v>
      </c>
    </row>
    <row r="46" spans="2:29" x14ac:dyDescent="0.2">
      <c r="B46" s="1">
        <f t="shared" si="14"/>
        <v>3000</v>
      </c>
      <c r="C46" s="1">
        <v>121.709</v>
      </c>
      <c r="E46" s="1">
        <v>0.19900000000000001</v>
      </c>
      <c r="F46" s="1">
        <f t="shared" si="3"/>
        <v>8.9550000000000001</v>
      </c>
      <c r="G46" s="1">
        <f t="shared" si="4"/>
        <v>2.4875000000000001E-3</v>
      </c>
      <c r="H46" s="7">
        <v>1.2273499999999999</v>
      </c>
      <c r="I46" s="61">
        <v>1</v>
      </c>
      <c r="J46" s="3">
        <f>C46*Constants!$F$13</f>
        <v>99.287281183999994</v>
      </c>
      <c r="K46" s="7">
        <f>J46*B46/Constants!$H$13</f>
        <v>31.48978153631462</v>
      </c>
      <c r="L46" s="29"/>
      <c r="M46" s="8">
        <f t="shared" si="12"/>
        <v>31192.019316255846</v>
      </c>
      <c r="N46" s="8">
        <f>M46*((1.01325/Constants!$B$13)*(SQRT(Constants!$E$13/293)))</f>
        <v>31387.401186457977</v>
      </c>
      <c r="O46" s="3">
        <f t="shared" si="5"/>
        <v>31.387401186457978</v>
      </c>
      <c r="Q46" s="7">
        <f t="shared" si="13"/>
        <v>0.28530555769184274</v>
      </c>
      <c r="R46" s="3">
        <f t="shared" si="6"/>
        <v>285.30555769184275</v>
      </c>
      <c r="S46" s="31"/>
      <c r="T46" s="63">
        <f>F46*(Constants!$O$13*10^3)</f>
        <v>388566405</v>
      </c>
      <c r="U46" s="3">
        <f t="shared" si="7"/>
        <v>388.56640499999997</v>
      </c>
      <c r="V46" s="31"/>
      <c r="W46" s="64">
        <f t="shared" si="8"/>
        <v>112994644.27124871</v>
      </c>
      <c r="X46" s="3">
        <f t="shared" si="9"/>
        <v>112.9946442712487</v>
      </c>
      <c r="Y46" s="31"/>
      <c r="Z46" s="3">
        <f t="shared" si="10"/>
        <v>0.29079879994064001</v>
      </c>
      <c r="AA46" s="12">
        <f t="shared" si="11"/>
        <v>0.29079879994064001</v>
      </c>
      <c r="AB46" s="58"/>
      <c r="AC46" s="12">
        <f>O46/(G46*Constants!$O$13)</f>
        <v>0.29079879994064006</v>
      </c>
    </row>
    <row r="47" spans="2:29" x14ac:dyDescent="0.2">
      <c r="B47" s="1">
        <f t="shared" si="14"/>
        <v>3050</v>
      </c>
      <c r="C47" s="1">
        <v>121.123</v>
      </c>
      <c r="E47" s="1">
        <v>0.20605000000000001</v>
      </c>
      <c r="F47" s="1">
        <f t="shared" si="3"/>
        <v>9.2722499999999997</v>
      </c>
      <c r="G47" s="1">
        <f t="shared" si="4"/>
        <v>2.5756249999999998E-3</v>
      </c>
      <c r="H47" s="7">
        <v>1.2193000000000001</v>
      </c>
      <c r="I47" s="61">
        <v>1</v>
      </c>
      <c r="J47" s="3">
        <f>C47*Constants!$F$13</f>
        <v>98.809236447999993</v>
      </c>
      <c r="K47" s="7">
        <f>J47*B47/Constants!$H$13</f>
        <v>31.860468460344642</v>
      </c>
      <c r="L47" s="29"/>
      <c r="M47" s="8">
        <f t="shared" si="12"/>
        <v>31559.201085405119</v>
      </c>
      <c r="N47" s="8">
        <f>M47*((1.01325/Constants!$B$13)*(SQRT(Constants!$E$13/293)))</f>
        <v>31756.8829240714</v>
      </c>
      <c r="O47" s="3">
        <f t="shared" si="5"/>
        <v>31.756882924071402</v>
      </c>
      <c r="Q47" s="7">
        <f t="shared" si="13"/>
        <v>0.2919760740425732</v>
      </c>
      <c r="R47" s="3">
        <f t="shared" si="6"/>
        <v>291.9760740425732</v>
      </c>
      <c r="S47" s="31"/>
      <c r="T47" s="63">
        <f>F47*(Constants!$O$13*10^3)</f>
        <v>402332199.75</v>
      </c>
      <c r="U47" s="3">
        <f t="shared" si="7"/>
        <v>402.33219974999997</v>
      </c>
      <c r="V47" s="31"/>
      <c r="W47" s="64">
        <f t="shared" si="8"/>
        <v>114324778.52665704</v>
      </c>
      <c r="X47" s="3">
        <f t="shared" si="9"/>
        <v>114.32477852665704</v>
      </c>
      <c r="Y47" s="31"/>
      <c r="Z47" s="3">
        <f t="shared" si="10"/>
        <v>0.28415517971888865</v>
      </c>
      <c r="AA47" s="12">
        <f t="shared" si="11"/>
        <v>0.28415517971888865</v>
      </c>
      <c r="AB47" s="58"/>
      <c r="AC47" s="12">
        <f>O47/(G47*Constants!$O$13)</f>
        <v>0.28415517971888865</v>
      </c>
    </row>
    <row r="48" spans="2:29" x14ac:dyDescent="0.2">
      <c r="B48" s="1">
        <f t="shared" si="14"/>
        <v>3100</v>
      </c>
      <c r="C48" s="1">
        <v>121.124</v>
      </c>
      <c r="E48" s="1">
        <v>0.21004999999999999</v>
      </c>
      <c r="F48" s="1">
        <f t="shared" si="3"/>
        <v>9.4522499999999994</v>
      </c>
      <c r="G48" s="1">
        <f t="shared" si="4"/>
        <v>2.6256249999999999E-3</v>
      </c>
      <c r="H48" s="7">
        <v>1.20692</v>
      </c>
      <c r="I48" s="61">
        <v>1</v>
      </c>
      <c r="J48" s="3">
        <f>C48*Constants!$F$13</f>
        <v>98.810052223999989</v>
      </c>
      <c r="K48" s="7">
        <f>J48*B48/Constants!$H$13</f>
        <v>32.383038576424568</v>
      </c>
      <c r="L48" s="29"/>
      <c r="M48" s="8">
        <f t="shared" si="12"/>
        <v>32076.829864000025</v>
      </c>
      <c r="N48" s="8">
        <f>M48*((1.01325/Constants!$B$13)*(SQRT(Constants!$E$13/293)))</f>
        <v>32277.754047376562</v>
      </c>
      <c r="O48" s="3">
        <f t="shared" si="5"/>
        <v>32.277754047376561</v>
      </c>
      <c r="Q48" s="7">
        <f t="shared" si="13"/>
        <v>0.29284100703308535</v>
      </c>
      <c r="R48" s="3">
        <f t="shared" si="6"/>
        <v>292.84100703308536</v>
      </c>
      <c r="S48" s="31"/>
      <c r="T48" s="63">
        <f>F48*(Constants!$O$13*10^3)</f>
        <v>410142579.75</v>
      </c>
      <c r="U48" s="3">
        <f t="shared" si="7"/>
        <v>410.14257974999998</v>
      </c>
      <c r="V48" s="31"/>
      <c r="W48" s="64">
        <f t="shared" si="8"/>
        <v>116199914.57055563</v>
      </c>
      <c r="X48" s="3">
        <f t="shared" si="9"/>
        <v>116.19991457055562</v>
      </c>
      <c r="Y48" s="31"/>
      <c r="Z48" s="3">
        <f t="shared" si="10"/>
        <v>0.28331590112244526</v>
      </c>
      <c r="AA48" s="12">
        <f t="shared" si="11"/>
        <v>0.28331590112244526</v>
      </c>
      <c r="AB48" s="58"/>
      <c r="AC48" s="12">
        <f>O48/(G48*Constants!$O$13)</f>
        <v>0.28331590112244526</v>
      </c>
    </row>
    <row r="49" spans="2:29" x14ac:dyDescent="0.2">
      <c r="B49" s="1">
        <f t="shared" si="14"/>
        <v>3150</v>
      </c>
      <c r="C49" s="1">
        <v>120.851</v>
      </c>
      <c r="E49" s="1">
        <v>0.21604999999999999</v>
      </c>
      <c r="F49" s="1">
        <f t="shared" si="3"/>
        <v>9.7222500000000007</v>
      </c>
      <c r="G49" s="1">
        <f t="shared" si="4"/>
        <v>2.7006250000000003E-3</v>
      </c>
      <c r="H49" s="7">
        <v>1.1927399999999999</v>
      </c>
      <c r="I49" s="61">
        <v>1</v>
      </c>
      <c r="J49" s="3">
        <f>C49*Constants!$F$13</f>
        <v>98.587345375999988</v>
      </c>
      <c r="K49" s="7">
        <f>J49*B49/Constants!$H$13</f>
        <v>32.831180667554705</v>
      </c>
      <c r="L49" s="29"/>
      <c r="M49" s="8">
        <f t="shared" si="12"/>
        <v>32520.734396866927</v>
      </c>
      <c r="N49" s="8">
        <f>M49*((1.01325/Constants!$B$13)*(SQRT(Constants!$E$13/293)))</f>
        <v>32724.439127951628</v>
      </c>
      <c r="O49" s="3">
        <f t="shared" si="5"/>
        <v>32.724439127951626</v>
      </c>
      <c r="Q49" s="7">
        <f t="shared" si="13"/>
        <v>0.29709447309352743</v>
      </c>
      <c r="R49" s="3">
        <f t="shared" si="6"/>
        <v>297.09447309352743</v>
      </c>
      <c r="S49" s="31"/>
      <c r="T49" s="63">
        <f>F49*(Constants!$O$13*10^3)</f>
        <v>421858149.75000006</v>
      </c>
      <c r="U49" s="3">
        <f t="shared" si="7"/>
        <v>421.85814975000005</v>
      </c>
      <c r="V49" s="31"/>
      <c r="W49" s="64">
        <f t="shared" si="8"/>
        <v>117807980.86062586</v>
      </c>
      <c r="X49" s="3">
        <f t="shared" si="9"/>
        <v>117.80798086062586</v>
      </c>
      <c r="Y49" s="31"/>
      <c r="Z49" s="3">
        <f t="shared" si="10"/>
        <v>0.2792597012300006</v>
      </c>
      <c r="AA49" s="12">
        <f t="shared" si="11"/>
        <v>0.2792597012300006</v>
      </c>
      <c r="AB49" s="58"/>
      <c r="AC49" s="12">
        <f>O49/(G49*Constants!$O$13)</f>
        <v>0.2792597012300006</v>
      </c>
    </row>
    <row r="50" spans="2:29" x14ac:dyDescent="0.2">
      <c r="B50" s="1">
        <f t="shared" si="14"/>
        <v>3200</v>
      </c>
      <c r="C50" s="1">
        <v>120.596</v>
      </c>
      <c r="E50" s="1">
        <v>0.21795</v>
      </c>
      <c r="F50" s="1">
        <f t="shared" si="3"/>
        <v>9.8077500000000004</v>
      </c>
      <c r="G50" s="1">
        <f t="shared" si="4"/>
        <v>2.7243750000000002E-3</v>
      </c>
      <c r="H50" s="7">
        <v>1.1848099999999999</v>
      </c>
      <c r="I50" s="61">
        <v>1</v>
      </c>
      <c r="J50" s="3">
        <f>C50*Constants!$F$13</f>
        <v>98.379322496</v>
      </c>
      <c r="K50" s="7">
        <f>J50*B50/Constants!$H$13</f>
        <v>33.281935932677875</v>
      </c>
      <c r="L50" s="29"/>
      <c r="M50" s="8">
        <f t="shared" si="12"/>
        <v>32967.227393981295</v>
      </c>
      <c r="N50" s="8">
        <f>M50*((1.01325/Constants!$B$13)*(SQRT(Constants!$E$13/293)))</f>
        <v>33173.728886504359</v>
      </c>
      <c r="O50" s="3">
        <f t="shared" si="5"/>
        <v>33.173728886504357</v>
      </c>
      <c r="Q50" s="7">
        <f t="shared" si="13"/>
        <v>0.29564810255593432</v>
      </c>
      <c r="R50" s="3">
        <f t="shared" si="6"/>
        <v>295.64810255593432</v>
      </c>
      <c r="S50" s="31"/>
      <c r="T50" s="63">
        <f>F50*(Constants!$O$13*10^3)</f>
        <v>425568080.25</v>
      </c>
      <c r="U50" s="3">
        <f t="shared" si="7"/>
        <v>425.56808024999998</v>
      </c>
      <c r="V50" s="31"/>
      <c r="W50" s="64">
        <f t="shared" si="8"/>
        <v>119425423.99141569</v>
      </c>
      <c r="X50" s="3">
        <f t="shared" si="9"/>
        <v>119.42542399141568</v>
      </c>
      <c r="Y50" s="31"/>
      <c r="Z50" s="3">
        <f t="shared" si="10"/>
        <v>0.2806258963812775</v>
      </c>
      <c r="AA50" s="12">
        <f t="shared" si="11"/>
        <v>0.2806258963812775</v>
      </c>
      <c r="AB50" s="58"/>
      <c r="AC50" s="12">
        <f>O50/(G50*Constants!$O$13)</f>
        <v>0.2806258963812775</v>
      </c>
    </row>
    <row r="51" spans="2:29" x14ac:dyDescent="0.2">
      <c r="B51" s="1">
        <f t="shared" si="14"/>
        <v>3250</v>
      </c>
      <c r="C51" s="1">
        <v>120.84</v>
      </c>
      <c r="E51" s="1">
        <v>0.22305</v>
      </c>
      <c r="F51" s="1">
        <f t="shared" si="3"/>
        <v>10.03725</v>
      </c>
      <c r="G51" s="1">
        <f t="shared" si="4"/>
        <v>2.7881250000000002E-3</v>
      </c>
      <c r="H51" s="7">
        <v>1.17378</v>
      </c>
      <c r="I51" s="61">
        <v>1</v>
      </c>
      <c r="J51" s="3">
        <f>C51*Constants!$F$13</f>
        <v>98.578371840000003</v>
      </c>
      <c r="K51" s="7">
        <f>J51*B51/Constants!$H$13</f>
        <v>33.870357170948303</v>
      </c>
      <c r="L51" s="29"/>
      <c r="M51" s="8">
        <f t="shared" si="12"/>
        <v>33550.084617333589</v>
      </c>
      <c r="N51" s="8">
        <f>M51*((1.01325/Constants!$B$13)*(SQRT(Constants!$E$13/293)))</f>
        <v>33760.237035216909</v>
      </c>
      <c r="O51" s="3">
        <f t="shared" si="5"/>
        <v>33.76023703521691</v>
      </c>
      <c r="Q51" s="7">
        <f t="shared" si="13"/>
        <v>0.29730982011558943</v>
      </c>
      <c r="R51" s="3">
        <f t="shared" si="6"/>
        <v>297.30982011558945</v>
      </c>
      <c r="S51" s="31"/>
      <c r="T51" s="63">
        <f>F51*(Constants!$O$13*10^3)</f>
        <v>435526314.75</v>
      </c>
      <c r="U51" s="3">
        <f t="shared" si="7"/>
        <v>435.52631474999998</v>
      </c>
      <c r="V51" s="31"/>
      <c r="W51" s="64">
        <f t="shared" si="8"/>
        <v>121536853.32678087</v>
      </c>
      <c r="X51" s="3">
        <f t="shared" si="9"/>
        <v>121.53685332678087</v>
      </c>
      <c r="Y51" s="31"/>
      <c r="Z51" s="3">
        <f t="shared" si="10"/>
        <v>0.27905742824413543</v>
      </c>
      <c r="AA51" s="12">
        <f t="shared" si="11"/>
        <v>0.27905742824413543</v>
      </c>
      <c r="AB51" s="58"/>
      <c r="AC51" s="12">
        <f>O51/(G51*Constants!$O$13)</f>
        <v>0.27905742824413543</v>
      </c>
    </row>
    <row r="52" spans="2:29" x14ac:dyDescent="0.2">
      <c r="B52" s="1">
        <f t="shared" si="14"/>
        <v>3300</v>
      </c>
      <c r="C52" s="1">
        <v>121.633</v>
      </c>
      <c r="E52" s="1">
        <v>0.22550000000000001</v>
      </c>
      <c r="F52" s="1">
        <f t="shared" si="3"/>
        <v>10.147499999999999</v>
      </c>
      <c r="G52" s="1">
        <f t="shared" si="4"/>
        <v>2.8187499999999996E-3</v>
      </c>
      <c r="H52" s="7">
        <v>1.1611800000000001</v>
      </c>
      <c r="I52" s="61">
        <v>1</v>
      </c>
      <c r="J52" s="3">
        <f>C52*Constants!$F$13</f>
        <v>99.225282207999996</v>
      </c>
      <c r="K52" s="7">
        <f>J52*B52/Constants!$H$13</f>
        <v>34.61712985372661</v>
      </c>
      <c r="L52" s="29"/>
      <c r="M52" s="8">
        <f t="shared" si="12"/>
        <v>34289.795939852949</v>
      </c>
      <c r="N52" s="8">
        <f>M52*((1.01325/Constants!$B$13)*(SQRT(Constants!$E$13/293)))</f>
        <v>34504.581792338184</v>
      </c>
      <c r="O52" s="3">
        <f t="shared" si="5"/>
        <v>34.504581792338186</v>
      </c>
      <c r="Q52" s="7">
        <f t="shared" si="13"/>
        <v>0.29409137780807049</v>
      </c>
      <c r="R52" s="3">
        <f t="shared" si="6"/>
        <v>294.09137780807049</v>
      </c>
      <c r="S52" s="31"/>
      <c r="T52" s="63">
        <f>F52*(Constants!$O$13*10^3)</f>
        <v>440310172.49999994</v>
      </c>
      <c r="U52" s="3">
        <f t="shared" si="7"/>
        <v>440.31017249999991</v>
      </c>
      <c r="V52" s="31"/>
      <c r="W52" s="64">
        <f t="shared" si="8"/>
        <v>124216494.45241746</v>
      </c>
      <c r="X52" s="3">
        <f t="shared" si="9"/>
        <v>124.21649445241746</v>
      </c>
      <c r="Y52" s="31"/>
      <c r="Z52" s="3">
        <f t="shared" si="10"/>
        <v>0.2821113437991658</v>
      </c>
      <c r="AA52" s="12">
        <f t="shared" si="11"/>
        <v>0.2821113437991658</v>
      </c>
      <c r="AB52" s="58"/>
      <c r="AC52" s="12">
        <f>O52/(G52*Constants!$O$13)</f>
        <v>0.28211134379916575</v>
      </c>
    </row>
    <row r="53" spans="2:29" x14ac:dyDescent="0.2">
      <c r="B53" s="1">
        <f t="shared" si="14"/>
        <v>3350</v>
      </c>
      <c r="C53" s="1">
        <v>122.181</v>
      </c>
      <c r="E53" s="1">
        <v>0.22850000000000001</v>
      </c>
      <c r="F53" s="1">
        <f t="shared" si="3"/>
        <v>10.282500000000001</v>
      </c>
      <c r="G53" s="1">
        <f t="shared" si="4"/>
        <v>2.8562500000000003E-3</v>
      </c>
      <c r="H53" s="7">
        <v>1.1510400000000001</v>
      </c>
      <c r="I53" s="61">
        <v>1</v>
      </c>
      <c r="J53" s="3">
        <f>C53*Constants!$F$13</f>
        <v>99.672327455999991</v>
      </c>
      <c r="K53" s="7">
        <f>J53*B53/Constants!$H$13</f>
        <v>35.299957392705359</v>
      </c>
      <c r="L53" s="29"/>
      <c r="M53" s="8">
        <f t="shared" si="12"/>
        <v>34966.166773386176</v>
      </c>
      <c r="N53" s="8">
        <f>M53*((1.01325/Constants!$B$13)*(SQRT(Constants!$E$13/293)))</f>
        <v>35185.189305679349</v>
      </c>
      <c r="O53" s="3">
        <f t="shared" si="5"/>
        <v>35.185189305679351</v>
      </c>
      <c r="Q53" s="7">
        <f t="shared" si="13"/>
        <v>0.29223943946040587</v>
      </c>
      <c r="R53" s="3">
        <f t="shared" si="6"/>
        <v>292.23943946040589</v>
      </c>
      <c r="S53" s="31"/>
      <c r="T53" s="63">
        <f>F53*(Constants!$O$13*10^3)</f>
        <v>446167957.5</v>
      </c>
      <c r="U53" s="3">
        <f t="shared" si="7"/>
        <v>446.1679575</v>
      </c>
      <c r="V53" s="31"/>
      <c r="W53" s="64">
        <f t="shared" si="8"/>
        <v>126666681.50044565</v>
      </c>
      <c r="X53" s="3">
        <f t="shared" si="9"/>
        <v>126.66668150044565</v>
      </c>
      <c r="Y53" s="31"/>
      <c r="Z53" s="3">
        <f t="shared" si="10"/>
        <v>0.28389909981477246</v>
      </c>
      <c r="AA53" s="12">
        <f t="shared" si="11"/>
        <v>0.28389909981477246</v>
      </c>
      <c r="AB53" s="58"/>
      <c r="AC53" s="12">
        <f>O53/(G53*Constants!$O$13)</f>
        <v>0.28389909981477246</v>
      </c>
    </row>
    <row r="54" spans="2:29" x14ac:dyDescent="0.2">
      <c r="B54" s="1">
        <f t="shared" si="14"/>
        <v>3400</v>
      </c>
      <c r="C54" s="1">
        <v>122.93300000000001</v>
      </c>
      <c r="E54" s="1">
        <v>0.23419999999999999</v>
      </c>
      <c r="F54" s="1">
        <f t="shared" si="3"/>
        <v>10.539</v>
      </c>
      <c r="G54" s="1">
        <f t="shared" si="4"/>
        <v>2.9275E-3</v>
      </c>
      <c r="H54" s="7">
        <v>1.14117</v>
      </c>
      <c r="I54" s="61">
        <v>1</v>
      </c>
      <c r="J54" s="3">
        <f>C54*Constants!$F$13</f>
        <v>100.285791008</v>
      </c>
      <c r="K54" s="7">
        <f>J54*B54/Constants!$H$13</f>
        <v>36.047329466878104</v>
      </c>
      <c r="L54" s="29"/>
      <c r="M54" s="8">
        <f t="shared" si="12"/>
        <v>35706.471819553073</v>
      </c>
      <c r="N54" s="8">
        <f>M54*((1.01325/Constants!$B$13)*(SQRT(Constants!$E$13/293)))</f>
        <v>35930.13150543908</v>
      </c>
      <c r="O54" s="3">
        <f t="shared" si="5"/>
        <v>35.930131505439078</v>
      </c>
      <c r="Q54" s="7">
        <f t="shared" si="13"/>
        <v>0.29331927155358761</v>
      </c>
      <c r="R54" s="3">
        <f t="shared" si="6"/>
        <v>293.31927155358761</v>
      </c>
      <c r="S54" s="31"/>
      <c r="T54" s="63">
        <f>F54*(Constants!$O$13*10^3)</f>
        <v>457297749</v>
      </c>
      <c r="U54" s="3">
        <f t="shared" si="7"/>
        <v>457.29774899999995</v>
      </c>
      <c r="V54" s="31"/>
      <c r="W54" s="64">
        <f t="shared" si="8"/>
        <v>129348473.41958068</v>
      </c>
      <c r="X54" s="3">
        <f t="shared" si="9"/>
        <v>129.34847341958067</v>
      </c>
      <c r="Y54" s="31"/>
      <c r="Z54" s="3">
        <f t="shared" si="10"/>
        <v>0.28285394735144581</v>
      </c>
      <c r="AA54" s="12">
        <f t="shared" si="11"/>
        <v>0.28285394735144581</v>
      </c>
      <c r="AB54" s="58"/>
      <c r="AC54" s="12">
        <f>O54/(G54*Constants!$O$13)</f>
        <v>0.28285394735144581</v>
      </c>
    </row>
    <row r="55" spans="2:29" x14ac:dyDescent="0.2">
      <c r="B55" s="1">
        <f t="shared" si="14"/>
        <v>3450</v>
      </c>
      <c r="C55" s="1">
        <v>123.47499999999999</v>
      </c>
      <c r="E55" s="1">
        <v>0.23605000000000001</v>
      </c>
      <c r="F55" s="1">
        <f t="shared" si="3"/>
        <v>10.622250000000001</v>
      </c>
      <c r="G55" s="1">
        <f t="shared" si="4"/>
        <v>2.9506250000000001E-3</v>
      </c>
      <c r="H55" s="7">
        <v>1.12669</v>
      </c>
      <c r="I55" s="61">
        <v>1</v>
      </c>
      <c r="J55" s="3">
        <f>C55*Constants!$F$13</f>
        <v>100.72794159999999</v>
      </c>
      <c r="K55" s="7">
        <f>J55*B55/Constants!$H$13</f>
        <v>36.738703723437993</v>
      </c>
      <c r="L55" s="29"/>
      <c r="M55" s="8">
        <f t="shared" si="12"/>
        <v>36391.308554304895</v>
      </c>
      <c r="N55" s="8">
        <f>M55*((1.01325/Constants!$B$13)*(SQRT(Constants!$E$13/293)))</f>
        <v>36619.25794906362</v>
      </c>
      <c r="O55" s="3">
        <f t="shared" si="5"/>
        <v>36.619257949063623</v>
      </c>
      <c r="Q55" s="7">
        <f t="shared" si="13"/>
        <v>0.29007278123372293</v>
      </c>
      <c r="R55" s="3">
        <f t="shared" si="6"/>
        <v>290.07278123372294</v>
      </c>
      <c r="S55" s="31"/>
      <c r="T55" s="63">
        <f>F55*(Constants!$O$13*10^3)</f>
        <v>460910049.75000006</v>
      </c>
      <c r="U55" s="3">
        <f t="shared" si="7"/>
        <v>460.91004975000004</v>
      </c>
      <c r="V55" s="31"/>
      <c r="W55" s="64">
        <f t="shared" si="8"/>
        <v>131829328.61662903</v>
      </c>
      <c r="X55" s="3">
        <f t="shared" si="9"/>
        <v>131.82932861662903</v>
      </c>
      <c r="Y55" s="31"/>
      <c r="Z55" s="3">
        <f t="shared" si="10"/>
        <v>0.28601964458820961</v>
      </c>
      <c r="AA55" s="12">
        <f t="shared" si="11"/>
        <v>0.28601964458820961</v>
      </c>
      <c r="AB55" s="58"/>
      <c r="AC55" s="12">
        <f>O55/(G55*Constants!$O$13)</f>
        <v>0.28601964458820966</v>
      </c>
    </row>
    <row r="56" spans="2:29" x14ac:dyDescent="0.2">
      <c r="B56" s="1">
        <f t="shared" si="14"/>
        <v>3500</v>
      </c>
      <c r="C56" s="1">
        <v>123.428</v>
      </c>
      <c r="E56" s="1">
        <v>0.24195</v>
      </c>
      <c r="F56" s="1">
        <f t="shared" si="3"/>
        <v>10.88775</v>
      </c>
      <c r="G56" s="1">
        <f t="shared" si="4"/>
        <v>3.0243750000000002E-3</v>
      </c>
      <c r="H56" s="7">
        <v>1.11975</v>
      </c>
      <c r="I56" s="61">
        <v>1</v>
      </c>
      <c r="J56" s="3">
        <f>C56*Constants!$F$13</f>
        <v>100.689600128</v>
      </c>
      <c r="K56" s="7">
        <f>J56*B56/Constants!$H$13</f>
        <v>37.256961671212594</v>
      </c>
      <c r="L56" s="29"/>
      <c r="M56" s="8">
        <f t="shared" si="12"/>
        <v>36904.665939752173</v>
      </c>
      <c r="N56" s="8">
        <f>M56*((1.01325/Constants!$B$13)*(SQRT(Constants!$E$13/293)))</f>
        <v>37135.83092389079</v>
      </c>
      <c r="O56" s="3">
        <f t="shared" si="5"/>
        <v>37.135830923890786</v>
      </c>
      <c r="Q56" s="7">
        <f t="shared" si="13"/>
        <v>0.29318719223798295</v>
      </c>
      <c r="R56" s="3">
        <f t="shared" si="6"/>
        <v>293.18719223798297</v>
      </c>
      <c r="S56" s="31"/>
      <c r="T56" s="63">
        <f>F56*(Constants!$O$13*10^3)</f>
        <v>472430360.25</v>
      </c>
      <c r="U56" s="3">
        <f t="shared" si="7"/>
        <v>472.43036024999998</v>
      </c>
      <c r="V56" s="31"/>
      <c r="W56" s="64">
        <f t="shared" si="8"/>
        <v>133688991.32600684</v>
      </c>
      <c r="X56" s="3">
        <f t="shared" si="9"/>
        <v>133.68899132600683</v>
      </c>
      <c r="Y56" s="31"/>
      <c r="Z56" s="3">
        <f t="shared" si="10"/>
        <v>0.28298137159360692</v>
      </c>
      <c r="AA56" s="12">
        <f t="shared" si="11"/>
        <v>0.28298137159360692</v>
      </c>
      <c r="AB56" s="58"/>
      <c r="AC56" s="12">
        <f>O56/(G56*Constants!$O$13)</f>
        <v>0.28298137159360692</v>
      </c>
    </row>
    <row r="57" spans="2:29" x14ac:dyDescent="0.2">
      <c r="B57" s="1">
        <f t="shared" si="14"/>
        <v>3550</v>
      </c>
      <c r="C57" s="1">
        <v>124.205</v>
      </c>
      <c r="E57" s="1">
        <v>0.24545</v>
      </c>
      <c r="F57" s="1">
        <f t="shared" si="3"/>
        <v>11.045250000000001</v>
      </c>
      <c r="G57" s="1">
        <f t="shared" si="4"/>
        <v>3.0681250000000001E-3</v>
      </c>
      <c r="H57" s="7">
        <v>1.10622</v>
      </c>
      <c r="I57" s="61">
        <v>1</v>
      </c>
      <c r="J57" s="3">
        <f>C57*Constants!$F$13</f>
        <v>101.32345807999999</v>
      </c>
      <c r="K57" s="7">
        <f>J57*B57/Constants!$H$13</f>
        <v>38.027093369700808</v>
      </c>
      <c r="L57" s="29"/>
      <c r="M57" s="8">
        <f t="shared" si="12"/>
        <v>37667.515398952222</v>
      </c>
      <c r="N57" s="8">
        <f>M57*((1.01325/Constants!$B$13)*(SQRT(Constants!$E$13/293)))</f>
        <v>37903.458751317339</v>
      </c>
      <c r="O57" s="3">
        <f t="shared" si="5"/>
        <v>37.903458751317338</v>
      </c>
      <c r="Q57" s="7">
        <f t="shared" si="13"/>
        <v>0.29140480483502373</v>
      </c>
      <c r="R57" s="3">
        <f t="shared" si="6"/>
        <v>291.40480483502375</v>
      </c>
      <c r="S57" s="31"/>
      <c r="T57" s="63">
        <f>F57*(Constants!$O$13*10^3)</f>
        <v>479264442.75000006</v>
      </c>
      <c r="U57" s="3">
        <f t="shared" si="7"/>
        <v>479.26444275000006</v>
      </c>
      <c r="V57" s="31"/>
      <c r="W57" s="64">
        <f t="shared" si="8"/>
        <v>136452451.50474241</v>
      </c>
      <c r="X57" s="3">
        <f t="shared" si="9"/>
        <v>136.45245150474241</v>
      </c>
      <c r="Y57" s="31"/>
      <c r="Z57" s="3">
        <f t="shared" si="10"/>
        <v>0.28471223678056262</v>
      </c>
      <c r="AA57" s="12">
        <f t="shared" si="11"/>
        <v>0.28471223678056262</v>
      </c>
      <c r="AB57" s="58"/>
      <c r="AC57" s="12">
        <f>O57/(G57*Constants!$O$13)</f>
        <v>0.28471223678056268</v>
      </c>
    </row>
    <row r="58" spans="2:29" x14ac:dyDescent="0.2">
      <c r="B58" s="1">
        <f t="shared" si="14"/>
        <v>3600</v>
      </c>
      <c r="C58" s="1">
        <v>124.066</v>
      </c>
      <c r="E58" s="1">
        <v>0.25505</v>
      </c>
      <c r="F58" s="1">
        <f t="shared" si="3"/>
        <v>11.47725</v>
      </c>
      <c r="G58" s="1">
        <f t="shared" si="4"/>
        <v>3.188125E-3</v>
      </c>
      <c r="H58" s="7">
        <v>1.09697</v>
      </c>
      <c r="I58" s="61">
        <v>1</v>
      </c>
      <c r="J58" s="3">
        <f>C58*Constants!$F$13</f>
        <v>101.21006521599999</v>
      </c>
      <c r="K58" s="7">
        <f>J58*B58/Constants!$H$13</f>
        <v>38.519530053663175</v>
      </c>
      <c r="L58" s="29"/>
      <c r="M58" s="8">
        <f t="shared" si="12"/>
        <v>38155.295682231532</v>
      </c>
      <c r="N58" s="8">
        <f>M58*((1.01325/Constants!$B$13)*(SQRT(Constants!$E$13/293)))</f>
        <v>38394.29441305832</v>
      </c>
      <c r="O58" s="3">
        <f t="shared" si="5"/>
        <v>38.394294413058319</v>
      </c>
      <c r="Q58" s="7">
        <f t="shared" si="13"/>
        <v>0.29893113483279593</v>
      </c>
      <c r="R58" s="3">
        <f t="shared" si="6"/>
        <v>298.93113483279592</v>
      </c>
      <c r="S58" s="31"/>
      <c r="T58" s="63">
        <f>F58*(Constants!$O$13*10^3)</f>
        <v>498009354.75</v>
      </c>
      <c r="U58" s="3">
        <f t="shared" si="7"/>
        <v>498.00935475</v>
      </c>
      <c r="V58" s="31"/>
      <c r="W58" s="64">
        <f t="shared" si="8"/>
        <v>138219459.88700995</v>
      </c>
      <c r="X58" s="3">
        <f t="shared" si="9"/>
        <v>138.21945988700995</v>
      </c>
      <c r="Y58" s="31"/>
      <c r="Z58" s="3">
        <f t="shared" si="10"/>
        <v>0.27754390267708107</v>
      </c>
      <c r="AA58" s="12">
        <f t="shared" si="11"/>
        <v>0.27754390267708107</v>
      </c>
      <c r="AB58" s="58"/>
      <c r="AC58" s="12">
        <f>O58/(G58*Constants!$O$13)</f>
        <v>0.27754390267708107</v>
      </c>
    </row>
    <row r="59" spans="2:29" x14ac:dyDescent="0.2">
      <c r="B59" s="1">
        <f t="shared" si="14"/>
        <v>3650</v>
      </c>
      <c r="C59" s="1">
        <v>123.967</v>
      </c>
      <c r="E59" s="1">
        <v>0.25755</v>
      </c>
      <c r="F59" s="1">
        <f t="shared" si="3"/>
        <v>11.58975</v>
      </c>
      <c r="G59" s="1">
        <f t="shared" si="4"/>
        <v>3.219375E-3</v>
      </c>
      <c r="H59" s="7">
        <v>1.0940099999999999</v>
      </c>
      <c r="I59" s="61">
        <v>1</v>
      </c>
      <c r="J59" s="3">
        <f>C59*Constants!$F$13</f>
        <v>101.129303392</v>
      </c>
      <c r="K59" s="7">
        <f>J59*B59/Constants!$H$13</f>
        <v>39.023359486288193</v>
      </c>
      <c r="L59" s="29"/>
      <c r="M59" s="8">
        <f t="shared" si="12"/>
        <v>38654.36098620687</v>
      </c>
      <c r="N59" s="8">
        <f>M59*((1.01325/Constants!$B$13)*(SQRT(Constants!$E$13/293)))</f>
        <v>38896.485783078148</v>
      </c>
      <c r="O59" s="3">
        <f t="shared" si="5"/>
        <v>38.896485783078148</v>
      </c>
      <c r="Q59" s="7">
        <f t="shared" si="13"/>
        <v>0.29796393598729942</v>
      </c>
      <c r="R59" s="3">
        <f t="shared" si="6"/>
        <v>297.96393598729941</v>
      </c>
      <c r="S59" s="31"/>
      <c r="T59" s="63">
        <f>F59*(Constants!$O$13*10^3)</f>
        <v>502890842.25</v>
      </c>
      <c r="U59" s="3">
        <f t="shared" si="7"/>
        <v>502.89084224999999</v>
      </c>
      <c r="V59" s="31"/>
      <c r="W59" s="64">
        <f t="shared" si="8"/>
        <v>140027348.81908134</v>
      </c>
      <c r="X59" s="3">
        <f t="shared" si="9"/>
        <v>140.02734881908134</v>
      </c>
      <c r="Y59" s="31"/>
      <c r="Z59" s="3">
        <f t="shared" si="10"/>
        <v>0.27844481755241457</v>
      </c>
      <c r="AA59" s="12">
        <f t="shared" si="11"/>
        <v>0.27844481755241457</v>
      </c>
      <c r="AB59" s="58"/>
      <c r="AC59" s="12">
        <f>O59/(G59*Constants!$O$13)</f>
        <v>0.27844481755241457</v>
      </c>
    </row>
    <row r="60" spans="2:29" x14ac:dyDescent="0.2">
      <c r="B60" s="1">
        <f t="shared" si="14"/>
        <v>3700</v>
      </c>
      <c r="C60" s="1">
        <v>123.815</v>
      </c>
      <c r="E60" s="1">
        <v>0.26445000000000002</v>
      </c>
      <c r="F60" s="1">
        <f t="shared" si="3"/>
        <v>11.90025</v>
      </c>
      <c r="G60" s="1">
        <f t="shared" si="4"/>
        <v>3.305625E-3</v>
      </c>
      <c r="H60" s="7">
        <v>1.09659</v>
      </c>
      <c r="I60" s="61">
        <v>1</v>
      </c>
      <c r="J60" s="3">
        <f>C60*Constants!$F$13</f>
        <v>101.00530543999999</v>
      </c>
      <c r="K60" s="7">
        <f>J60*B60/Constants!$H$13</f>
        <v>39.509422785495289</v>
      </c>
      <c r="L60" s="29"/>
      <c r="M60" s="8">
        <f t="shared" si="12"/>
        <v>39135.828150413981</v>
      </c>
      <c r="N60" s="8">
        <f>M60*((1.01325/Constants!$B$13)*(SQRT(Constants!$E$13/293)))</f>
        <v>39380.968781368647</v>
      </c>
      <c r="O60" s="3">
        <f t="shared" si="5"/>
        <v>39.380968781368644</v>
      </c>
      <c r="Q60" s="7">
        <f t="shared" si="13"/>
        <v>0.30218276411803446</v>
      </c>
      <c r="R60" s="3">
        <f t="shared" si="6"/>
        <v>302.18276411803447</v>
      </c>
      <c r="S60" s="31"/>
      <c r="T60" s="63">
        <f>F60*(Constants!$O$13*10^3)</f>
        <v>516363747.75</v>
      </c>
      <c r="U60" s="3">
        <f t="shared" si="7"/>
        <v>516.36374775000002</v>
      </c>
      <c r="V60" s="31"/>
      <c r="W60" s="64">
        <f t="shared" si="8"/>
        <v>141771487.61292714</v>
      </c>
      <c r="X60" s="3">
        <f t="shared" si="9"/>
        <v>141.77148761292713</v>
      </c>
      <c r="Y60" s="31"/>
      <c r="Z60" s="3">
        <f t="shared" si="10"/>
        <v>0.27455739917970862</v>
      </c>
      <c r="AA60" s="12">
        <f t="shared" si="11"/>
        <v>0.27455739917970862</v>
      </c>
      <c r="AB60" s="58"/>
      <c r="AC60" s="12">
        <f>O60/(G60*Constants!$O$13)</f>
        <v>0.27455739917970862</v>
      </c>
    </row>
    <row r="61" spans="2:29" x14ac:dyDescent="0.2">
      <c r="B61" s="1">
        <f t="shared" si="14"/>
        <v>3750</v>
      </c>
      <c r="C61" s="1">
        <v>123.767</v>
      </c>
      <c r="E61" s="1">
        <v>0.2651</v>
      </c>
      <c r="F61" s="1">
        <f t="shared" si="3"/>
        <v>11.929500000000001</v>
      </c>
      <c r="G61" s="1">
        <f t="shared" si="4"/>
        <v>3.3137500000000003E-3</v>
      </c>
      <c r="H61" s="7">
        <v>1.0980799999999999</v>
      </c>
      <c r="I61" s="61">
        <v>1</v>
      </c>
      <c r="J61" s="3">
        <f>C61*Constants!$F$13</f>
        <v>100.96614819199999</v>
      </c>
      <c r="K61" s="7">
        <f>J61*B61/Constants!$H$13</f>
        <v>40.027810098319058</v>
      </c>
      <c r="L61" s="29"/>
      <c r="M61" s="8">
        <f t="shared" si="12"/>
        <v>39649.313677655686</v>
      </c>
      <c r="N61" s="8">
        <f>M61*((1.01325/Constants!$B$13)*(SQRT(Constants!$E$13/293)))</f>
        <v>39897.67070065016</v>
      </c>
      <c r="O61" s="3">
        <f t="shared" si="5"/>
        <v>39.89767070065016</v>
      </c>
      <c r="Q61" s="7">
        <f t="shared" si="13"/>
        <v>0.29900241769767277</v>
      </c>
      <c r="R61" s="3">
        <f t="shared" si="6"/>
        <v>299.0024176976728</v>
      </c>
      <c r="S61" s="31"/>
      <c r="T61" s="63">
        <f>F61*(Constants!$O$13*10^3)</f>
        <v>517632934.50000006</v>
      </c>
      <c r="U61" s="3">
        <f t="shared" si="7"/>
        <v>517.63293450000003</v>
      </c>
      <c r="V61" s="31"/>
      <c r="W61" s="64">
        <f t="shared" si="8"/>
        <v>143631614.52234057</v>
      </c>
      <c r="X61" s="3">
        <f t="shared" si="9"/>
        <v>143.63161452234056</v>
      </c>
      <c r="Y61" s="31"/>
      <c r="Z61" s="3">
        <f t="shared" si="10"/>
        <v>0.27747773557159655</v>
      </c>
      <c r="AA61" s="12">
        <f t="shared" si="11"/>
        <v>0.27747773557159655</v>
      </c>
      <c r="AB61" s="58"/>
      <c r="AC61" s="12">
        <f>O61/(G61*Constants!$O$13)</f>
        <v>0.27747773557159655</v>
      </c>
    </row>
    <row r="62" spans="2:29" x14ac:dyDescent="0.2">
      <c r="B62" s="1">
        <f t="shared" si="14"/>
        <v>3800</v>
      </c>
      <c r="C62" s="1">
        <v>123.509</v>
      </c>
      <c r="E62" s="1">
        <v>0.26929999999999998</v>
      </c>
      <c r="F62" s="1">
        <f t="shared" si="3"/>
        <v>12.118499999999999</v>
      </c>
      <c r="G62" s="1">
        <f t="shared" si="4"/>
        <v>3.3662499999999999E-3</v>
      </c>
      <c r="H62" s="7">
        <v>1.09907</v>
      </c>
      <c r="I62" s="61">
        <v>1</v>
      </c>
      <c r="J62" s="3">
        <f>C62*Constants!$F$13</f>
        <v>100.75567798399999</v>
      </c>
      <c r="K62" s="7">
        <f>J62*B62/Constants!$H$13</f>
        <v>40.476961236832643</v>
      </c>
      <c r="L62" s="29"/>
      <c r="M62" s="8">
        <f t="shared" si="12"/>
        <v>40094.217716519139</v>
      </c>
      <c r="N62" s="8">
        <f>M62*((1.01325/Constants!$B$13)*(SQRT(Constants!$E$13/293)))</f>
        <v>40345.361547969078</v>
      </c>
      <c r="O62" s="3">
        <f t="shared" si="5"/>
        <v>40.345361547969077</v>
      </c>
      <c r="Q62" s="7">
        <f t="shared" si="13"/>
        <v>0.30036910155313817</v>
      </c>
      <c r="R62" s="3">
        <f t="shared" si="6"/>
        <v>300.36910155313819</v>
      </c>
      <c r="S62" s="31"/>
      <c r="T62" s="63">
        <f>F62*(Constants!$O$13*10^3)</f>
        <v>525833833.49999994</v>
      </c>
      <c r="U62" s="3">
        <f t="shared" si="7"/>
        <v>525.83383349999997</v>
      </c>
      <c r="V62" s="31"/>
      <c r="W62" s="64">
        <f t="shared" si="8"/>
        <v>145243301.57268867</v>
      </c>
      <c r="X62" s="3">
        <f t="shared" si="9"/>
        <v>145.24330157268867</v>
      </c>
      <c r="Y62" s="31"/>
      <c r="Z62" s="3">
        <f t="shared" si="10"/>
        <v>0.2762152077699821</v>
      </c>
      <c r="AA62" s="12">
        <f t="shared" si="11"/>
        <v>0.2762152077699821</v>
      </c>
      <c r="AB62" s="58"/>
      <c r="AC62" s="12">
        <f>O62/(G62*Constants!$O$13)</f>
        <v>0.2762152077699821</v>
      </c>
    </row>
    <row r="63" spans="2:29" x14ac:dyDescent="0.2">
      <c r="B63" s="1">
        <f t="shared" si="14"/>
        <v>3850</v>
      </c>
      <c r="C63" s="1">
        <v>122.672</v>
      </c>
      <c r="E63" s="1">
        <v>0.27374999999999999</v>
      </c>
      <c r="F63" s="1">
        <f t="shared" si="3"/>
        <v>12.318750000000001</v>
      </c>
      <c r="G63" s="1">
        <f t="shared" si="4"/>
        <v>3.4218750000000004E-3</v>
      </c>
      <c r="H63" s="7">
        <v>1.1053299999999999</v>
      </c>
      <c r="I63" s="61">
        <v>1</v>
      </c>
      <c r="J63" s="3">
        <f>C63*Constants!$F$13</f>
        <v>100.072873472</v>
      </c>
      <c r="K63" s="7">
        <f>J63*B63/Constants!$H$13</f>
        <v>40.731637896944711</v>
      </c>
      <c r="L63" s="29"/>
      <c r="M63" s="8">
        <f t="shared" si="12"/>
        <v>40346.486195817859</v>
      </c>
      <c r="N63" s="8">
        <f>M63*((1.01325/Constants!$B$13)*(SQRT(Constants!$E$13/293)))</f>
        <v>40599.210197079141</v>
      </c>
      <c r="O63" s="3">
        <f t="shared" si="5"/>
        <v>40.599210197079138</v>
      </c>
      <c r="Q63" s="7">
        <f t="shared" si="13"/>
        <v>0.30342339026305143</v>
      </c>
      <c r="R63" s="3">
        <f t="shared" si="6"/>
        <v>303.42339026305143</v>
      </c>
      <c r="S63" s="31"/>
      <c r="T63" s="63">
        <f>F63*(Constants!$O$13*10^3)</f>
        <v>534522881.25000006</v>
      </c>
      <c r="U63" s="3">
        <f t="shared" si="7"/>
        <v>534.52288125000007</v>
      </c>
      <c r="V63" s="31"/>
      <c r="W63" s="64">
        <f t="shared" si="8"/>
        <v>146157156.70948491</v>
      </c>
      <c r="X63" s="3">
        <f t="shared" si="9"/>
        <v>146.15715670948489</v>
      </c>
      <c r="Y63" s="31"/>
      <c r="Z63" s="3">
        <f t="shared" si="10"/>
        <v>0.27343479921325609</v>
      </c>
      <c r="AA63" s="12">
        <f t="shared" si="11"/>
        <v>0.27343479921325609</v>
      </c>
      <c r="AB63" s="58"/>
      <c r="AC63" s="12">
        <f>O63/(G63*Constants!$O$13)</f>
        <v>0.27343479921325609</v>
      </c>
    </row>
    <row r="64" spans="2:29" x14ac:dyDescent="0.2">
      <c r="B64" s="1">
        <f t="shared" si="14"/>
        <v>3900</v>
      </c>
      <c r="C64" s="1">
        <v>122.157</v>
      </c>
      <c r="E64" s="1">
        <v>0.27589999999999998</v>
      </c>
      <c r="F64" s="1">
        <f t="shared" si="3"/>
        <v>12.415499999999998</v>
      </c>
      <c r="G64" s="1">
        <f t="shared" si="4"/>
        <v>3.4487499999999996E-3</v>
      </c>
      <c r="H64" s="7">
        <v>1.11704</v>
      </c>
      <c r="I64" s="61">
        <v>1</v>
      </c>
      <c r="J64" s="3">
        <f>C64*Constants!$F$13</f>
        <v>99.652748831999986</v>
      </c>
      <c r="K64" s="7">
        <f>J64*B64/Constants!$H$13</f>
        <v>41.087400406470017</v>
      </c>
      <c r="L64" s="29"/>
      <c r="M64" s="8">
        <f t="shared" si="12"/>
        <v>40698.884673283195</v>
      </c>
      <c r="N64" s="8">
        <f>M64*((1.01325/Constants!$B$13)*(SQRT(Constants!$E$13/293)))</f>
        <v>40953.816042810235</v>
      </c>
      <c r="O64" s="3">
        <f t="shared" si="5"/>
        <v>40.953816042810232</v>
      </c>
      <c r="Q64" s="7">
        <f t="shared" si="13"/>
        <v>0.30315856248955431</v>
      </c>
      <c r="R64" s="3">
        <f t="shared" si="6"/>
        <v>303.1585624895543</v>
      </c>
      <c r="S64" s="31"/>
      <c r="T64" s="63">
        <f>F64*(Constants!$O$13*10^3)</f>
        <v>538720960.49999988</v>
      </c>
      <c r="U64" s="3">
        <f t="shared" si="7"/>
        <v>538.72096049999982</v>
      </c>
      <c r="V64" s="31"/>
      <c r="W64" s="64">
        <f t="shared" si="8"/>
        <v>147433737.75411683</v>
      </c>
      <c r="X64" s="3">
        <f t="shared" si="9"/>
        <v>147.43373775411683</v>
      </c>
      <c r="Y64" s="31"/>
      <c r="Z64" s="3">
        <f t="shared" si="10"/>
        <v>0.27367366143927285</v>
      </c>
      <c r="AA64" s="12">
        <f t="shared" si="11"/>
        <v>0.27367366143927285</v>
      </c>
      <c r="AB64" s="58"/>
      <c r="AC64" s="12">
        <f>O64/(G64*Constants!$O$13)</f>
        <v>0.2736736614392728</v>
      </c>
    </row>
    <row r="65" spans="2:29" x14ac:dyDescent="0.2">
      <c r="B65" s="1">
        <f t="shared" si="14"/>
        <v>3950</v>
      </c>
      <c r="C65" s="1">
        <v>121.184</v>
      </c>
      <c r="E65" s="1">
        <v>0.28284999999999999</v>
      </c>
      <c r="F65" s="1">
        <f t="shared" si="3"/>
        <v>12.728249999999999</v>
      </c>
      <c r="G65" s="1">
        <f t="shared" si="4"/>
        <v>3.5356249999999997E-3</v>
      </c>
      <c r="H65" s="7">
        <v>1.12259</v>
      </c>
      <c r="I65" s="61">
        <v>1</v>
      </c>
      <c r="J65" s="3">
        <f>C65*Constants!$F$13</f>
        <v>98.858998783999994</v>
      </c>
      <c r="K65" s="7">
        <f>J65*B65/Constants!$H$13</f>
        <v>41.282698509017862</v>
      </c>
      <c r="L65" s="29"/>
      <c r="M65" s="8">
        <f t="shared" si="12"/>
        <v>40892.336068939134</v>
      </c>
      <c r="N65" s="8">
        <f>M65*((1.01325/Constants!$B$13)*(SQRT(Constants!$E$13/293)))</f>
        <v>41148.479187378398</v>
      </c>
      <c r="O65" s="3">
        <f t="shared" si="5"/>
        <v>41.148479187378399</v>
      </c>
      <c r="Q65" s="7">
        <f t="shared" si="13"/>
        <v>0.3093249192039198</v>
      </c>
      <c r="R65" s="3">
        <f t="shared" si="6"/>
        <v>309.32491920391982</v>
      </c>
      <c r="S65" s="31"/>
      <c r="T65" s="63">
        <f>F65*(Constants!$O$13*10^3)</f>
        <v>552291495.75</v>
      </c>
      <c r="U65" s="3">
        <f t="shared" si="7"/>
        <v>552.29149574999997</v>
      </c>
      <c r="V65" s="31"/>
      <c r="W65" s="64">
        <f t="shared" si="8"/>
        <v>148134525.07456222</v>
      </c>
      <c r="X65" s="3">
        <f t="shared" si="9"/>
        <v>148.13452507456222</v>
      </c>
      <c r="Y65" s="31"/>
      <c r="Z65" s="3">
        <f t="shared" si="10"/>
        <v>0.26821800845113269</v>
      </c>
      <c r="AA65" s="12">
        <f t="shared" si="11"/>
        <v>0.26821800845113269</v>
      </c>
      <c r="AB65" s="58"/>
      <c r="AC65" s="12">
        <f>O65/(G65*Constants!$O$13)</f>
        <v>0.26821800845113275</v>
      </c>
    </row>
    <row r="66" spans="2:29" x14ac:dyDescent="0.2">
      <c r="B66" s="1">
        <f t="shared" si="14"/>
        <v>4000</v>
      </c>
      <c r="C66" s="1">
        <v>120.004</v>
      </c>
      <c r="E66" s="1">
        <v>0.28455000000000003</v>
      </c>
      <c r="F66" s="1">
        <f t="shared" si="3"/>
        <v>12.80475</v>
      </c>
      <c r="G66" s="1">
        <f t="shared" si="4"/>
        <v>3.5568750000000001E-3</v>
      </c>
      <c r="H66" s="7">
        <v>1.1246100000000001</v>
      </c>
      <c r="I66" s="61">
        <v>1</v>
      </c>
      <c r="J66" s="3">
        <f>C66*Constants!$F$13</f>
        <v>97.896383103999995</v>
      </c>
      <c r="K66" s="7">
        <f>J66*B66/Constants!$H$13</f>
        <v>41.398195624907494</v>
      </c>
      <c r="L66" s="29"/>
      <c r="M66" s="8">
        <f t="shared" si="12"/>
        <v>41006.741063005109</v>
      </c>
      <c r="N66" s="8">
        <f>M66*((1.01325/Constants!$B$13)*(SQRT(Constants!$E$13/293)))</f>
        <v>41263.600796212864</v>
      </c>
      <c r="O66" s="3">
        <f t="shared" si="5"/>
        <v>41.263600796212863</v>
      </c>
      <c r="Q66" s="7">
        <f t="shared" si="13"/>
        <v>0.31031586562787822</v>
      </c>
      <c r="R66" s="3">
        <f t="shared" si="6"/>
        <v>310.31586562787822</v>
      </c>
      <c r="S66" s="31"/>
      <c r="T66" s="63">
        <f>F66*(Constants!$O$13*10^3)</f>
        <v>555610907.25</v>
      </c>
      <c r="U66" s="3">
        <f t="shared" si="7"/>
        <v>555.61090724999997</v>
      </c>
      <c r="V66" s="31"/>
      <c r="W66" s="64">
        <f t="shared" si="8"/>
        <v>148548962.8663663</v>
      </c>
      <c r="X66" s="3">
        <f t="shared" si="9"/>
        <v>148.54896286636628</v>
      </c>
      <c r="Y66" s="31"/>
      <c r="Z66" s="3">
        <f t="shared" si="10"/>
        <v>0.26736149511824814</v>
      </c>
      <c r="AA66" s="12">
        <f t="shared" si="11"/>
        <v>0.26736149511824814</v>
      </c>
      <c r="AB66" s="58"/>
      <c r="AC66" s="12">
        <f>O66/(G66*Constants!$O$13)</f>
        <v>0.26736149511824814</v>
      </c>
    </row>
    <row r="67" spans="2:29" x14ac:dyDescent="0.2">
      <c r="B67" s="1">
        <f t="shared" si="14"/>
        <v>4050</v>
      </c>
      <c r="C67" s="1">
        <v>118.73399999999999</v>
      </c>
      <c r="E67" s="1">
        <v>0.28710000000000002</v>
      </c>
      <c r="F67" s="1">
        <f t="shared" si="3"/>
        <v>12.919500000000001</v>
      </c>
      <c r="G67" s="1">
        <f t="shared" si="4"/>
        <v>3.5887500000000004E-3</v>
      </c>
      <c r="H67" s="7">
        <v>1.1222000000000001</v>
      </c>
      <c r="I67" s="61">
        <v>1</v>
      </c>
      <c r="J67" s="3">
        <f>C67*Constants!$F$13</f>
        <v>96.860347583999996</v>
      </c>
      <c r="K67" s="7">
        <f>J67*B67/Constants!$H$13</f>
        <v>41.472080316650803</v>
      </c>
      <c r="L67" s="29"/>
      <c r="M67" s="8">
        <f t="shared" si="12"/>
        <v>41079.927113196507</v>
      </c>
      <c r="N67" s="8">
        <f>M67*((1.01325/Constants!$B$13)*(SQRT(Constants!$E$13/293)))</f>
        <v>41337.24527223473</v>
      </c>
      <c r="O67" s="3">
        <f t="shared" si="5"/>
        <v>41.337245272234732</v>
      </c>
      <c r="Q67" s="7">
        <f t="shared" si="13"/>
        <v>0.31253896854800167</v>
      </c>
      <c r="R67" s="3">
        <f t="shared" si="6"/>
        <v>312.53896854800166</v>
      </c>
      <c r="S67" s="31"/>
      <c r="T67" s="63">
        <f>F67*(Constants!$O$13*10^3)</f>
        <v>560590024.5</v>
      </c>
      <c r="U67" s="3">
        <f t="shared" si="7"/>
        <v>560.59002450000003</v>
      </c>
      <c r="V67" s="31"/>
      <c r="W67" s="64">
        <f t="shared" si="8"/>
        <v>148814082.98004502</v>
      </c>
      <c r="X67" s="3">
        <f t="shared" si="9"/>
        <v>148.81408298004501</v>
      </c>
      <c r="Y67" s="31"/>
      <c r="Z67" s="3">
        <f t="shared" si="10"/>
        <v>0.2654597414800145</v>
      </c>
      <c r="AA67" s="12">
        <f t="shared" si="11"/>
        <v>0.2654597414800145</v>
      </c>
      <c r="AB67" s="58"/>
      <c r="AC67" s="12">
        <f>O67/(G67*Constants!$O$13)</f>
        <v>0.26545974148001455</v>
      </c>
    </row>
    <row r="68" spans="2:29" x14ac:dyDescent="0.2">
      <c r="B68" s="1">
        <f t="shared" si="14"/>
        <v>4100</v>
      </c>
      <c r="C68" s="1">
        <v>117.44199999999999</v>
      </c>
      <c r="E68" s="1">
        <v>0.28894999999999998</v>
      </c>
      <c r="F68" s="1">
        <f t="shared" si="3"/>
        <v>13.002749999999999</v>
      </c>
      <c r="G68" s="1">
        <f t="shared" si="4"/>
        <v>3.6118749999999996E-3</v>
      </c>
      <c r="H68" s="7">
        <v>1.1239399999999999</v>
      </c>
      <c r="I68" s="61">
        <v>1</v>
      </c>
      <c r="J68" s="3">
        <f>C68*Constants!$F$13</f>
        <v>95.806364991999985</v>
      </c>
      <c r="K68" s="7">
        <f>J68*B68/Constants!$H$13</f>
        <v>41.527232949275813</v>
      </c>
      <c r="L68" s="29"/>
      <c r="M68" s="8">
        <f t="shared" si="12"/>
        <v>41134.558231554627</v>
      </c>
      <c r="N68" s="8">
        <f>M68*((1.01325/Constants!$B$13)*(SQRT(Constants!$E$13/293)))</f>
        <v>41392.218591268218</v>
      </c>
      <c r="O68" s="3">
        <f t="shared" si="5"/>
        <v>41.392218591268218</v>
      </c>
      <c r="Q68" s="7">
        <f t="shared" si="13"/>
        <v>0.31413513076931227</v>
      </c>
      <c r="R68" s="3">
        <f t="shared" si="6"/>
        <v>314.13513076931224</v>
      </c>
      <c r="S68" s="31"/>
      <c r="T68" s="63">
        <f>F68*(Constants!$O$13*10^3)</f>
        <v>564202325.25</v>
      </c>
      <c r="U68" s="3">
        <f t="shared" si="7"/>
        <v>564.20232524999994</v>
      </c>
      <c r="V68" s="31"/>
      <c r="W68" s="64">
        <f t="shared" si="8"/>
        <v>149011986.92856559</v>
      </c>
      <c r="X68" s="3">
        <f t="shared" si="9"/>
        <v>149.01198692856559</v>
      </c>
      <c r="Y68" s="31"/>
      <c r="Z68" s="3">
        <f t="shared" si="10"/>
        <v>0.26411090536101189</v>
      </c>
      <c r="AA68" s="12">
        <f t="shared" si="11"/>
        <v>0.26411090536101189</v>
      </c>
      <c r="AB68" s="58"/>
      <c r="AC68" s="12">
        <f>O68/(G68*Constants!$O$13)</f>
        <v>0.26411090536101189</v>
      </c>
    </row>
    <row r="69" spans="2:29" x14ac:dyDescent="0.2">
      <c r="B69" s="1">
        <f t="shared" si="14"/>
        <v>4150</v>
      </c>
      <c r="C69" s="1">
        <v>116.5</v>
      </c>
      <c r="E69" s="1">
        <v>0.29304999999999998</v>
      </c>
      <c r="F69" s="1">
        <f t="shared" si="3"/>
        <v>13.187249999999999</v>
      </c>
      <c r="G69" s="1">
        <f t="shared" si="4"/>
        <v>3.6631249999999997E-3</v>
      </c>
      <c r="H69" s="7">
        <v>1.12233</v>
      </c>
      <c r="I69" s="61">
        <v>1</v>
      </c>
      <c r="J69" s="3">
        <f>C69*Constants!$F$13</f>
        <v>95.037903999999997</v>
      </c>
      <c r="K69" s="7">
        <f>J69*B69/Constants!$H$13</f>
        <v>41.696511428269375</v>
      </c>
      <c r="L69" s="29"/>
      <c r="M69" s="8">
        <f t="shared" si="12"/>
        <v>41302.236040957789</v>
      </c>
      <c r="N69" s="8">
        <f>M69*((1.01325/Constants!$B$13)*(SQRT(Constants!$E$13/293)))</f>
        <v>41560.946707920179</v>
      </c>
      <c r="O69" s="3">
        <f t="shared" si="5"/>
        <v>41.560946707920181</v>
      </c>
      <c r="Q69" s="7">
        <f t="shared" si="13"/>
        <v>0.31729907628612641</v>
      </c>
      <c r="R69" s="3">
        <f t="shared" si="6"/>
        <v>317.29907628612642</v>
      </c>
      <c r="S69" s="31"/>
      <c r="T69" s="63">
        <f>F69*(Constants!$O$13*10^3)</f>
        <v>572207964.75</v>
      </c>
      <c r="U69" s="3">
        <f t="shared" si="7"/>
        <v>572.20796474999997</v>
      </c>
      <c r="V69" s="31"/>
      <c r="W69" s="64">
        <f t="shared" si="8"/>
        <v>149619408.14851263</v>
      </c>
      <c r="X69" s="3">
        <f t="shared" si="9"/>
        <v>149.61940814851263</v>
      </c>
      <c r="Y69" s="31"/>
      <c r="Z69" s="3">
        <f t="shared" si="10"/>
        <v>0.26147732531804579</v>
      </c>
      <c r="AA69" s="12">
        <f t="shared" si="11"/>
        <v>0.26147732531804579</v>
      </c>
      <c r="AB69" s="58"/>
      <c r="AC69" s="12">
        <f>O69/(G69*Constants!$O$13)</f>
        <v>0.26147732531804585</v>
      </c>
    </row>
    <row r="70" spans="2:29" x14ac:dyDescent="0.2">
      <c r="B70" s="1">
        <f t="shared" si="14"/>
        <v>4200</v>
      </c>
      <c r="C70" s="1">
        <v>115.931</v>
      </c>
      <c r="E70" s="1">
        <v>0.2949</v>
      </c>
      <c r="F70" s="1">
        <f t="shared" si="3"/>
        <v>13.2705</v>
      </c>
      <c r="G70" s="1">
        <f t="shared" si="4"/>
        <v>3.6862499999999999E-3</v>
      </c>
      <c r="H70" s="7">
        <v>1.1217900000000001</v>
      </c>
      <c r="I70" s="61">
        <v>1</v>
      </c>
      <c r="J70" s="3">
        <f>C70*Constants!$F$13</f>
        <v>94.573727455999986</v>
      </c>
      <c r="K70" s="7">
        <f>J70*B70/Constants!$H$13</f>
        <v>41.992774639517911</v>
      </c>
      <c r="L70" s="29"/>
      <c r="M70" s="8">
        <f t="shared" ref="M70:M96" si="15">((J70*(2*PI())*B70/60))</f>
        <v>41595.697835772204</v>
      </c>
      <c r="N70" s="8">
        <f>M70*((1.01325/Constants!$B$13)*(SQRT(Constants!$E$13/293)))</f>
        <v>41856.246700951975</v>
      </c>
      <c r="O70" s="3">
        <f t="shared" si="5"/>
        <v>41.856246700951978</v>
      </c>
      <c r="Q70" s="7">
        <f t="shared" ref="Q70:Q96" si="16">F70/O70</f>
        <v>0.3170494501050945</v>
      </c>
      <c r="R70" s="3">
        <f t="shared" si="6"/>
        <v>317.04945010509448</v>
      </c>
      <c r="S70" s="31"/>
      <c r="T70" s="63">
        <f>F70*(Constants!$O$13*10^3)</f>
        <v>575820265.5</v>
      </c>
      <c r="U70" s="3">
        <f t="shared" si="7"/>
        <v>575.8202655</v>
      </c>
      <c r="V70" s="31"/>
      <c r="W70" s="64">
        <f t="shared" si="8"/>
        <v>150682488.12342712</v>
      </c>
      <c r="X70" s="3">
        <f t="shared" si="9"/>
        <v>150.68248812342711</v>
      </c>
      <c r="Y70" s="31"/>
      <c r="Z70" s="3">
        <f t="shared" si="10"/>
        <v>0.26168319726049499</v>
      </c>
      <c r="AA70" s="12">
        <f t="shared" si="11"/>
        <v>0.26168319726049499</v>
      </c>
      <c r="AB70" s="58"/>
      <c r="AC70" s="12">
        <f>O70/(G70*Constants!$O$13)</f>
        <v>0.26168319726049505</v>
      </c>
    </row>
    <row r="71" spans="2:29" x14ac:dyDescent="0.2">
      <c r="B71" s="1">
        <f t="shared" ref="B71:B96" si="17">B70+50</f>
        <v>4250</v>
      </c>
      <c r="C71" s="1">
        <v>115.03400000000001</v>
      </c>
      <c r="E71" s="1">
        <v>0.29715000000000003</v>
      </c>
      <c r="F71" s="1">
        <f t="shared" ref="F71:F96" si="18">(E71*0.75)*60</f>
        <v>13.37175</v>
      </c>
      <c r="G71" s="1">
        <f t="shared" ref="G71:G96" si="19">F71/3600</f>
        <v>3.7143750000000002E-3</v>
      </c>
      <c r="H71" s="7">
        <v>1.12456</v>
      </c>
      <c r="I71" s="61">
        <v>1</v>
      </c>
      <c r="J71" s="3">
        <f>C71*Constants!$F$13</f>
        <v>93.841976383999992</v>
      </c>
      <c r="K71" s="7">
        <f>J71*B71/Constants!$H$13</f>
        <v>42.163907350882752</v>
      </c>
      <c r="L71" s="29"/>
      <c r="M71" s="8">
        <f t="shared" si="15"/>
        <v>41765.212344228843</v>
      </c>
      <c r="N71" s="8">
        <f>M71*((1.01325/Constants!$B$13)*(SQRT(Constants!$E$13/293)))</f>
        <v>42026.823021449469</v>
      </c>
      <c r="O71" s="3">
        <f t="shared" ref="O71:O96" si="20">N71/1000</f>
        <v>42.026823021449466</v>
      </c>
      <c r="Q71" s="7">
        <f t="shared" si="16"/>
        <v>0.31817180168901621</v>
      </c>
      <c r="R71" s="3">
        <f t="shared" ref="R71:R96" si="21">Q71*1000</f>
        <v>318.17180168901621</v>
      </c>
      <c r="S71" s="31"/>
      <c r="T71" s="63">
        <f>F71*(Constants!$O$13*10^3)</f>
        <v>580213604.25</v>
      </c>
      <c r="U71" s="3">
        <f t="shared" ref="U71:U96" si="22">T71*10^-6</f>
        <v>580.21360425</v>
      </c>
      <c r="V71" s="31"/>
      <c r="W71" s="64">
        <f t="shared" ref="W71:W96" si="23">N71*3600</f>
        <v>151296562.8772181</v>
      </c>
      <c r="X71" s="3">
        <f t="shared" ref="X71:X96" si="24">W71*10^-6</f>
        <v>151.29656287721809</v>
      </c>
      <c r="Y71" s="31"/>
      <c r="Z71" s="3">
        <f t="shared" ref="Z71:Z96" si="25">X71/U71</f>
        <v>0.26076010932695759</v>
      </c>
      <c r="AA71" s="12">
        <f t="shared" ref="AA71:AA96" si="26">Z71</f>
        <v>0.26076010932695759</v>
      </c>
      <c r="AB71" s="58"/>
      <c r="AC71" s="12">
        <f>O71/(G71*Constants!$O$13)</f>
        <v>0.26076010932695753</v>
      </c>
    </row>
    <row r="72" spans="2:29" x14ac:dyDescent="0.2">
      <c r="B72" s="1">
        <f t="shared" si="17"/>
        <v>4300</v>
      </c>
      <c r="C72" s="1">
        <v>114.39100000000001</v>
      </c>
      <c r="E72" s="1">
        <v>0.30220000000000002</v>
      </c>
      <c r="F72" s="1">
        <f t="shared" si="18"/>
        <v>13.599</v>
      </c>
      <c r="G72" s="1">
        <f t="shared" si="19"/>
        <v>3.7775E-3</v>
      </c>
      <c r="H72" s="7">
        <v>1.1227799999999999</v>
      </c>
      <c r="I72" s="61">
        <v>1</v>
      </c>
      <c r="J72" s="3">
        <f>C72*Constants!$F$13</f>
        <v>93.317432416000003</v>
      </c>
      <c r="K72" s="7">
        <f>J72*B72/Constants!$H$13</f>
        <v>42.42149903676922</v>
      </c>
      <c r="L72" s="29"/>
      <c r="M72" s="8">
        <f t="shared" si="15"/>
        <v>42020.368285295357</v>
      </c>
      <c r="N72" s="8">
        <f>M72*((1.01325/Constants!$B$13)*(SQRT(Constants!$E$13/293)))</f>
        <v>42283.577218930659</v>
      </c>
      <c r="O72" s="3">
        <f t="shared" si="20"/>
        <v>42.28357721893066</v>
      </c>
      <c r="Q72" s="7">
        <f t="shared" si="16"/>
        <v>0.32161422695125308</v>
      </c>
      <c r="R72" s="3">
        <f t="shared" si="21"/>
        <v>321.6142269512531</v>
      </c>
      <c r="S72" s="31"/>
      <c r="T72" s="63">
        <f>F72*(Constants!$O$13*10^3)</f>
        <v>590074209</v>
      </c>
      <c r="U72" s="3">
        <f t="shared" si="22"/>
        <v>590.074209</v>
      </c>
      <c r="V72" s="31"/>
      <c r="W72" s="64">
        <f t="shared" si="23"/>
        <v>152220877.98815036</v>
      </c>
      <c r="X72" s="3">
        <f t="shared" si="24"/>
        <v>152.22087798815036</v>
      </c>
      <c r="Y72" s="31"/>
      <c r="Z72" s="3">
        <f t="shared" si="25"/>
        <v>0.25796904129417791</v>
      </c>
      <c r="AA72" s="12">
        <f t="shared" si="26"/>
        <v>0.25796904129417791</v>
      </c>
      <c r="AB72" s="58"/>
      <c r="AC72" s="12">
        <f>O72/(G72*Constants!$O$13)</f>
        <v>0.25796904129417791</v>
      </c>
    </row>
    <row r="73" spans="2:29" x14ac:dyDescent="0.2">
      <c r="B73" s="1">
        <f t="shared" si="17"/>
        <v>4350</v>
      </c>
      <c r="C73" s="1">
        <v>114.01600000000001</v>
      </c>
      <c r="E73" s="1">
        <v>0.30604999999999999</v>
      </c>
      <c r="F73" s="1">
        <f t="shared" si="18"/>
        <v>13.77225</v>
      </c>
      <c r="G73" s="1">
        <f t="shared" si="19"/>
        <v>3.825625E-3</v>
      </c>
      <c r="H73" s="7">
        <v>1.1194299999999999</v>
      </c>
      <c r="I73" s="61">
        <v>1</v>
      </c>
      <c r="J73" s="3">
        <f>C73*Constants!$F$13</f>
        <v>93.011516415999992</v>
      </c>
      <c r="K73" s="7">
        <f>J73*B73/Constants!$H$13</f>
        <v>42.774087790421817</v>
      </c>
      <c r="L73" s="29"/>
      <c r="M73" s="8">
        <f t="shared" si="15"/>
        <v>42369.623017404047</v>
      </c>
      <c r="N73" s="8">
        <f>M73*((1.01325/Constants!$B$13)*(SQRT(Constants!$E$13/293)))</f>
        <v>42635.019627381953</v>
      </c>
      <c r="O73" s="3">
        <f t="shared" si="20"/>
        <v>42.635019627381951</v>
      </c>
      <c r="Q73" s="7">
        <f t="shared" si="16"/>
        <v>0.32302670716152077</v>
      </c>
      <c r="R73" s="3">
        <f t="shared" si="21"/>
        <v>323.02670716152079</v>
      </c>
      <c r="S73" s="31"/>
      <c r="T73" s="63">
        <f>F73*(Constants!$O$13*10^3)</f>
        <v>597591699.75</v>
      </c>
      <c r="U73" s="3">
        <f t="shared" si="22"/>
        <v>597.59169974999998</v>
      </c>
      <c r="V73" s="31"/>
      <c r="W73" s="64">
        <f t="shared" si="23"/>
        <v>153486070.65857503</v>
      </c>
      <c r="X73" s="3">
        <f t="shared" si="24"/>
        <v>153.48607065857502</v>
      </c>
      <c r="Y73" s="31"/>
      <c r="Z73" s="3">
        <f t="shared" si="25"/>
        <v>0.25684103497887484</v>
      </c>
      <c r="AA73" s="12">
        <f t="shared" si="26"/>
        <v>0.25684103497887484</v>
      </c>
      <c r="AB73" s="58"/>
      <c r="AC73" s="12">
        <f>O73/(G73*Constants!$O$13)</f>
        <v>0.25684103497887484</v>
      </c>
    </row>
    <row r="74" spans="2:29" x14ac:dyDescent="0.2">
      <c r="B74" s="1">
        <f t="shared" si="17"/>
        <v>4400</v>
      </c>
      <c r="C74" s="1">
        <v>113.871</v>
      </c>
      <c r="E74" s="1">
        <v>0.30919999999999997</v>
      </c>
      <c r="F74" s="1">
        <f t="shared" si="18"/>
        <v>13.914</v>
      </c>
      <c r="G74" s="1">
        <f t="shared" si="19"/>
        <v>3.8649999999999999E-3</v>
      </c>
      <c r="H74" s="7">
        <v>1.1198600000000001</v>
      </c>
      <c r="I74" s="61">
        <v>1</v>
      </c>
      <c r="J74" s="3">
        <f>C74*Constants!$F$13</f>
        <v>92.893228895999997</v>
      </c>
      <c r="K74" s="7">
        <f>J74*B74/Constants!$H$13</f>
        <v>43.210720704345064</v>
      </c>
      <c r="L74" s="29"/>
      <c r="M74" s="8">
        <f t="shared" si="15"/>
        <v>42802.127201959942</v>
      </c>
      <c r="N74" s="8">
        <f>M74*((1.01325/Constants!$B$13)*(SQRT(Constants!$E$13/293)))</f>
        <v>43070.232949669269</v>
      </c>
      <c r="O74" s="3">
        <f t="shared" si="20"/>
        <v>43.070232949669268</v>
      </c>
      <c r="Q74" s="7">
        <f t="shared" si="16"/>
        <v>0.32305374378307938</v>
      </c>
      <c r="R74" s="3">
        <f t="shared" si="21"/>
        <v>323.05374378307937</v>
      </c>
      <c r="S74" s="31"/>
      <c r="T74" s="63">
        <f>F74*(Constants!$O$13*10^3)</f>
        <v>603742374</v>
      </c>
      <c r="U74" s="3">
        <f t="shared" si="22"/>
        <v>603.74237399999993</v>
      </c>
      <c r="V74" s="31"/>
      <c r="W74" s="64">
        <f t="shared" si="23"/>
        <v>155052838.61880937</v>
      </c>
      <c r="X74" s="3">
        <f t="shared" si="24"/>
        <v>155.05283861880937</v>
      </c>
      <c r="Y74" s="31"/>
      <c r="Z74" s="3">
        <f t="shared" si="25"/>
        <v>0.25681953975092264</v>
      </c>
      <c r="AA74" s="12">
        <f t="shared" si="26"/>
        <v>0.25681953975092264</v>
      </c>
      <c r="AB74" s="58"/>
      <c r="AC74" s="12">
        <f>O74/(G74*Constants!$O$13)</f>
        <v>0.25681953975092259</v>
      </c>
    </row>
    <row r="75" spans="2:29" x14ac:dyDescent="0.2">
      <c r="B75" s="1">
        <f t="shared" si="17"/>
        <v>4450</v>
      </c>
      <c r="C75" s="1">
        <v>113.985</v>
      </c>
      <c r="E75" s="1">
        <v>0.30990000000000001</v>
      </c>
      <c r="F75" s="1">
        <f t="shared" si="18"/>
        <v>13.945499999999999</v>
      </c>
      <c r="G75" s="1">
        <f t="shared" si="19"/>
        <v>3.8737499999999996E-3</v>
      </c>
      <c r="H75" s="7">
        <v>1.11873</v>
      </c>
      <c r="I75" s="61">
        <v>1</v>
      </c>
      <c r="J75" s="3">
        <f>C75*Constants!$F$13</f>
        <v>92.986227359999987</v>
      </c>
      <c r="K75" s="7">
        <f>J75*B75/Constants!$H$13</f>
        <v>43.74550288106564</v>
      </c>
      <c r="L75" s="29"/>
      <c r="M75" s="8">
        <f t="shared" si="15"/>
        <v>43331.852565948924</v>
      </c>
      <c r="N75" s="8">
        <f>M75*((1.01325/Constants!$B$13)*(SQRT(Constants!$E$13/293)))</f>
        <v>43603.276429464102</v>
      </c>
      <c r="O75" s="3">
        <f t="shared" si="20"/>
        <v>43.603276429464103</v>
      </c>
      <c r="Q75" s="7">
        <f t="shared" si="16"/>
        <v>0.31982688325175002</v>
      </c>
      <c r="R75" s="3">
        <f t="shared" si="21"/>
        <v>319.82688325175002</v>
      </c>
      <c r="S75" s="31"/>
      <c r="T75" s="63">
        <f>F75*(Constants!$O$13*10^3)</f>
        <v>605109190.5</v>
      </c>
      <c r="U75" s="3">
        <f t="shared" si="22"/>
        <v>605.10919049999995</v>
      </c>
      <c r="V75" s="31"/>
      <c r="W75" s="64">
        <f t="shared" si="23"/>
        <v>156971795.14607078</v>
      </c>
      <c r="X75" s="3">
        <f t="shared" si="24"/>
        <v>156.97179514607078</v>
      </c>
      <c r="Y75" s="31"/>
      <c r="Z75" s="3">
        <f t="shared" si="25"/>
        <v>0.25941069415317497</v>
      </c>
      <c r="AA75" s="12">
        <f t="shared" si="26"/>
        <v>0.25941069415317497</v>
      </c>
      <c r="AB75" s="58"/>
      <c r="AC75" s="12">
        <f>O75/(G75*Constants!$O$13)</f>
        <v>0.25941069415317497</v>
      </c>
    </row>
    <row r="76" spans="2:29" x14ac:dyDescent="0.2">
      <c r="B76" s="1">
        <f t="shared" si="17"/>
        <v>4500</v>
      </c>
      <c r="C76" s="1">
        <v>113.306</v>
      </c>
      <c r="E76" s="1">
        <v>0.31445000000000001</v>
      </c>
      <c r="F76" s="1">
        <f t="shared" si="18"/>
        <v>14.15025</v>
      </c>
      <c r="G76" s="1">
        <f t="shared" si="19"/>
        <v>3.9306250000000001E-3</v>
      </c>
      <c r="H76" s="7">
        <v>1.1156299999999999</v>
      </c>
      <c r="I76" s="61">
        <v>1</v>
      </c>
      <c r="J76" s="3">
        <f>C76*Constants!$F$13</f>
        <v>92.432315455999998</v>
      </c>
      <c r="K76" s="7">
        <f>J76*B76/Constants!$H$13</f>
        <v>43.973508780209322</v>
      </c>
      <c r="L76" s="29"/>
      <c r="M76" s="8">
        <f t="shared" si="15"/>
        <v>43557.702478629581</v>
      </c>
      <c r="N76" s="8">
        <f>M76*((1.01325/Constants!$B$13)*(SQRT(Constants!$E$13/293)))</f>
        <v>43830.541030237793</v>
      </c>
      <c r="O76" s="3">
        <f t="shared" si="20"/>
        <v>43.830541030237796</v>
      </c>
      <c r="Q76" s="7">
        <f t="shared" si="16"/>
        <v>0.32283995742233779</v>
      </c>
      <c r="R76" s="3">
        <f t="shared" si="21"/>
        <v>322.83995742233776</v>
      </c>
      <c r="S76" s="31"/>
      <c r="T76" s="63">
        <f>F76*(Constants!$O$13*10^3)</f>
        <v>613993497.75</v>
      </c>
      <c r="U76" s="3">
        <f t="shared" si="22"/>
        <v>613.99349774999996</v>
      </c>
      <c r="V76" s="31"/>
      <c r="W76" s="64">
        <f t="shared" si="23"/>
        <v>157789947.70885605</v>
      </c>
      <c r="X76" s="3">
        <f t="shared" si="24"/>
        <v>157.78994770885603</v>
      </c>
      <c r="Y76" s="31"/>
      <c r="Z76" s="3">
        <f t="shared" si="25"/>
        <v>0.25698960703506252</v>
      </c>
      <c r="AA76" s="12">
        <f t="shared" si="26"/>
        <v>0.25698960703506252</v>
      </c>
      <c r="AB76" s="58"/>
      <c r="AC76" s="12">
        <f>O76/(G76*Constants!$O$13)</f>
        <v>0.25698960703506257</v>
      </c>
    </row>
    <row r="77" spans="2:29" x14ac:dyDescent="0.2">
      <c r="B77" s="1">
        <f t="shared" si="17"/>
        <v>4550</v>
      </c>
      <c r="C77" s="1">
        <v>113.074</v>
      </c>
      <c r="E77" s="1">
        <v>0.31709999999999999</v>
      </c>
      <c r="F77" s="1">
        <f t="shared" si="18"/>
        <v>14.269500000000001</v>
      </c>
      <c r="G77" s="1">
        <f t="shared" si="19"/>
        <v>3.9637500000000003E-3</v>
      </c>
      <c r="H77" s="7">
        <v>1.1095299999999999</v>
      </c>
      <c r="I77" s="61">
        <v>1</v>
      </c>
      <c r="J77" s="3">
        <f>C77*Constants!$F$13</f>
        <v>92.243055423999991</v>
      </c>
      <c r="K77" s="7">
        <f>J77*B77/Constants!$H$13</f>
        <v>44.371064824949777</v>
      </c>
      <c r="L77" s="29"/>
      <c r="M77" s="8">
        <f t="shared" si="15"/>
        <v>43951.4992984817</v>
      </c>
      <c r="N77" s="8">
        <f>M77*((1.01325/Constants!$B$13)*(SQRT(Constants!$E$13/293)))</f>
        <v>44226.804531017566</v>
      </c>
      <c r="O77" s="3">
        <f t="shared" si="20"/>
        <v>44.226804531017564</v>
      </c>
      <c r="Q77" s="7">
        <f t="shared" si="16"/>
        <v>0.32264370332232301</v>
      </c>
      <c r="R77" s="3">
        <f t="shared" si="21"/>
        <v>322.64370332232301</v>
      </c>
      <c r="S77" s="31"/>
      <c r="T77" s="63">
        <f>F77*(Constants!$O$13*10^3)</f>
        <v>619167874.5</v>
      </c>
      <c r="U77" s="3">
        <f t="shared" si="22"/>
        <v>619.16787449999993</v>
      </c>
      <c r="V77" s="31"/>
      <c r="W77" s="64">
        <f t="shared" si="23"/>
        <v>159216496.31166324</v>
      </c>
      <c r="X77" s="3">
        <f t="shared" si="24"/>
        <v>159.21649631166324</v>
      </c>
      <c r="Y77" s="31"/>
      <c r="Z77" s="3">
        <f t="shared" si="25"/>
        <v>0.25714592579635404</v>
      </c>
      <c r="AA77" s="12">
        <f t="shared" si="26"/>
        <v>0.25714592579635404</v>
      </c>
      <c r="AB77" s="58"/>
      <c r="AC77" s="12">
        <f>O77/(G77*Constants!$O$13)</f>
        <v>0.25714592579635398</v>
      </c>
    </row>
    <row r="78" spans="2:29" x14ac:dyDescent="0.2">
      <c r="B78" s="1">
        <f t="shared" si="17"/>
        <v>4600</v>
      </c>
      <c r="C78" s="1">
        <v>112.19499999999999</v>
      </c>
      <c r="E78" s="1">
        <v>0.31940000000000002</v>
      </c>
      <c r="F78" s="1">
        <f t="shared" si="18"/>
        <v>14.373000000000001</v>
      </c>
      <c r="G78" s="1">
        <f t="shared" si="19"/>
        <v>3.9925000000000004E-3</v>
      </c>
      <c r="H78" s="7">
        <v>1.1056900000000001</v>
      </c>
      <c r="I78" s="61">
        <v>1</v>
      </c>
      <c r="J78" s="3">
        <f>C78*Constants!$F$13</f>
        <v>91.525988319999982</v>
      </c>
      <c r="K78" s="7">
        <f>J78*B78/Constants!$H$13</f>
        <v>44.509942517390833</v>
      </c>
      <c r="L78" s="29"/>
      <c r="M78" s="8">
        <f t="shared" si="15"/>
        <v>44089.063786194092</v>
      </c>
      <c r="N78" s="8">
        <f>M78*((1.01325/Constants!$B$13)*(SQRT(Constants!$E$13/293)))</f>
        <v>44365.230700899687</v>
      </c>
      <c r="O78" s="3">
        <f t="shared" si="20"/>
        <v>44.365230700899687</v>
      </c>
      <c r="Q78" s="7">
        <f t="shared" si="16"/>
        <v>0.32396991456889979</v>
      </c>
      <c r="R78" s="3">
        <f t="shared" si="21"/>
        <v>323.96991456889981</v>
      </c>
      <c r="S78" s="31"/>
      <c r="T78" s="63">
        <f>F78*(Constants!$O$13*10^3)</f>
        <v>623658843</v>
      </c>
      <c r="U78" s="3">
        <f t="shared" si="22"/>
        <v>623.65884299999993</v>
      </c>
      <c r="V78" s="31"/>
      <c r="W78" s="64">
        <f t="shared" si="23"/>
        <v>159714830.52323887</v>
      </c>
      <c r="X78" s="3">
        <f t="shared" si="24"/>
        <v>159.71483052323887</v>
      </c>
      <c r="Y78" s="31"/>
      <c r="Z78" s="3">
        <f t="shared" si="25"/>
        <v>0.25609326688123124</v>
      </c>
      <c r="AA78" s="12">
        <f t="shared" si="26"/>
        <v>0.25609326688123124</v>
      </c>
      <c r="AB78" s="58"/>
      <c r="AC78" s="12">
        <f>O78/(G78*Constants!$O$13)</f>
        <v>0.25609326688123119</v>
      </c>
    </row>
    <row r="79" spans="2:29" x14ac:dyDescent="0.2">
      <c r="B79" s="1">
        <f t="shared" si="17"/>
        <v>4650</v>
      </c>
      <c r="C79" s="1">
        <v>111.06100000000001</v>
      </c>
      <c r="E79" s="1">
        <v>0.32055</v>
      </c>
      <c r="F79" s="1">
        <f t="shared" si="18"/>
        <v>14.42475</v>
      </c>
      <c r="G79" s="1">
        <f t="shared" si="19"/>
        <v>4.006875E-3</v>
      </c>
      <c r="H79" s="7">
        <v>1.09782</v>
      </c>
      <c r="I79" s="61">
        <v>1</v>
      </c>
      <c r="J79" s="3">
        <f>C79*Constants!$F$13</f>
        <v>90.600898336</v>
      </c>
      <c r="K79" s="7">
        <f>J79*B79/Constants!$H$13</f>
        <v>44.538976346590545</v>
      </c>
      <c r="L79" s="29"/>
      <c r="M79" s="8">
        <f t="shared" si="15"/>
        <v>44117.82307625706</v>
      </c>
      <c r="N79" s="8">
        <f>M79*((1.01325/Constants!$B$13)*(SQRT(Constants!$E$13/293)))</f>
        <v>44394.170134601998</v>
      </c>
      <c r="O79" s="3">
        <f t="shared" si="20"/>
        <v>44.394170134602</v>
      </c>
      <c r="Q79" s="7">
        <f t="shared" si="16"/>
        <v>0.32492442039719455</v>
      </c>
      <c r="R79" s="3">
        <f t="shared" si="21"/>
        <v>324.92442039719452</v>
      </c>
      <c r="S79" s="31"/>
      <c r="T79" s="63">
        <f>F79*(Constants!$O$13*10^3)</f>
        <v>625904327.25</v>
      </c>
      <c r="U79" s="3">
        <f t="shared" si="22"/>
        <v>625.90432724999994</v>
      </c>
      <c r="V79" s="31"/>
      <c r="W79" s="64">
        <f t="shared" si="23"/>
        <v>159819012.4845672</v>
      </c>
      <c r="X79" s="3">
        <f t="shared" si="24"/>
        <v>159.8190124845672</v>
      </c>
      <c r="Y79" s="31"/>
      <c r="Z79" s="3">
        <f t="shared" si="25"/>
        <v>0.255340961112627</v>
      </c>
      <c r="AA79" s="12">
        <f t="shared" si="26"/>
        <v>0.255340961112627</v>
      </c>
      <c r="AB79" s="58"/>
      <c r="AC79" s="12">
        <f>O79/(G79*Constants!$O$13)</f>
        <v>0.25534096111262694</v>
      </c>
    </row>
    <row r="80" spans="2:29" x14ac:dyDescent="0.2">
      <c r="B80" s="1">
        <f t="shared" si="17"/>
        <v>4700</v>
      </c>
      <c r="C80" s="1">
        <v>109.973</v>
      </c>
      <c r="E80" s="1">
        <v>0.32069999999999999</v>
      </c>
      <c r="F80" s="1">
        <f t="shared" si="18"/>
        <v>14.4315</v>
      </c>
      <c r="G80" s="1">
        <f t="shared" si="19"/>
        <v>4.0087500000000002E-3</v>
      </c>
      <c r="H80" s="7">
        <v>1.09558</v>
      </c>
      <c r="I80" s="61">
        <v>1</v>
      </c>
      <c r="J80" s="3">
        <f>C80*Constants!$F$13</f>
        <v>89.713334047999993</v>
      </c>
      <c r="K80" s="7">
        <f>J80*B80/Constants!$H$13</f>
        <v>44.576875993825979</v>
      </c>
      <c r="L80" s="29"/>
      <c r="M80" s="8">
        <f t="shared" si="15"/>
        <v>44155.364350631535</v>
      </c>
      <c r="N80" s="8">
        <f>M80*((1.01325/Constants!$B$13)*(SQRT(Constants!$E$13/293)))</f>
        <v>44431.946561575052</v>
      </c>
      <c r="O80" s="3">
        <f t="shared" si="20"/>
        <v>44.431946561575053</v>
      </c>
      <c r="Q80" s="7">
        <f t="shared" si="16"/>
        <v>0.32480008455178566</v>
      </c>
      <c r="R80" s="3">
        <f t="shared" si="21"/>
        <v>324.80008455178569</v>
      </c>
      <c r="S80" s="31"/>
      <c r="T80" s="63">
        <f>F80*(Constants!$O$13*10^3)</f>
        <v>626197216.5</v>
      </c>
      <c r="U80" s="3">
        <f t="shared" si="22"/>
        <v>626.19721649999997</v>
      </c>
      <c r="V80" s="31"/>
      <c r="W80" s="64">
        <f t="shared" si="23"/>
        <v>159955007.62167019</v>
      </c>
      <c r="X80" s="3">
        <f t="shared" si="24"/>
        <v>159.95500762167018</v>
      </c>
      <c r="Y80" s="31"/>
      <c r="Z80" s="3">
        <f t="shared" si="25"/>
        <v>0.25543870749810366</v>
      </c>
      <c r="AA80" s="12">
        <f t="shared" si="26"/>
        <v>0.25543870749810366</v>
      </c>
      <c r="AB80" s="58"/>
      <c r="AC80" s="12">
        <f>O80/(G80*Constants!$O$13)</f>
        <v>0.25543870749810366</v>
      </c>
    </row>
    <row r="81" spans="2:29" x14ac:dyDescent="0.2">
      <c r="B81" s="1">
        <f t="shared" si="17"/>
        <v>4750</v>
      </c>
      <c r="C81" s="1">
        <v>108.654</v>
      </c>
      <c r="E81" s="1">
        <v>0.32485000000000003</v>
      </c>
      <c r="F81" s="1">
        <f t="shared" si="18"/>
        <v>14.61825</v>
      </c>
      <c r="G81" s="1">
        <f t="shared" si="19"/>
        <v>4.060625E-3</v>
      </c>
      <c r="H81" s="7">
        <v>1.0882700000000001</v>
      </c>
      <c r="I81" s="61">
        <v>1</v>
      </c>
      <c r="J81" s="3">
        <f>C81*Constants!$F$13</f>
        <v>88.637325503999989</v>
      </c>
      <c r="K81" s="7">
        <f>J81*B81/Constants!$H$13</f>
        <v>44.510761829368853</v>
      </c>
      <c r="L81" s="29"/>
      <c r="M81" s="8">
        <f t="shared" si="15"/>
        <v>44089.875350892151</v>
      </c>
      <c r="N81" s="8">
        <f>M81*((1.01325/Constants!$B$13)*(SQRT(Constants!$E$13/293)))</f>
        <v>44366.047349110515</v>
      </c>
      <c r="O81" s="3">
        <f t="shared" si="20"/>
        <v>44.366047349110517</v>
      </c>
      <c r="Q81" s="7">
        <f t="shared" si="16"/>
        <v>0.32949182704898045</v>
      </c>
      <c r="R81" s="3">
        <f t="shared" si="21"/>
        <v>329.49182704898044</v>
      </c>
      <c r="S81" s="31"/>
      <c r="T81" s="63">
        <f>F81*(Constants!$O$13*10^3)</f>
        <v>634300485.75</v>
      </c>
      <c r="U81" s="3">
        <f t="shared" si="22"/>
        <v>634.30048575000001</v>
      </c>
      <c r="V81" s="31"/>
      <c r="W81" s="64">
        <f t="shared" si="23"/>
        <v>159717770.45679787</v>
      </c>
      <c r="X81" s="3">
        <f t="shared" si="24"/>
        <v>159.71777045679787</v>
      </c>
      <c r="Y81" s="31"/>
      <c r="Z81" s="3">
        <f t="shared" si="25"/>
        <v>0.25180143172671038</v>
      </c>
      <c r="AA81" s="12">
        <f t="shared" si="26"/>
        <v>0.25180143172671038</v>
      </c>
      <c r="AB81" s="58"/>
      <c r="AC81" s="12">
        <f>O81/(G81*Constants!$O$13)</f>
        <v>0.25180143172671038</v>
      </c>
    </row>
    <row r="82" spans="2:29" x14ac:dyDescent="0.2">
      <c r="B82" s="1">
        <f t="shared" si="17"/>
        <v>4800</v>
      </c>
      <c r="C82" s="1">
        <v>107.07599999999999</v>
      </c>
      <c r="E82" s="1">
        <v>0.32455000000000001</v>
      </c>
      <c r="F82" s="1">
        <f t="shared" si="18"/>
        <v>14.604750000000001</v>
      </c>
      <c r="G82" s="1">
        <f t="shared" si="19"/>
        <v>4.0568750000000006E-3</v>
      </c>
      <c r="H82" s="7">
        <v>1.08396</v>
      </c>
      <c r="I82" s="61">
        <v>1</v>
      </c>
      <c r="J82" s="3">
        <f>C82*Constants!$F$13</f>
        <v>87.350030975999985</v>
      </c>
      <c r="K82" s="7">
        <f>J82*B82/Constants!$H$13</f>
        <v>44.32605441217887</v>
      </c>
      <c r="L82" s="29"/>
      <c r="M82" s="8">
        <f t="shared" si="15"/>
        <v>43906.914496806785</v>
      </c>
      <c r="N82" s="8">
        <f>M82*((1.01325/Constants!$B$13)*(SQRT(Constants!$E$13/293)))</f>
        <v>44181.940457204306</v>
      </c>
      <c r="O82" s="3">
        <f t="shared" si="20"/>
        <v>44.181940457204306</v>
      </c>
      <c r="Q82" s="7">
        <f t="shared" si="16"/>
        <v>0.33055927034591237</v>
      </c>
      <c r="R82" s="3">
        <f t="shared" si="21"/>
        <v>330.55927034591235</v>
      </c>
      <c r="S82" s="31"/>
      <c r="T82" s="63">
        <f>F82*(Constants!$O$13*10^3)</f>
        <v>633714707.25</v>
      </c>
      <c r="U82" s="3">
        <f t="shared" si="22"/>
        <v>633.71470724999995</v>
      </c>
      <c r="V82" s="31"/>
      <c r="W82" s="64">
        <f t="shared" si="23"/>
        <v>159054985.64593551</v>
      </c>
      <c r="X82" s="3">
        <f t="shared" si="24"/>
        <v>159.05498564593549</v>
      </c>
      <c r="Y82" s="31"/>
      <c r="Z82" s="3">
        <f t="shared" si="25"/>
        <v>0.25098831355225032</v>
      </c>
      <c r="AA82" s="12">
        <f t="shared" si="26"/>
        <v>0.25098831355225032</v>
      </c>
      <c r="AB82" s="58"/>
      <c r="AC82" s="12">
        <f>O82/(G82*Constants!$O$13)</f>
        <v>0.25098831355225026</v>
      </c>
    </row>
    <row r="83" spans="2:29" x14ac:dyDescent="0.2">
      <c r="B83" s="1">
        <f t="shared" si="17"/>
        <v>4850</v>
      </c>
      <c r="C83" s="1">
        <v>105.24</v>
      </c>
      <c r="E83" s="1">
        <v>0.32569999999999999</v>
      </c>
      <c r="F83" s="1">
        <f t="shared" si="18"/>
        <v>14.656499999999999</v>
      </c>
      <c r="G83" s="1">
        <f t="shared" si="19"/>
        <v>4.0712500000000002E-3</v>
      </c>
      <c r="H83" s="7">
        <v>1.0822099999999999</v>
      </c>
      <c r="I83" s="61">
        <v>1</v>
      </c>
      <c r="J83" s="3">
        <f>C83*Constants!$F$13</f>
        <v>85.852266239999992</v>
      </c>
      <c r="K83" s="7">
        <f>J83*B83/Constants!$H$13</f>
        <v>44.019821467808434</v>
      </c>
      <c r="L83" s="29"/>
      <c r="M83" s="8">
        <f t="shared" si="15"/>
        <v>43603.577241035069</v>
      </c>
      <c r="N83" s="8">
        <f>M83*((1.01325/Constants!$B$13)*(SQRT(Constants!$E$13/293)))</f>
        <v>43876.703144891399</v>
      </c>
      <c r="O83" s="3">
        <f t="shared" si="20"/>
        <v>43.876703144891401</v>
      </c>
      <c r="Q83" s="7">
        <f t="shared" si="16"/>
        <v>0.33403831531281464</v>
      </c>
      <c r="R83" s="3">
        <f t="shared" si="21"/>
        <v>334.03831531281463</v>
      </c>
      <c r="S83" s="31"/>
      <c r="T83" s="63">
        <f>F83*(Constants!$O$13*10^3)</f>
        <v>635960191.5</v>
      </c>
      <c r="U83" s="3">
        <f t="shared" si="22"/>
        <v>635.96019149999995</v>
      </c>
      <c r="V83" s="31"/>
      <c r="W83" s="64">
        <f t="shared" si="23"/>
        <v>157956131.32160902</v>
      </c>
      <c r="X83" s="3">
        <f t="shared" si="24"/>
        <v>157.95613132160901</v>
      </c>
      <c r="Y83" s="31"/>
      <c r="Z83" s="3">
        <f t="shared" si="25"/>
        <v>0.24837424328250429</v>
      </c>
      <c r="AA83" s="12">
        <f t="shared" si="26"/>
        <v>0.24837424328250429</v>
      </c>
      <c r="AB83" s="58"/>
      <c r="AC83" s="12">
        <f>O83/(G83*Constants!$O$13)</f>
        <v>0.24837424328250435</v>
      </c>
    </row>
    <row r="84" spans="2:29" x14ac:dyDescent="0.2">
      <c r="B84" s="1">
        <f t="shared" si="17"/>
        <v>4900</v>
      </c>
      <c r="C84" s="1">
        <v>103.63200000000001</v>
      </c>
      <c r="E84" s="1">
        <v>0.32769999999999999</v>
      </c>
      <c r="F84" s="3">
        <f t="shared" si="18"/>
        <v>14.746499999999999</v>
      </c>
      <c r="G84" s="1">
        <f t="shared" si="19"/>
        <v>4.0962500000000001E-3</v>
      </c>
      <c r="H84" s="7">
        <v>1.0846</v>
      </c>
      <c r="I84" s="61">
        <v>1</v>
      </c>
      <c r="J84" s="3">
        <f>C84*Constants!$F$13</f>
        <v>84.540498431999993</v>
      </c>
      <c r="K84" s="7">
        <f>J84*B84/Constants!$H$13</f>
        <v>43.794105330034881</v>
      </c>
      <c r="L84" s="29"/>
      <c r="M84" s="8">
        <f t="shared" si="15"/>
        <v>43379.995438115802</v>
      </c>
      <c r="N84" s="8">
        <f>M84*((1.01325/Constants!$B$13)*(SQRT(Constants!$E$13/293)))</f>
        <v>43651.720860959518</v>
      </c>
      <c r="O84" s="3">
        <f t="shared" si="20"/>
        <v>43.651720860959522</v>
      </c>
      <c r="Q84" s="7">
        <f t="shared" si="16"/>
        <v>0.33782173323638021</v>
      </c>
      <c r="R84" s="3">
        <f t="shared" si="21"/>
        <v>337.82173323638023</v>
      </c>
      <c r="S84" s="31"/>
      <c r="T84" s="63">
        <f>F84*(Constants!$O$13*10^3)</f>
        <v>639865381.5</v>
      </c>
      <c r="U84" s="3">
        <f t="shared" si="22"/>
        <v>639.86538150000001</v>
      </c>
      <c r="V84" s="31"/>
      <c r="W84" s="64">
        <f t="shared" si="23"/>
        <v>157146195.09945425</v>
      </c>
      <c r="X84" s="3">
        <f t="shared" si="24"/>
        <v>157.14619509945425</v>
      </c>
      <c r="Y84" s="31"/>
      <c r="Z84" s="3">
        <f t="shared" si="25"/>
        <v>0.24559258813324977</v>
      </c>
      <c r="AA84" s="12">
        <f t="shared" si="26"/>
        <v>0.24559258813324977</v>
      </c>
      <c r="AB84" s="58"/>
      <c r="AC84" s="12">
        <f>O84/(G84*Constants!$O$13)</f>
        <v>0.24559258813324983</v>
      </c>
    </row>
    <row r="85" spans="2:29" x14ac:dyDescent="0.2">
      <c r="B85" s="1">
        <f t="shared" si="17"/>
        <v>4950</v>
      </c>
      <c r="C85" s="1">
        <v>102.33499999999999</v>
      </c>
      <c r="E85" s="1">
        <v>0.32845000000000002</v>
      </c>
      <c r="F85" s="3">
        <f t="shared" si="18"/>
        <v>14.780250000000001</v>
      </c>
      <c r="G85" s="1">
        <f t="shared" si="19"/>
        <v>4.1056249999999999E-3</v>
      </c>
      <c r="H85" s="7">
        <v>1.08823</v>
      </c>
      <c r="I85" s="61">
        <v>1</v>
      </c>
      <c r="J85" s="3">
        <f>C85*Constants!$F$13</f>
        <v>83.482436959999987</v>
      </c>
      <c r="K85" s="7">
        <f>J85*B85/Constants!$H$13</f>
        <v>43.687288608943859</v>
      </c>
      <c r="L85" s="29"/>
      <c r="M85" s="8">
        <f t="shared" si="15"/>
        <v>43274.188758455988</v>
      </c>
      <c r="N85" s="8">
        <f>M85*((1.01325/Constants!$B$13)*(SQRT(Constants!$E$13/293)))</f>
        <v>43545.251425011236</v>
      </c>
      <c r="O85" s="3">
        <f t="shared" si="20"/>
        <v>43.545251425011237</v>
      </c>
      <c r="Q85" s="7">
        <f t="shared" si="16"/>
        <v>0.33942277323746528</v>
      </c>
      <c r="R85" s="3">
        <f t="shared" si="21"/>
        <v>339.42277323746526</v>
      </c>
      <c r="S85" s="31"/>
      <c r="T85" s="63">
        <f>F85*(Constants!$O$13*10^3)</f>
        <v>641329827.75</v>
      </c>
      <c r="U85" s="3">
        <f t="shared" si="22"/>
        <v>641.32982774999994</v>
      </c>
      <c r="V85" s="31"/>
      <c r="W85" s="64">
        <f t="shared" si="23"/>
        <v>156762905.13004044</v>
      </c>
      <c r="X85" s="3">
        <f t="shared" si="24"/>
        <v>156.76290513004042</v>
      </c>
      <c r="Y85" s="31"/>
      <c r="Z85" s="3">
        <f t="shared" si="25"/>
        <v>0.24443414035492042</v>
      </c>
      <c r="AA85" s="12">
        <f t="shared" si="26"/>
        <v>0.24443414035492042</v>
      </c>
      <c r="AB85" s="58"/>
      <c r="AC85" s="12">
        <f>O85/(G85*Constants!$O$13)</f>
        <v>0.24443414035492045</v>
      </c>
    </row>
    <row r="86" spans="2:29" x14ac:dyDescent="0.2">
      <c r="B86" s="1">
        <f t="shared" si="17"/>
        <v>5000</v>
      </c>
      <c r="C86" s="1">
        <v>101.10599999999999</v>
      </c>
      <c r="E86" s="1">
        <v>0.32869999999999999</v>
      </c>
      <c r="F86" s="3">
        <f t="shared" si="18"/>
        <v>14.791499999999999</v>
      </c>
      <c r="G86" s="1">
        <f t="shared" si="19"/>
        <v>4.1087499999999996E-3</v>
      </c>
      <c r="H86" s="7">
        <v>1.08687</v>
      </c>
      <c r="I86" s="61">
        <v>1</v>
      </c>
      <c r="J86" s="3">
        <f>C86*Constants!$F$13</f>
        <v>82.479848255999997</v>
      </c>
      <c r="K86" s="7">
        <f>J86*B86/Constants!$H$13</f>
        <v>43.598608867745</v>
      </c>
      <c r="L86" s="29"/>
      <c r="M86" s="8">
        <f t="shared" si="15"/>
        <v>43186.347558375084</v>
      </c>
      <c r="N86" s="8">
        <f>M86*((1.01325/Constants!$B$13)*(SQRT(Constants!$E$13/293)))</f>
        <v>43456.860001561385</v>
      </c>
      <c r="O86" s="3">
        <f t="shared" si="20"/>
        <v>43.456860001561388</v>
      </c>
      <c r="Q86" s="7">
        <f t="shared" si="16"/>
        <v>0.34037203791227777</v>
      </c>
      <c r="R86" s="3">
        <f t="shared" si="21"/>
        <v>340.37203791227779</v>
      </c>
      <c r="S86" s="31"/>
      <c r="T86" s="63">
        <f>F86*(Constants!$O$13*10^3)</f>
        <v>641817976.5</v>
      </c>
      <c r="U86" s="3">
        <f t="shared" si="22"/>
        <v>641.81797649999999</v>
      </c>
      <c r="V86" s="31"/>
      <c r="W86" s="64">
        <f t="shared" si="23"/>
        <v>156444696.00562099</v>
      </c>
      <c r="X86" s="3">
        <f t="shared" si="24"/>
        <v>156.44469600562098</v>
      </c>
      <c r="Y86" s="31"/>
      <c r="Z86" s="3">
        <f t="shared" si="25"/>
        <v>0.2437524371921686</v>
      </c>
      <c r="AA86" s="12">
        <f t="shared" si="26"/>
        <v>0.2437524371921686</v>
      </c>
      <c r="AB86" s="58"/>
      <c r="AC86" s="12">
        <f>O86/(G86*Constants!$O$13)</f>
        <v>0.24375243719216866</v>
      </c>
    </row>
    <row r="87" spans="2:29" x14ac:dyDescent="0.2">
      <c r="B87" s="1">
        <f t="shared" si="17"/>
        <v>5050</v>
      </c>
      <c r="C87" s="1">
        <v>99.314899999999994</v>
      </c>
      <c r="E87" s="1">
        <v>0.32984999999999998</v>
      </c>
      <c r="F87" s="3">
        <f t="shared" si="18"/>
        <v>14.843249999999999</v>
      </c>
      <c r="G87" s="1">
        <f t="shared" si="19"/>
        <v>4.1231250000000001E-3</v>
      </c>
      <c r="H87" s="7">
        <v>1.0891</v>
      </c>
      <c r="I87" s="61">
        <v>1</v>
      </c>
      <c r="J87" s="3">
        <f>C87*Constants!$F$13</f>
        <v>81.018711862399996</v>
      </c>
      <c r="K87" s="7">
        <f>J87*B87/Constants!$H$13</f>
        <v>43.254518966605346</v>
      </c>
      <c r="L87" s="29"/>
      <c r="M87" s="8">
        <f t="shared" si="15"/>
        <v>42845.511315021053</v>
      </c>
      <c r="N87" s="8">
        <f>M87*((1.01325/Constants!$B$13)*(SQRT(Constants!$E$13/293)))</f>
        <v>43113.888813945363</v>
      </c>
      <c r="O87" s="3">
        <f t="shared" si="20"/>
        <v>43.113888813945366</v>
      </c>
      <c r="Q87" s="7">
        <f t="shared" si="16"/>
        <v>0.34428000832991174</v>
      </c>
      <c r="R87" s="3">
        <f t="shared" si="21"/>
        <v>344.28000832991171</v>
      </c>
      <c r="S87" s="31"/>
      <c r="T87" s="63">
        <f>F87*(Constants!$O$13*10^3)</f>
        <v>644063460.75</v>
      </c>
      <c r="U87" s="3">
        <f t="shared" si="22"/>
        <v>644.06346074999999</v>
      </c>
      <c r="V87" s="31"/>
      <c r="W87" s="64">
        <f t="shared" si="23"/>
        <v>155209999.7302033</v>
      </c>
      <c r="X87" s="3">
        <f t="shared" si="24"/>
        <v>155.20999973020329</v>
      </c>
      <c r="Y87" s="31"/>
      <c r="Z87" s="3">
        <f t="shared" si="25"/>
        <v>0.24098556926279302</v>
      </c>
      <c r="AA87" s="12">
        <f t="shared" si="26"/>
        <v>0.24098556926279302</v>
      </c>
      <c r="AB87" s="58"/>
      <c r="AC87" s="12">
        <f>O87/(G87*Constants!$O$13)</f>
        <v>0.24098556926279305</v>
      </c>
    </row>
    <row r="88" spans="2:29" x14ac:dyDescent="0.2">
      <c r="B88" s="1">
        <f t="shared" si="17"/>
        <v>5100</v>
      </c>
      <c r="C88" s="1">
        <v>97.581500000000005</v>
      </c>
      <c r="E88" s="1">
        <v>0.32969999999999999</v>
      </c>
      <c r="F88" s="3">
        <f t="shared" si="18"/>
        <v>14.836499999999999</v>
      </c>
      <c r="G88" s="1">
        <f t="shared" si="19"/>
        <v>4.1212499999999999E-3</v>
      </c>
      <c r="H88" s="7">
        <v>1.09185</v>
      </c>
      <c r="I88" s="61">
        <v>1</v>
      </c>
      <c r="J88" s="3">
        <f>C88*Constants!$F$13</f>
        <v>79.604645743999995</v>
      </c>
      <c r="K88" s="7">
        <f>J88*B88/Constants!$H$13</f>
        <v>42.920360851506501</v>
      </c>
      <c r="L88" s="29"/>
      <c r="M88" s="8">
        <f t="shared" si="15"/>
        <v>42514.512944364622</v>
      </c>
      <c r="N88" s="8">
        <f>M88*((1.01325/Constants!$B$13)*(SQRT(Constants!$E$13/293)))</f>
        <v>42780.817121903834</v>
      </c>
      <c r="O88" s="3">
        <f t="shared" si="20"/>
        <v>42.780817121903837</v>
      </c>
      <c r="Q88" s="7">
        <f t="shared" si="16"/>
        <v>0.34680263253792998</v>
      </c>
      <c r="R88" s="3">
        <f t="shared" si="21"/>
        <v>346.80263253792998</v>
      </c>
      <c r="S88" s="31"/>
      <c r="T88" s="63">
        <f>F88*(Constants!$O$13*10^3)</f>
        <v>643770571.5</v>
      </c>
      <c r="U88" s="3">
        <f t="shared" si="22"/>
        <v>643.77057149999996</v>
      </c>
      <c r="V88" s="31"/>
      <c r="W88" s="64">
        <f t="shared" si="23"/>
        <v>154010941.63885379</v>
      </c>
      <c r="X88" s="3">
        <f t="shared" si="24"/>
        <v>154.01094163885378</v>
      </c>
      <c r="Y88" s="31"/>
      <c r="Z88" s="3">
        <f t="shared" si="25"/>
        <v>0.2392326528378034</v>
      </c>
      <c r="AA88" s="12">
        <f t="shared" si="26"/>
        <v>0.2392326528378034</v>
      </c>
      <c r="AB88" s="58"/>
      <c r="AC88" s="12">
        <f>O88/(G88*Constants!$O$13)</f>
        <v>0.23923265283780346</v>
      </c>
    </row>
    <row r="89" spans="2:29" x14ac:dyDescent="0.2">
      <c r="B89" s="1">
        <f t="shared" si="17"/>
        <v>5150</v>
      </c>
      <c r="C89" s="1">
        <v>95.848600000000005</v>
      </c>
      <c r="E89" s="1">
        <v>0.33095000000000002</v>
      </c>
      <c r="F89" s="3">
        <f t="shared" si="18"/>
        <v>14.892749999999999</v>
      </c>
      <c r="G89" s="1">
        <f t="shared" si="19"/>
        <v>4.1368749999999999E-3</v>
      </c>
      <c r="H89" s="7">
        <v>1.0940700000000001</v>
      </c>
      <c r="I89" s="61">
        <v>1</v>
      </c>
      <c r="J89" s="3">
        <f>C89*Constants!$F$13</f>
        <v>78.190987513599993</v>
      </c>
      <c r="K89" s="7">
        <f>J89*B89/Constants!$H$13</f>
        <v>42.571475387994496</v>
      </c>
      <c r="L89" s="29"/>
      <c r="M89" s="8">
        <f t="shared" si="15"/>
        <v>42168.926484691117</v>
      </c>
      <c r="N89" s="8">
        <f>M89*((1.01325/Constants!$B$13)*(SQRT(Constants!$E$13/293)))</f>
        <v>42433.065963365436</v>
      </c>
      <c r="O89" s="3">
        <f t="shared" si="20"/>
        <v>42.433065963365436</v>
      </c>
      <c r="Q89" s="7">
        <f t="shared" si="16"/>
        <v>0.3509703968329238</v>
      </c>
      <c r="R89" s="3">
        <f t="shared" si="21"/>
        <v>350.97039683292383</v>
      </c>
      <c r="S89" s="31"/>
      <c r="T89" s="63">
        <f>F89*(Constants!$O$13*10^3)</f>
        <v>646211315.25</v>
      </c>
      <c r="U89" s="3">
        <f t="shared" si="22"/>
        <v>646.21131524999998</v>
      </c>
      <c r="V89" s="31"/>
      <c r="W89" s="64">
        <f t="shared" si="23"/>
        <v>152759037.46811557</v>
      </c>
      <c r="X89" s="3">
        <f t="shared" si="24"/>
        <v>152.75903746811557</v>
      </c>
      <c r="Y89" s="31"/>
      <c r="Z89" s="3">
        <f t="shared" si="25"/>
        <v>0.23639177133414574</v>
      </c>
      <c r="AA89" s="12">
        <f t="shared" si="26"/>
        <v>0.23639177133414574</v>
      </c>
      <c r="AB89" s="58"/>
      <c r="AC89" s="12">
        <f>O89/(G89*Constants!$O$13)</f>
        <v>0.23639177133414574</v>
      </c>
    </row>
    <row r="90" spans="2:29" x14ac:dyDescent="0.2">
      <c r="B90" s="1">
        <f t="shared" si="17"/>
        <v>5200</v>
      </c>
      <c r="C90" s="1">
        <v>94.803299999999993</v>
      </c>
      <c r="E90" s="1">
        <v>0.33379999999999999</v>
      </c>
      <c r="F90" s="3">
        <f t="shared" si="18"/>
        <v>15.020999999999997</v>
      </c>
      <c r="G90" s="1">
        <f t="shared" si="19"/>
        <v>4.1724999999999991E-3</v>
      </c>
      <c r="H90" s="7">
        <v>1.0934600000000001</v>
      </c>
      <c r="I90" s="61">
        <v>1</v>
      </c>
      <c r="J90" s="3">
        <f>C90*Constants!$F$13</f>
        <v>77.338256860799987</v>
      </c>
      <c r="K90" s="7">
        <f>J90*B90/Constants!$H$13</f>
        <v>42.516009691950515</v>
      </c>
      <c r="L90" s="29"/>
      <c r="M90" s="8">
        <f t="shared" si="15"/>
        <v>42113.985263190472</v>
      </c>
      <c r="N90" s="8">
        <f>M90*((1.01325/Constants!$B$13)*(SQRT(Constants!$E$13/293)))</f>
        <v>42377.780598752441</v>
      </c>
      <c r="O90" s="3">
        <f t="shared" si="20"/>
        <v>42.377780598752437</v>
      </c>
      <c r="Q90" s="7">
        <f t="shared" si="16"/>
        <v>0.35445461720197308</v>
      </c>
      <c r="R90" s="3">
        <f t="shared" si="21"/>
        <v>354.45461720197306</v>
      </c>
      <c r="S90" s="31"/>
      <c r="T90" s="63">
        <f>F90*(Constants!$O$13*10^3)</f>
        <v>651776210.99999988</v>
      </c>
      <c r="U90" s="3">
        <f t="shared" si="22"/>
        <v>651.77621099999988</v>
      </c>
      <c r="V90" s="31"/>
      <c r="W90" s="64">
        <f t="shared" si="23"/>
        <v>152560010.15550879</v>
      </c>
      <c r="X90" s="3">
        <f t="shared" si="24"/>
        <v>152.56001015550879</v>
      </c>
      <c r="Y90" s="31"/>
      <c r="Z90" s="3">
        <f t="shared" si="25"/>
        <v>0.23406808591777342</v>
      </c>
      <c r="AA90" s="12">
        <f t="shared" si="26"/>
        <v>0.23406808591777342</v>
      </c>
      <c r="AB90" s="58"/>
      <c r="AC90" s="12">
        <f>O90/(G90*Constants!$O$13)</f>
        <v>0.23406808591777339</v>
      </c>
    </row>
    <row r="91" spans="2:29" x14ac:dyDescent="0.2">
      <c r="B91" s="1">
        <f t="shared" si="17"/>
        <v>5250</v>
      </c>
      <c r="C91" s="1">
        <v>93.0976</v>
      </c>
      <c r="E91" s="1">
        <v>0.33129999999999998</v>
      </c>
      <c r="F91" s="3">
        <f t="shared" si="18"/>
        <v>14.9085</v>
      </c>
      <c r="G91" s="1">
        <f t="shared" si="19"/>
        <v>4.14125E-3</v>
      </c>
      <c r="H91" s="7">
        <v>1.0880399999999999</v>
      </c>
      <c r="I91" s="61">
        <v>1</v>
      </c>
      <c r="J91" s="3">
        <f>C91*Constants!$F$13</f>
        <v>75.94678773759999</v>
      </c>
      <c r="K91" s="7">
        <f>J91*B91/Constants!$H$13</f>
        <v>42.152514602220108</v>
      </c>
      <c r="L91" s="29"/>
      <c r="M91" s="8">
        <f t="shared" si="15"/>
        <v>41753.927323532822</v>
      </c>
      <c r="N91" s="8">
        <f>M91*((1.01325/Constants!$B$13)*(SQRT(Constants!$E$13/293)))</f>
        <v>42015.467313170629</v>
      </c>
      <c r="O91" s="3">
        <f t="shared" si="20"/>
        <v>42.015467313170632</v>
      </c>
      <c r="Q91" s="7">
        <f t="shared" si="16"/>
        <v>0.3548336113668934</v>
      </c>
      <c r="R91" s="3">
        <f t="shared" si="21"/>
        <v>354.83361136689342</v>
      </c>
      <c r="S91" s="31"/>
      <c r="T91" s="63">
        <f>F91*(Constants!$O$13*10^3)</f>
        <v>646894723.5</v>
      </c>
      <c r="U91" s="3">
        <f t="shared" si="22"/>
        <v>646.89472349999994</v>
      </c>
      <c r="V91" s="31"/>
      <c r="W91" s="64">
        <f t="shared" si="23"/>
        <v>151255682.32741427</v>
      </c>
      <c r="X91" s="3">
        <f t="shared" si="24"/>
        <v>151.25568232741426</v>
      </c>
      <c r="Y91" s="31"/>
      <c r="Z91" s="3">
        <f t="shared" si="25"/>
        <v>0.23381808018011183</v>
      </c>
      <c r="AA91" s="12">
        <f t="shared" si="26"/>
        <v>0.23381808018011183</v>
      </c>
      <c r="AB91" s="58"/>
      <c r="AC91" s="12">
        <f>O91/(G91*Constants!$O$13)</f>
        <v>0.23381808018011183</v>
      </c>
    </row>
    <row r="92" spans="2:29" x14ac:dyDescent="0.2">
      <c r="B92" s="1">
        <f t="shared" si="17"/>
        <v>5300</v>
      </c>
      <c r="C92" s="1">
        <v>91.788600000000002</v>
      </c>
      <c r="E92" s="1">
        <v>0.33239999999999997</v>
      </c>
      <c r="F92" s="3">
        <f t="shared" si="18"/>
        <v>14.957999999999998</v>
      </c>
      <c r="G92" s="1">
        <f t="shared" si="19"/>
        <v>4.1549999999999998E-3</v>
      </c>
      <c r="H92" s="7">
        <v>1.0833900000000001</v>
      </c>
      <c r="I92" s="61">
        <v>1</v>
      </c>
      <c r="J92" s="3">
        <f>C92*Constants!$F$13</f>
        <v>74.878936953600004</v>
      </c>
      <c r="K92" s="7">
        <f>J92*B92/Constants!$H$13</f>
        <v>41.9556365212052</v>
      </c>
      <c r="L92" s="29"/>
      <c r="M92" s="8">
        <f t="shared" si="15"/>
        <v>41558.910889427607</v>
      </c>
      <c r="N92" s="8">
        <f>M92*((1.01325/Constants!$B$13)*(SQRT(Constants!$E$13/293)))</f>
        <v>41819.229327000146</v>
      </c>
      <c r="O92" s="3">
        <f t="shared" si="20"/>
        <v>41.819229327000144</v>
      </c>
      <c r="Q92" s="7">
        <f t="shared" si="16"/>
        <v>0.35768234471845045</v>
      </c>
      <c r="R92" s="3">
        <f t="shared" si="21"/>
        <v>357.68234471845045</v>
      </c>
      <c r="S92" s="31"/>
      <c r="T92" s="63">
        <f>F92*(Constants!$O$13*10^3)</f>
        <v>649042577.99999988</v>
      </c>
      <c r="U92" s="3">
        <f t="shared" si="22"/>
        <v>649.04257799999982</v>
      </c>
      <c r="V92" s="31"/>
      <c r="W92" s="64">
        <f t="shared" si="23"/>
        <v>150549225.57720053</v>
      </c>
      <c r="X92" s="3">
        <f t="shared" si="24"/>
        <v>150.54922557720053</v>
      </c>
      <c r="Y92" s="31"/>
      <c r="Z92" s="3">
        <f t="shared" si="25"/>
        <v>0.23195585417695136</v>
      </c>
      <c r="AA92" s="12">
        <f t="shared" si="26"/>
        <v>0.23195585417695136</v>
      </c>
      <c r="AB92" s="58"/>
      <c r="AC92" s="12">
        <f>O92/(G92*Constants!$O$13)</f>
        <v>0.23195585417695128</v>
      </c>
    </row>
    <row r="93" spans="2:29" x14ac:dyDescent="0.2">
      <c r="B93" s="1">
        <f t="shared" si="17"/>
        <v>5350</v>
      </c>
      <c r="C93" s="1">
        <v>90.593800000000002</v>
      </c>
      <c r="E93" s="1">
        <v>0.33079999999999998</v>
      </c>
      <c r="F93" s="3">
        <f t="shared" si="18"/>
        <v>14.885999999999999</v>
      </c>
      <c r="G93" s="1">
        <f t="shared" si="19"/>
        <v>4.1349999999999998E-3</v>
      </c>
      <c r="H93" s="7">
        <v>1.0800700000000001</v>
      </c>
      <c r="I93" s="61">
        <v>1</v>
      </c>
      <c r="J93" s="3">
        <f>C93*Constants!$F$13</f>
        <v>73.904247788799992</v>
      </c>
      <c r="K93" s="7">
        <f>J93*B93/Constants!$H$13</f>
        <v>41.800161292956965</v>
      </c>
      <c r="L93" s="29"/>
      <c r="M93" s="8">
        <f t="shared" si="15"/>
        <v>41404.905809489988</v>
      </c>
      <c r="N93" s="8">
        <f>M93*((1.01325/Constants!$B$13)*(SQRT(Constants!$E$13/293)))</f>
        <v>41664.259583626226</v>
      </c>
      <c r="O93" s="3">
        <f t="shared" si="20"/>
        <v>41.664259583626226</v>
      </c>
      <c r="Q93" s="7">
        <f t="shared" si="16"/>
        <v>0.35728464033116042</v>
      </c>
      <c r="R93" s="3">
        <f t="shared" si="21"/>
        <v>357.2846403311604</v>
      </c>
      <c r="S93" s="31"/>
      <c r="T93" s="63">
        <f>F93*(Constants!$O$13*10^3)</f>
        <v>645918426</v>
      </c>
      <c r="U93" s="3">
        <f t="shared" si="22"/>
        <v>645.91842599999995</v>
      </c>
      <c r="V93" s="31"/>
      <c r="W93" s="64">
        <f t="shared" si="23"/>
        <v>149991334.50105441</v>
      </c>
      <c r="X93" s="3">
        <f t="shared" si="24"/>
        <v>149.99133450105441</v>
      </c>
      <c r="Y93" s="31"/>
      <c r="Z93" s="3">
        <f t="shared" si="25"/>
        <v>0.23221405128494418</v>
      </c>
      <c r="AA93" s="12">
        <f t="shared" si="26"/>
        <v>0.23221405128494418</v>
      </c>
      <c r="AB93" s="58"/>
      <c r="AC93" s="12">
        <f>O93/(G93*Constants!$O$13)</f>
        <v>0.23221405128494416</v>
      </c>
    </row>
    <row r="94" spans="2:29" x14ac:dyDescent="0.2">
      <c r="B94" s="1">
        <f t="shared" si="17"/>
        <v>5400</v>
      </c>
      <c r="C94" s="1">
        <v>89.6374</v>
      </c>
      <c r="E94" s="1">
        <v>0.33879999999999999</v>
      </c>
      <c r="F94" s="3">
        <f t="shared" si="18"/>
        <v>15.245999999999999</v>
      </c>
      <c r="G94" s="1">
        <f t="shared" si="19"/>
        <v>4.235E-3</v>
      </c>
      <c r="H94" s="7">
        <v>1.0789500000000001</v>
      </c>
      <c r="I94" s="61">
        <v>1</v>
      </c>
      <c r="J94" s="3">
        <f>C94*Constants!$F$13</f>
        <v>73.124039622399991</v>
      </c>
      <c r="K94" s="7">
        <f>J94*B94/Constants!$H$13</f>
        <v>41.745407967117025</v>
      </c>
      <c r="L94" s="29"/>
      <c r="M94" s="8">
        <f t="shared" si="15"/>
        <v>41350.670222137342</v>
      </c>
      <c r="N94" s="8">
        <f>M94*((1.01325/Constants!$B$13)*(SQRT(Constants!$E$13/293)))</f>
        <v>41609.6842731418</v>
      </c>
      <c r="O94" s="3">
        <f t="shared" si="20"/>
        <v>41.609684273141802</v>
      </c>
      <c r="Q94" s="7">
        <f t="shared" si="16"/>
        <v>0.36640508733302213</v>
      </c>
      <c r="R94" s="3">
        <f t="shared" si="21"/>
        <v>366.40508733302215</v>
      </c>
      <c r="S94" s="31"/>
      <c r="T94" s="63">
        <f>F94*(Constants!$O$13*10^3)</f>
        <v>661539186</v>
      </c>
      <c r="U94" s="3">
        <f t="shared" si="22"/>
        <v>661.53918599999997</v>
      </c>
      <c r="V94" s="31"/>
      <c r="W94" s="64">
        <f t="shared" si="23"/>
        <v>149794863.38331047</v>
      </c>
      <c r="X94" s="3">
        <f t="shared" si="24"/>
        <v>149.79486338331046</v>
      </c>
      <c r="Y94" s="31"/>
      <c r="Z94" s="3">
        <f t="shared" si="25"/>
        <v>0.22643384784058804</v>
      </c>
      <c r="AA94" s="12">
        <f t="shared" si="26"/>
        <v>0.22643384784058804</v>
      </c>
      <c r="AB94" s="58"/>
      <c r="AC94" s="12">
        <f>O94/(G94*Constants!$O$13)</f>
        <v>0.22643384784058807</v>
      </c>
    </row>
    <row r="95" spans="2:29" x14ac:dyDescent="0.2">
      <c r="B95" s="1">
        <f t="shared" si="17"/>
        <v>5450</v>
      </c>
      <c r="C95" s="1">
        <v>88.925600000000003</v>
      </c>
      <c r="E95" s="1">
        <v>0.34379999999999999</v>
      </c>
      <c r="F95" s="3">
        <f t="shared" si="18"/>
        <v>15.471000000000002</v>
      </c>
      <c r="G95" s="1">
        <f t="shared" si="19"/>
        <v>4.2975000000000001E-3</v>
      </c>
      <c r="H95" s="7">
        <v>1.0792299999999999</v>
      </c>
      <c r="I95" s="61">
        <v>1</v>
      </c>
      <c r="J95" s="3">
        <f>C95*Constants!$F$13</f>
        <v>72.543370265600004</v>
      </c>
      <c r="K95" s="7">
        <f>J95*B95/Constants!$H$13</f>
        <v>41.797374769798083</v>
      </c>
      <c r="L95" s="29"/>
      <c r="M95" s="8">
        <f t="shared" si="15"/>
        <v>41402.145635237997</v>
      </c>
      <c r="N95" s="8">
        <f>M95*((1.01325/Constants!$B$13)*(SQRT(Constants!$E$13/293)))</f>
        <v>41661.482120079752</v>
      </c>
      <c r="O95" s="3">
        <f t="shared" si="20"/>
        <v>41.661482120079754</v>
      </c>
      <c r="Q95" s="7">
        <f t="shared" si="16"/>
        <v>0.37135020677873054</v>
      </c>
      <c r="R95" s="3">
        <f t="shared" si="21"/>
        <v>371.35020677873052</v>
      </c>
      <c r="S95" s="31"/>
      <c r="T95" s="63">
        <f>F95*(Constants!$O$13*10^3)</f>
        <v>671302161.00000012</v>
      </c>
      <c r="U95" s="3">
        <f t="shared" si="22"/>
        <v>671.30216100000007</v>
      </c>
      <c r="V95" s="31"/>
      <c r="W95" s="64">
        <f t="shared" si="23"/>
        <v>149981335.63228711</v>
      </c>
      <c r="X95" s="3">
        <f t="shared" si="24"/>
        <v>149.98133563228711</v>
      </c>
      <c r="Y95" s="31"/>
      <c r="Z95" s="3">
        <f t="shared" si="25"/>
        <v>0.22341852051968458</v>
      </c>
      <c r="AA95" s="12">
        <f t="shared" si="26"/>
        <v>0.22341852051968458</v>
      </c>
      <c r="AB95" s="58"/>
      <c r="AC95" s="12">
        <f>O95/(G95*Constants!$O$13)</f>
        <v>0.22341852051968458</v>
      </c>
    </row>
    <row r="96" spans="2:29" x14ac:dyDescent="0.2">
      <c r="B96" s="1">
        <f t="shared" si="17"/>
        <v>5500</v>
      </c>
      <c r="C96" s="1">
        <v>88.647400000000005</v>
      </c>
      <c r="E96" s="1">
        <v>0.3488</v>
      </c>
      <c r="F96" s="3">
        <f t="shared" si="18"/>
        <v>15.696</v>
      </c>
      <c r="G96" s="1">
        <f t="shared" si="19"/>
        <v>4.3600000000000002E-3</v>
      </c>
      <c r="H96" s="7">
        <v>1.0836600000000001</v>
      </c>
      <c r="I96" s="61">
        <v>1</v>
      </c>
      <c r="J96" s="7">
        <f>C96*Constants!$F$13</f>
        <v>72.316421382399994</v>
      </c>
      <c r="K96" s="7">
        <f>J96*B96/Constants!$H$13</f>
        <v>42.048875949170103</v>
      </c>
      <c r="L96" s="29"/>
      <c r="M96" s="8">
        <f t="shared" si="15"/>
        <v>41651.268660622802</v>
      </c>
      <c r="N96" s="8">
        <f>M96*((1.01325/Constants!$B$13)*(SQRT(Constants!$E$13/293)))</f>
        <v>41912.16561265062</v>
      </c>
      <c r="O96" s="3">
        <f t="shared" si="20"/>
        <v>41.912165612650618</v>
      </c>
      <c r="Q96" s="7">
        <f t="shared" si="16"/>
        <v>0.37449747037796527</v>
      </c>
      <c r="R96" s="3">
        <f t="shared" si="21"/>
        <v>374.49747037796527</v>
      </c>
      <c r="S96" s="31"/>
      <c r="T96" s="63">
        <f>F96*(Constants!$O$13*10^3)</f>
        <v>681065136</v>
      </c>
      <c r="U96" s="3">
        <f t="shared" si="22"/>
        <v>681.06513599999994</v>
      </c>
      <c r="V96" s="31"/>
      <c r="W96" s="64">
        <f t="shared" si="23"/>
        <v>150883796.20554224</v>
      </c>
      <c r="X96" s="3">
        <f t="shared" si="24"/>
        <v>150.88379620554224</v>
      </c>
      <c r="Y96" s="31"/>
      <c r="Z96" s="3">
        <f t="shared" si="25"/>
        <v>0.22154091911341392</v>
      </c>
      <c r="AA96" s="12">
        <f t="shared" si="26"/>
        <v>0.22154091911341392</v>
      </c>
      <c r="AB96" s="58"/>
      <c r="AC96" s="12">
        <f>O96/(G96*Constants!$O$13)</f>
        <v>0.22154091911341386</v>
      </c>
    </row>
    <row r="97" spans="18:20" x14ac:dyDescent="0.2">
      <c r="R97"/>
      <c r="S97" s="25"/>
      <c r="T97"/>
    </row>
    <row r="98" spans="18:20" x14ac:dyDescent="0.2">
      <c r="R98"/>
      <c r="S98" s="25"/>
      <c r="T98"/>
    </row>
    <row r="99" spans="18:20" x14ac:dyDescent="0.2">
      <c r="R99"/>
      <c r="S99" s="25"/>
      <c r="T99"/>
    </row>
    <row r="100" spans="18:20" x14ac:dyDescent="0.2">
      <c r="R100"/>
      <c r="S100" s="25"/>
      <c r="T100"/>
    </row>
    <row r="101" spans="18:20" x14ac:dyDescent="0.2">
      <c r="R101"/>
      <c r="S101" s="25"/>
      <c r="T101"/>
    </row>
    <row r="102" spans="18:20" x14ac:dyDescent="0.2">
      <c r="R102"/>
      <c r="S102" s="25"/>
      <c r="T102"/>
    </row>
    <row r="103" spans="18:20" x14ac:dyDescent="0.2">
      <c r="R103"/>
      <c r="S103" s="25"/>
      <c r="T103"/>
    </row>
    <row r="104" spans="18:20" x14ac:dyDescent="0.2">
      <c r="R104"/>
      <c r="S104" s="25"/>
      <c r="T104"/>
    </row>
  </sheetData>
  <mergeCells count="12">
    <mergeCell ref="AC2:AC4"/>
    <mergeCell ref="E2:G3"/>
    <mergeCell ref="B2:B3"/>
    <mergeCell ref="C2:C3"/>
    <mergeCell ref="H2:H3"/>
    <mergeCell ref="W2:X3"/>
    <mergeCell ref="Z2:AA3"/>
    <mergeCell ref="Z5:AA5"/>
    <mergeCell ref="J2:K3"/>
    <mergeCell ref="M2:O2"/>
    <mergeCell ref="Q2:R3"/>
    <mergeCell ref="T2:U3"/>
  </mergeCells>
  <phoneticPr fontId="11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356CF-DD38-7D4B-B7E5-07A7D8F56E14}">
  <dimension ref="A1:A2"/>
  <sheetViews>
    <sheetView showGridLines="0" showRowColHeaders="0" zoomScale="90" zoomScaleNormal="90" workbookViewId="0">
      <selection activeCell="AB13" sqref="AB13"/>
    </sheetView>
  </sheetViews>
  <sheetFormatPr baseColWidth="10" defaultRowHeight="15" x14ac:dyDescent="0.2"/>
  <sheetData>
    <row r="1" customFormat="1" x14ac:dyDescent="0.2"/>
    <row r="2" customFormat="1" x14ac:dyDescent="0.2"/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3" ma:contentTypeDescription="Create a new document." ma:contentTypeScope="" ma:versionID="089278806b2c0394533cc0e02ba6be2c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6b26a30807ec8a512bb42a746f57198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30338B-D765-4ADB-8B37-8A941C8A04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7E1DE6-E260-424E-A3B8-0CAF82A991B3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customXml/itemProps3.xml><?xml version="1.0" encoding="utf-8"?>
<ds:datastoreItem xmlns:ds="http://schemas.openxmlformats.org/officeDocument/2006/customXml" ds:itemID="{DC75F473-4C10-47AE-BECE-C8B127E225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Main Menu</vt:lpstr>
      <vt:lpstr>Constants</vt:lpstr>
      <vt:lpstr>GrE HnD BsC</vt:lpstr>
      <vt:lpstr>Graphs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Microsoft Office User</cp:lastModifiedBy>
  <cp:revision/>
  <dcterms:created xsi:type="dcterms:W3CDTF">2019-10-18T15:00:30Z</dcterms:created>
  <dcterms:modified xsi:type="dcterms:W3CDTF">2023-03-26T16:49:22Z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