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jpeg" ContentType="image/jpeg"/>
  <Default Extension="png" ContentType="image/png"/>
  <Default Extension="rels" ContentType="application/vnd.openxmlformats-package.relationships+xml"/>
  <Default Extension="tmp" ContentType="image/png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f8cba0927474d6f/Documents/University/Year 3/Ride^J Handling^J NVH/Assignment 2/"/>
    </mc:Choice>
  </mc:AlternateContent>
  <xr:revisionPtr revIDLastSave="11" documentId="8_{2F8084A3-1947-4AD7-BA32-C5B3D98B4463}" xr6:coauthVersionLast="46" xr6:coauthVersionMax="46" xr10:uidLastSave="{276D0863-D33D-4D5A-96E1-37B80824609F}"/>
  <bookViews>
    <workbookView xWindow="-120" yWindow="-120" windowWidth="29040" windowHeight="16440" tabRatio="675" activeTab="4" xr2:uid="{3F1D905F-BFCD-452B-A196-194EF861FE01}"/>
  </bookViews>
  <sheets>
    <sheet name="Input and Reseach" sheetId="1" r:id="rId1"/>
    <sheet name="Lumped Mass Model" sheetId="2" r:id="rId2"/>
    <sheet name="Torque &amp; Clutch" sheetId="3" r:id="rId3"/>
    <sheet name="Split Mu" sheetId="4" r:id="rId4"/>
    <sheet name="Surface Acceleration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5" i="3" l="1"/>
  <c r="I36" i="3" s="1"/>
  <c r="I33" i="3"/>
  <c r="C11" i="3"/>
  <c r="C18" i="4"/>
  <c r="C15" i="4"/>
  <c r="F15" i="5"/>
  <c r="G15" i="5"/>
  <c r="H15" i="5"/>
  <c r="F16" i="5"/>
  <c r="F17" i="5" s="1"/>
  <c r="G16" i="5"/>
  <c r="G17" i="5" s="1"/>
  <c r="H16" i="5"/>
  <c r="H17" i="5" s="1"/>
  <c r="E16" i="5"/>
  <c r="E15" i="5"/>
  <c r="E18" i="5" l="1"/>
  <c r="E17" i="5"/>
  <c r="H18" i="5"/>
  <c r="G18" i="5"/>
  <c r="F18" i="5"/>
  <c r="N23" i="3"/>
  <c r="U46" i="2"/>
  <c r="T55" i="2"/>
  <c r="T56" i="2" s="1"/>
  <c r="C24" i="3"/>
  <c r="C7" i="3"/>
  <c r="C8" i="3" s="1"/>
  <c r="C4" i="3" l="1"/>
  <c r="C48" i="2"/>
  <c r="C47" i="2"/>
  <c r="F70" i="4"/>
  <c r="R60" i="4"/>
  <c r="Q60" i="4"/>
  <c r="H78" i="4"/>
  <c r="H76" i="4"/>
  <c r="C76" i="4"/>
  <c r="C78" i="4" s="1"/>
  <c r="W44" i="2"/>
  <c r="AF46" i="2" s="1"/>
  <c r="T40" i="2"/>
  <c r="U40" i="2" s="1"/>
  <c r="AE42" i="2" s="1"/>
  <c r="W35" i="2"/>
  <c r="AF37" i="2" s="1"/>
  <c r="W30" i="2"/>
  <c r="AF32" i="2" s="1"/>
  <c r="AF35" i="2"/>
  <c r="AF33" i="2"/>
  <c r="AF34" i="2"/>
  <c r="AF36" i="2"/>
  <c r="AF38" i="2"/>
  <c r="AF39" i="2"/>
  <c r="AF40" i="2"/>
  <c r="AF41" i="2"/>
  <c r="AF42" i="2"/>
  <c r="AF43" i="2"/>
  <c r="AF45" i="2"/>
  <c r="AF47" i="2"/>
  <c r="AF48" i="2"/>
  <c r="AD33" i="2"/>
  <c r="AD34" i="2"/>
  <c r="AD35" i="2"/>
  <c r="AD36" i="2"/>
  <c r="AD37" i="2"/>
  <c r="AD38" i="2"/>
  <c r="AD39" i="2"/>
  <c r="AD40" i="2"/>
  <c r="AD41" i="2"/>
  <c r="AD43" i="2"/>
  <c r="AD44" i="2"/>
  <c r="AD45" i="2"/>
  <c r="AD46" i="2"/>
  <c r="AD47" i="2"/>
  <c r="AD48" i="2"/>
  <c r="AD32" i="2"/>
  <c r="AC33" i="2"/>
  <c r="AC34" i="2"/>
  <c r="AC35" i="2"/>
  <c r="AC36" i="2"/>
  <c r="AC37" i="2"/>
  <c r="AC38" i="2"/>
  <c r="AC39" i="2"/>
  <c r="AC40" i="2"/>
  <c r="AC41" i="2"/>
  <c r="AC42" i="2"/>
  <c r="AC43" i="2"/>
  <c r="AC44" i="2"/>
  <c r="AC45" i="2"/>
  <c r="AC46" i="2"/>
  <c r="AC47" i="2"/>
  <c r="AC48" i="2"/>
  <c r="AC49" i="2"/>
  <c r="AC32" i="2"/>
  <c r="U31" i="2"/>
  <c r="AE33" i="2" s="1"/>
  <c r="U32" i="2"/>
  <c r="AE34" i="2" s="1"/>
  <c r="U33" i="2"/>
  <c r="AE35" i="2" s="1"/>
  <c r="U34" i="2"/>
  <c r="AE36" i="2" s="1"/>
  <c r="U35" i="2"/>
  <c r="AE37" i="2" s="1"/>
  <c r="U36" i="2"/>
  <c r="AE38" i="2" s="1"/>
  <c r="U37" i="2"/>
  <c r="AE39" i="2" s="1"/>
  <c r="U38" i="2"/>
  <c r="AE40" i="2" s="1"/>
  <c r="U39" i="2"/>
  <c r="AE41" i="2" s="1"/>
  <c r="U41" i="2"/>
  <c r="AE43" i="2" s="1"/>
  <c r="U42" i="2"/>
  <c r="AE44" i="2" s="1"/>
  <c r="U43" i="2"/>
  <c r="AE45" i="2" s="1"/>
  <c r="U44" i="2"/>
  <c r="AE46" i="2" s="1"/>
  <c r="U45" i="2"/>
  <c r="AE47" i="2" s="1"/>
  <c r="AE48" i="2"/>
  <c r="U30" i="2"/>
  <c r="AE32" i="2" s="1"/>
  <c r="C17" i="3" l="1"/>
  <c r="C19" i="3" s="1"/>
  <c r="C20" i="3" s="1"/>
  <c r="E9" i="5"/>
  <c r="E10" i="5" s="1"/>
  <c r="N24" i="3"/>
  <c r="N26" i="3" s="1"/>
  <c r="I24" i="3"/>
  <c r="AD42" i="2"/>
  <c r="Y30" i="2"/>
  <c r="AG32" i="2" s="1"/>
  <c r="C49" i="2"/>
  <c r="Y46" i="2"/>
  <c r="AG48" i="2" s="1"/>
  <c r="W42" i="2"/>
  <c r="AF44" i="2" s="1"/>
  <c r="Y37" i="2"/>
  <c r="AG39" i="2" s="1"/>
  <c r="Y41" i="2"/>
  <c r="AG43" i="2" s="1"/>
  <c r="Y43" i="2"/>
  <c r="AG45" i="2" s="1"/>
  <c r="Y45" i="2"/>
  <c r="AG47" i="2" s="1"/>
  <c r="Y38" i="2"/>
  <c r="AG40" i="2" s="1"/>
  <c r="Y39" i="2"/>
  <c r="AG41" i="2" s="1"/>
  <c r="Y40" i="2"/>
  <c r="AG42" i="2" s="1"/>
  <c r="B70" i="4"/>
  <c r="G12" i="4"/>
  <c r="C12" i="4"/>
  <c r="C10" i="4"/>
  <c r="G10" i="4"/>
  <c r="C7" i="4"/>
  <c r="K42" i="4" s="1"/>
  <c r="C6" i="4"/>
  <c r="I24" i="4"/>
  <c r="G13" i="4"/>
  <c r="H57" i="4" s="1"/>
  <c r="C13" i="4"/>
  <c r="H24" i="4" s="1"/>
  <c r="C5" i="4"/>
  <c r="Y31" i="2"/>
  <c r="AG33" i="2" s="1"/>
  <c r="Y32" i="2"/>
  <c r="AG34" i="2" s="1"/>
  <c r="Y33" i="2"/>
  <c r="AG35" i="2" s="1"/>
  <c r="Y34" i="2"/>
  <c r="AG36" i="2" s="1"/>
  <c r="Y35" i="2"/>
  <c r="AG37" i="2" s="1"/>
  <c r="Y36" i="2"/>
  <c r="AG38" i="2" s="1"/>
  <c r="C33" i="1"/>
  <c r="C32" i="1"/>
  <c r="C23" i="3" s="1"/>
  <c r="C39" i="1"/>
  <c r="C17" i="2"/>
  <c r="C9" i="1"/>
  <c r="C6" i="2"/>
  <c r="C5" i="2"/>
  <c r="C6" i="1"/>
  <c r="C28" i="1"/>
  <c r="F17" i="1"/>
  <c r="F20" i="1" s="1"/>
  <c r="C20" i="1"/>
  <c r="C18" i="1"/>
  <c r="C17" i="1"/>
  <c r="I26" i="3" l="1"/>
  <c r="I27" i="3" s="1"/>
  <c r="N27" i="3"/>
  <c r="C25" i="3"/>
  <c r="C27" i="3" s="1"/>
  <c r="H21" i="5"/>
  <c r="E21" i="5"/>
  <c r="F21" i="5"/>
  <c r="E11" i="5"/>
  <c r="G21" i="5"/>
  <c r="C17" i="4"/>
  <c r="C67" i="4"/>
  <c r="H67" i="4"/>
  <c r="W28" i="2"/>
  <c r="W47" i="2" s="1"/>
  <c r="C7" i="2"/>
  <c r="C13" i="3"/>
  <c r="C14" i="3" s="1"/>
  <c r="Y42" i="2"/>
  <c r="AG44" i="2" s="1"/>
  <c r="Y44" i="2"/>
  <c r="AG46" i="2" s="1"/>
  <c r="C18" i="2"/>
  <c r="C28" i="2" s="1"/>
  <c r="E7" i="5" l="1"/>
  <c r="E8" i="5" s="1"/>
  <c r="G20" i="5" s="1"/>
  <c r="G23" i="5" s="1"/>
  <c r="G25" i="5" s="1"/>
  <c r="C30" i="3"/>
  <c r="G22" i="5"/>
  <c r="G24" i="5" s="1"/>
  <c r="F22" i="5"/>
  <c r="F24" i="5" s="1"/>
  <c r="E22" i="5"/>
  <c r="E24" i="5" s="1"/>
  <c r="H22" i="5"/>
  <c r="H24" i="5" s="1"/>
  <c r="C16" i="4"/>
  <c r="C19" i="4" s="1"/>
  <c r="E32" i="4" s="1"/>
  <c r="R61" i="4"/>
  <c r="R62" i="4"/>
  <c r="U47" i="2"/>
  <c r="T47" i="2" s="1"/>
  <c r="C28" i="3"/>
  <c r="W48" i="2"/>
  <c r="AF49" i="2"/>
  <c r="AF50" i="2" s="1"/>
  <c r="E20" i="5" l="1"/>
  <c r="E23" i="5" s="1"/>
  <c r="E25" i="5" s="1"/>
  <c r="F20" i="5"/>
  <c r="F23" i="5" s="1"/>
  <c r="F25" i="5" s="1"/>
  <c r="H20" i="5"/>
  <c r="H23" i="5" s="1"/>
  <c r="H25" i="5" s="1"/>
  <c r="E12" i="5"/>
  <c r="G18" i="4"/>
  <c r="G19" i="4" s="1"/>
  <c r="K49" i="4" s="1"/>
  <c r="K32" i="4"/>
  <c r="AE49" i="2"/>
  <c r="Y47" i="2"/>
  <c r="AD49" i="2"/>
  <c r="E49" i="4" l="1"/>
  <c r="C62" i="4" s="1"/>
  <c r="C63" i="4" s="1"/>
  <c r="C64" i="4" s="1"/>
  <c r="Y48" i="2"/>
  <c r="C9" i="2" s="1"/>
  <c r="AG49" i="2"/>
  <c r="AG50" i="2" s="1"/>
  <c r="H66" i="4" l="1"/>
  <c r="H68" i="4" s="1"/>
  <c r="H72" i="4" s="1"/>
  <c r="C66" i="4"/>
  <c r="C68" i="4" s="1"/>
  <c r="C72" i="4" s="1"/>
  <c r="C24" i="2"/>
  <c r="C25" i="2" s="1"/>
  <c r="C11" i="2"/>
  <c r="U64" i="4"/>
  <c r="H69" i="4"/>
  <c r="H70" i="4" s="1"/>
  <c r="V64" i="4" s="1"/>
  <c r="C14" i="2"/>
  <c r="C19" i="2" s="1"/>
  <c r="C69" i="4" l="1"/>
  <c r="C70" i="4" s="1"/>
  <c r="H62" i="4"/>
  <c r="H80" i="4"/>
  <c r="H81" i="4" s="1"/>
  <c r="C54" i="4"/>
  <c r="C55" i="4" s="1"/>
  <c r="C57" i="4" s="1"/>
  <c r="C80" i="4"/>
  <c r="C81" i="4" s="1"/>
  <c r="C82" i="4" s="1"/>
  <c r="W64" i="4" l="1"/>
  <c r="H82" i="4"/>
  <c r="R64" i="4"/>
  <c r="H63" i="4"/>
  <c r="S64" i="4" l="1"/>
  <c r="H64" i="4"/>
  <c r="T64" i="4" s="1"/>
</calcChain>
</file>

<file path=xl/sharedStrings.xml><?xml version="1.0" encoding="utf-8"?>
<sst xmlns="http://schemas.openxmlformats.org/spreadsheetml/2006/main" count="454" uniqueCount="215">
  <si>
    <t>Curb Mass</t>
  </si>
  <si>
    <t>kg</t>
  </si>
  <si>
    <t>Wheel Base</t>
  </si>
  <si>
    <t>Front Track</t>
  </si>
  <si>
    <t>Rear Track</t>
  </si>
  <si>
    <t>m</t>
  </si>
  <si>
    <t>Front</t>
  </si>
  <si>
    <t xml:space="preserve">Rear </t>
  </si>
  <si>
    <t>Fuel Tank Volume</t>
  </si>
  <si>
    <t>L</t>
  </si>
  <si>
    <t>Front Tyre</t>
  </si>
  <si>
    <t>Rear Tyre</t>
  </si>
  <si>
    <t>245/35/ZR20</t>
  </si>
  <si>
    <t>Wheel Diameter</t>
  </si>
  <si>
    <t>Width</t>
  </si>
  <si>
    <t>Profile</t>
  </si>
  <si>
    <t>Rolling Radius</t>
  </si>
  <si>
    <t>in</t>
  </si>
  <si>
    <t>295/35/ ZR20</t>
  </si>
  <si>
    <t xml:space="preserve">https://www.ferrari.com/en-EN/auto/ff#specifications </t>
  </si>
  <si>
    <t>Front Gear ratio</t>
  </si>
  <si>
    <t>6% longer than rear 2</t>
  </si>
  <si>
    <t>6% longer than Rear 4</t>
  </si>
  <si>
    <t xml:space="preserve"> </t>
  </si>
  <si>
    <t>4RM Mass</t>
  </si>
  <si>
    <t>lbs</t>
  </si>
  <si>
    <t>Rear Gear Ratio</t>
  </si>
  <si>
    <t>FD Front</t>
  </si>
  <si>
    <t>FD Rear</t>
  </si>
  <si>
    <t>Front Gear Ratio</t>
  </si>
  <si>
    <t>Gear</t>
  </si>
  <si>
    <t>Petrol Density</t>
  </si>
  <si>
    <t>Petrol Mass</t>
  </si>
  <si>
    <t>Centre of Gravity</t>
  </si>
  <si>
    <t xml:space="preserve">https://www.the-blueprints.com/modules/vectordrawings/preview/04100-mid.jpg </t>
  </si>
  <si>
    <t>2.99m</t>
  </si>
  <si>
    <t>1.58m</t>
  </si>
  <si>
    <t xml:space="preserve">kg </t>
  </si>
  <si>
    <t>1.67m</t>
  </si>
  <si>
    <t>1.66m</t>
  </si>
  <si>
    <t>4RM</t>
  </si>
  <si>
    <t>Engine</t>
  </si>
  <si>
    <t>Occupant</t>
  </si>
  <si>
    <t>Fuel Tank</t>
  </si>
  <si>
    <t>Trans Diff</t>
  </si>
  <si>
    <t>Mass</t>
  </si>
  <si>
    <t>Yaw Inertia</t>
  </si>
  <si>
    <r>
      <t>kg.m</t>
    </r>
    <r>
      <rPr>
        <vertAlign val="superscript"/>
        <sz val="11"/>
        <color theme="1"/>
        <rFont val="Calibri"/>
        <family val="2"/>
        <scheme val="minor"/>
      </rPr>
      <t>2</t>
    </r>
  </si>
  <si>
    <t xml:space="preserve">Wheelbase </t>
  </si>
  <si>
    <r>
      <t>kg/m</t>
    </r>
    <r>
      <rPr>
        <vertAlign val="superscript"/>
        <sz val="11"/>
        <color theme="1"/>
        <rFont val="Calibri"/>
        <family val="2"/>
        <scheme val="minor"/>
      </rPr>
      <t>3</t>
    </r>
  </si>
  <si>
    <t>Dynamic Index</t>
  </si>
  <si>
    <t>a</t>
  </si>
  <si>
    <t>b</t>
  </si>
  <si>
    <t>DI</t>
  </si>
  <si>
    <t>W.B.</t>
  </si>
  <si>
    <t>Izz</t>
  </si>
  <si>
    <t>W.D. Rear</t>
  </si>
  <si>
    <r>
      <t>m</t>
    </r>
    <r>
      <rPr>
        <vertAlign val="superscript"/>
        <sz val="11"/>
        <color theme="1"/>
        <rFont val="Calibri"/>
        <family val="2"/>
        <scheme val="minor"/>
      </rPr>
      <t>2</t>
    </r>
  </si>
  <si>
    <t xml:space="preserve">m </t>
  </si>
  <si>
    <t>Torque to outside wheel</t>
  </si>
  <si>
    <t>%</t>
  </si>
  <si>
    <r>
      <t>k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/a=c</t>
    </r>
  </si>
  <si>
    <t>i=mk2</t>
  </si>
  <si>
    <t>from Cg</t>
  </si>
  <si>
    <t>From Front</t>
  </si>
  <si>
    <t>Torque</t>
  </si>
  <si>
    <t>Nm</t>
  </si>
  <si>
    <t>Steering Ratio</t>
  </si>
  <si>
    <t>:1</t>
  </si>
  <si>
    <t>15/100</t>
  </si>
  <si>
    <t>Incline</t>
  </si>
  <si>
    <t>Left Mu</t>
  </si>
  <si>
    <t>Right Mu</t>
  </si>
  <si>
    <t>Theta</t>
  </si>
  <si>
    <t>Front Axle</t>
  </si>
  <si>
    <t>Rear Axle</t>
  </si>
  <si>
    <t>C.G height</t>
  </si>
  <si>
    <t>Front RR</t>
  </si>
  <si>
    <t>Rear RR</t>
  </si>
  <si>
    <t>Wb</t>
  </si>
  <si>
    <t>deg</t>
  </si>
  <si>
    <t>N</t>
  </si>
  <si>
    <t>Wt</t>
  </si>
  <si>
    <t xml:space="preserve">Force on Road </t>
  </si>
  <si>
    <t>Load Rear</t>
  </si>
  <si>
    <t>Load Front</t>
  </si>
  <si>
    <t>per wheel</t>
  </si>
  <si>
    <t>4WD Force on each Tyre</t>
  </si>
  <si>
    <t xml:space="preserve">Total Drive Force </t>
  </si>
  <si>
    <t>Acceleration</t>
  </si>
  <si>
    <r>
      <t>m/s</t>
    </r>
    <r>
      <rPr>
        <vertAlign val="superscript"/>
        <sz val="11"/>
        <color theme="1"/>
        <rFont val="Calibri"/>
        <family val="2"/>
        <scheme val="minor"/>
      </rPr>
      <t>2</t>
    </r>
  </si>
  <si>
    <t>Force down hill</t>
  </si>
  <si>
    <t>0-62mph</t>
  </si>
  <si>
    <t>s</t>
  </si>
  <si>
    <t>Yaw</t>
  </si>
  <si>
    <t>Yaw Acceleration</t>
  </si>
  <si>
    <r>
      <t>Rad/s</t>
    </r>
    <r>
      <rPr>
        <vertAlign val="superscript"/>
        <sz val="11"/>
        <color theme="1"/>
        <rFont val="Calibri"/>
        <family val="2"/>
        <scheme val="minor"/>
      </rPr>
      <t>2</t>
    </r>
  </si>
  <si>
    <r>
      <t>Deg/s</t>
    </r>
    <r>
      <rPr>
        <vertAlign val="superscript"/>
        <sz val="11"/>
        <color theme="1"/>
        <rFont val="Calibri"/>
        <family val="2"/>
        <scheme val="minor"/>
      </rPr>
      <t>2</t>
    </r>
  </si>
  <si>
    <t>F Bumper</t>
  </si>
  <si>
    <t>R Bumper</t>
  </si>
  <si>
    <t>Doors</t>
  </si>
  <si>
    <t>Boot</t>
  </si>
  <si>
    <t>Bonnet</t>
  </si>
  <si>
    <t>Wings</t>
  </si>
  <si>
    <t>Roof</t>
  </si>
  <si>
    <t>Rear 3/4</t>
  </si>
  <si>
    <t>Distance from Front</t>
  </si>
  <si>
    <t xml:space="preserve">Distance from C.G. </t>
  </si>
  <si>
    <t>Total</t>
  </si>
  <si>
    <t>-</t>
  </si>
  <si>
    <t>F Wheel</t>
  </si>
  <si>
    <t xml:space="preserve">R Wheel </t>
  </si>
  <si>
    <t>Component Mass</t>
  </si>
  <si>
    <t>Balance</t>
  </si>
  <si>
    <t>Dash ECUs</t>
  </si>
  <si>
    <t>Mean Track</t>
  </si>
  <si>
    <t>Difference Force</t>
  </si>
  <si>
    <t>Track</t>
  </si>
  <si>
    <t>Front Force</t>
  </si>
  <si>
    <t>Tyre Stiffness</t>
  </si>
  <si>
    <t>N/deg</t>
  </si>
  <si>
    <t>Left</t>
  </si>
  <si>
    <t>Right</t>
  </si>
  <si>
    <t>Hand Wheel Angle</t>
  </si>
  <si>
    <t>Wheel Angle</t>
  </si>
  <si>
    <t>Rear Only with E-Diff</t>
  </si>
  <si>
    <t>4WD E-Diff</t>
  </si>
  <si>
    <t>μ=0.1</t>
  </si>
  <si>
    <t>μ=1</t>
  </si>
  <si>
    <t>F Track</t>
  </si>
  <si>
    <t>R Track</t>
  </si>
  <si>
    <t>FR Force</t>
  </si>
  <si>
    <t>RR Force</t>
  </si>
  <si>
    <t>RL Force</t>
  </si>
  <si>
    <t>FL Force</t>
  </si>
  <si>
    <t>Axle to C.G.</t>
  </si>
  <si>
    <t>Hand Wheel Turn</t>
  </si>
  <si>
    <t>2WD E-Diff</t>
  </si>
  <si>
    <t>Units</t>
  </si>
  <si>
    <t>Total Force</t>
  </si>
  <si>
    <t xml:space="preserve">Force Driving Forward </t>
  </si>
  <si>
    <t>0-62 MPH</t>
  </si>
  <si>
    <t>°</t>
  </si>
  <si>
    <t>2WD Open</t>
  </si>
  <si>
    <t>4WD Open</t>
  </si>
  <si>
    <t>1994 Dodge Viper</t>
  </si>
  <si>
    <t>W.b</t>
  </si>
  <si>
    <t>W.D Rear</t>
  </si>
  <si>
    <t>Front Axle Vectoring Clutch</t>
  </si>
  <si>
    <t>Front Clutch</t>
  </si>
  <si>
    <t>Clutch Friction</t>
  </si>
  <si>
    <t>Actuator Force</t>
  </si>
  <si>
    <t>Numer of Plates</t>
  </si>
  <si>
    <t xml:space="preserve">Rear Dual Clutch </t>
  </si>
  <si>
    <t>Outer radius</t>
  </si>
  <si>
    <t xml:space="preserve">N </t>
  </si>
  <si>
    <t>Diameter</t>
  </si>
  <si>
    <t>Pa</t>
  </si>
  <si>
    <t>Pressure on plate</t>
  </si>
  <si>
    <t>Total Ratio 1&amp;FD</t>
  </si>
  <si>
    <t>mm</t>
  </si>
  <si>
    <t>Max Crank Torque</t>
  </si>
  <si>
    <t>Force at Front Tyre</t>
  </si>
  <si>
    <t>4RM Efficiency</t>
  </si>
  <si>
    <t>Chassis/ Body Assumed even Rectangle</t>
  </si>
  <si>
    <t>Length Chassis</t>
  </si>
  <si>
    <t>Width Chassis</t>
  </si>
  <si>
    <t>kg.m^2</t>
  </si>
  <si>
    <t xml:space="preserve">Chassis </t>
  </si>
  <si>
    <t>Weight Distribution</t>
  </si>
  <si>
    <t>Constant Wear</t>
  </si>
  <si>
    <t>Rear</t>
  </si>
  <si>
    <t>Wheel Torque</t>
  </si>
  <si>
    <t>Wheel Torque split</t>
  </si>
  <si>
    <t>Torque split</t>
  </si>
  <si>
    <t>No Incline</t>
  </si>
  <si>
    <t>No Weight Transfer</t>
  </si>
  <si>
    <t>RWD Acceleration</t>
  </si>
  <si>
    <t>AWD Acceleration</t>
  </si>
  <si>
    <t>Single μ</t>
  </si>
  <si>
    <t>Max Front Tyre Force</t>
  </si>
  <si>
    <t>Max Rear Tyre Force</t>
  </si>
  <si>
    <t>Max RWD Acceleration</t>
  </si>
  <si>
    <t>Max AWD Acceleration</t>
  </si>
  <si>
    <t xml:space="preserve">Front Wheel Force </t>
  </si>
  <si>
    <t>Front Wheel Torque G1</t>
  </si>
  <si>
    <t>Rear Wheel Torque G1</t>
  </si>
  <si>
    <t>Rear Wheel Force</t>
  </si>
  <si>
    <t>Surface Force Front</t>
  </si>
  <si>
    <t>Surface Force Rear</t>
  </si>
  <si>
    <t>RWD 0-60</t>
  </si>
  <si>
    <t>AWD 0-60</t>
  </si>
  <si>
    <t>No Resistance</t>
  </si>
  <si>
    <t>Assuming</t>
  </si>
  <si>
    <t xml:space="preserve">Constant Acceleration </t>
  </si>
  <si>
    <t>AWD</t>
  </si>
  <si>
    <t>Radius of Gyration</t>
  </si>
  <si>
    <t>Inertial Conjugate</t>
  </si>
  <si>
    <t>Assumed Clutch Inner Radius</t>
  </si>
  <si>
    <t>Left Height</t>
  </si>
  <si>
    <t>Right Height</t>
  </si>
  <si>
    <t xml:space="preserve">Disk Diameter </t>
  </si>
  <si>
    <t>cm</t>
  </si>
  <si>
    <t>Brake Height Centre</t>
  </si>
  <si>
    <t>Clutch PTU Height</t>
  </si>
  <si>
    <t>Clutch PTU Diameter</t>
  </si>
  <si>
    <t>4RM ri</t>
  </si>
  <si>
    <t>Assumed to be in the centre</t>
  </si>
  <si>
    <t>Scale Inner Radius</t>
  </si>
  <si>
    <t>Value</t>
  </si>
  <si>
    <t>Unit</t>
  </si>
  <si>
    <t>https://images.app.goo.gl/41X5g3ZrgFM8MNbY9</t>
  </si>
  <si>
    <t>Input</t>
  </si>
  <si>
    <t>Max Torque Available</t>
  </si>
  <si>
    <t>Max Grip From 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</si>
</sst>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.000"/>
    <numFmt numFmtId="165" formatCode="0.0"/>
    <numFmt numFmtId="166" formatCode="0.0000"/>
  </numFmts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rgb="FF666666"/>
      <name val="Arial"/>
      <family val="2"/>
    </font>
    <font>
      <b/>
      <sz val="8"/>
      <color rgb="FF666666"/>
      <name val="Arial"/>
      <family val="2"/>
    </font>
    <font>
      <sz val="11"/>
      <color rgb="FF3A3A3A"/>
      <name val="Source Sans Pro"/>
      <family val="2"/>
    </font>
    <font>
      <vertAlign val="superscript"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CC6600"/>
        <bgColor indexed="64"/>
      </patternFill>
    </fill>
  </fills>
  <borders count="20">
    <border>
      <left/>
      <right/>
      <top/>
      <bottom/>
      <diagonal/>
    </border>
    <border>
      <left/>
      <right style="medium">
        <color rgb="FFDDDDDD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3" fontId="7" fillId="0" borderId="0" applyFont="0" applyFill="0" applyBorder="0" applyAlignment="0" applyProtection="0"/>
  </cellStyleXfs>
  <cellXfs count="63">
    <xf numFmtId="0" fontId="0" fillId="0" borderId="0" xfId="0"/>
    <xf numFmtId="46" fontId="0" fillId="0" borderId="0" xfId="0" applyNumberFormat="1"/>
    <xf numFmtId="164" fontId="0" fillId="0" borderId="0" xfId="0" applyNumberFormat="1"/>
    <xf numFmtId="0" fontId="1" fillId="0" borderId="0" xfId="1"/>
    <xf numFmtId="2" fontId="0" fillId="0" borderId="0" xfId="0" applyNumberFormat="1"/>
    <xf numFmtId="0" fontId="2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/>
    <xf numFmtId="0" fontId="0" fillId="2" borderId="0" xfId="0" applyFill="1"/>
    <xf numFmtId="165" fontId="0" fillId="0" borderId="0" xfId="0" applyNumberFormat="1"/>
    <xf numFmtId="0" fontId="0" fillId="0" borderId="2" xfId="0" applyBorder="1"/>
    <xf numFmtId="165" fontId="0" fillId="0" borderId="3" xfId="0" applyNumberFormat="1" applyBorder="1"/>
    <xf numFmtId="0" fontId="0" fillId="0" borderId="3" xfId="0" applyBorder="1"/>
    <xf numFmtId="2" fontId="0" fillId="0" borderId="3" xfId="0" applyNumberFormat="1" applyBorder="1"/>
    <xf numFmtId="165" fontId="0" fillId="0" borderId="4" xfId="0" applyNumberFormat="1" applyBorder="1"/>
    <xf numFmtId="2" fontId="0" fillId="0" borderId="4" xfId="0" applyNumberFormat="1" applyBorder="1"/>
    <xf numFmtId="0" fontId="0" fillId="0" borderId="4" xfId="0" applyBorder="1"/>
    <xf numFmtId="165" fontId="0" fillId="0" borderId="5" xfId="0" applyNumberFormat="1" applyBorder="1" applyAlignment="1">
      <alignment horizontal="right"/>
    </xf>
    <xf numFmtId="0" fontId="0" fillId="0" borderId="6" xfId="0" applyBorder="1" applyAlignment="1">
      <alignment horizontal="right"/>
    </xf>
    <xf numFmtId="0" fontId="0" fillId="0" borderId="6" xfId="0" applyBorder="1"/>
    <xf numFmtId="0" fontId="0" fillId="0" borderId="2" xfId="0" applyBorder="1" applyAlignment="1">
      <alignment horizontal="center"/>
    </xf>
    <xf numFmtId="165" fontId="0" fillId="0" borderId="7" xfId="0" applyNumberFormat="1" applyBorder="1"/>
    <xf numFmtId="0" fontId="0" fillId="3" borderId="0" xfId="0" applyFill="1"/>
    <xf numFmtId="165" fontId="0" fillId="2" borderId="0" xfId="0" applyNumberFormat="1" applyFill="1"/>
    <xf numFmtId="0" fontId="6" fillId="2" borderId="0" xfId="0" applyFont="1" applyFill="1"/>
    <xf numFmtId="0" fontId="0" fillId="2" borderId="0" xfId="0" applyFill="1" applyAlignment="1"/>
    <xf numFmtId="0" fontId="0" fillId="2" borderId="0" xfId="0" applyFill="1" applyAlignment="1">
      <alignment horizontal="right"/>
    </xf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0" borderId="0" xfId="0" applyFill="1"/>
    <xf numFmtId="165" fontId="0" fillId="0" borderId="8" xfId="2" applyNumberFormat="1" applyFont="1" applyBorder="1" applyAlignment="1">
      <alignment horizontal="center"/>
    </xf>
    <xf numFmtId="165" fontId="0" fillId="0" borderId="3" xfId="2" applyNumberFormat="1" applyFont="1" applyBorder="1" applyAlignment="1">
      <alignment horizontal="center"/>
    </xf>
    <xf numFmtId="2" fontId="0" fillId="0" borderId="3" xfId="2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0" fillId="2" borderId="3" xfId="0" applyFill="1" applyBorder="1"/>
    <xf numFmtId="9" fontId="0" fillId="2" borderId="3" xfId="0" applyNumberFormat="1" applyFill="1" applyBorder="1"/>
    <xf numFmtId="10" fontId="0" fillId="2" borderId="3" xfId="0" applyNumberFormat="1" applyFill="1" applyBorder="1"/>
    <xf numFmtId="0" fontId="6" fillId="0" borderId="3" xfId="0" applyFont="1" applyBorder="1"/>
    <xf numFmtId="164" fontId="0" fillId="0" borderId="3" xfId="0" applyNumberFormat="1" applyBorder="1"/>
    <xf numFmtId="10" fontId="0" fillId="0" borderId="3" xfId="0" applyNumberFormat="1" applyBorder="1"/>
    <xf numFmtId="166" fontId="0" fillId="0" borderId="3" xfId="0" applyNumberFormat="1" applyBorder="1"/>
    <xf numFmtId="0" fontId="0" fillId="0" borderId="17" xfId="0" applyBorder="1"/>
    <xf numFmtId="0" fontId="0" fillId="0" borderId="5" xfId="0" applyBorder="1"/>
    <xf numFmtId="0" fontId="0" fillId="0" borderId="7" xfId="0" applyBorder="1"/>
    <xf numFmtId="0" fontId="0" fillId="0" borderId="0" xfId="0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3">
    <cellStyle name="Comma" xfId="2" builtinId="3"/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CC6600"/>
      <color rgb="FFFF9933"/>
      <color rgb="FFFFFF00"/>
      <color rgb="FF0D0D0D"/>
      <color rgb="FFD9D9D9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tmp"/></Relationships>
</file>

<file path=xl/drawings/_rels/drawing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4.png"/><Relationship Id="rId1" Type="http://schemas.openxmlformats.org/officeDocument/2006/relationships/image" Target="../media/image3.tmp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microsoft.com/office/2007/relationships/hdphoto" Target="../media/hdphoto2.wdp"/><Relationship Id="rId1" Type="http://schemas.openxmlformats.org/officeDocument/2006/relationships/image" Target="../media/image7.png"/><Relationship Id="rId4" Type="http://schemas.openxmlformats.org/officeDocument/2006/relationships/image" Target="../media/image9.jpe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.jpeg"/><Relationship Id="rId3" Type="http://schemas.openxmlformats.org/officeDocument/2006/relationships/image" Target="../media/image3.tmp"/><Relationship Id="rId7" Type="http://schemas.openxmlformats.org/officeDocument/2006/relationships/image" Target="../media/image11.png"/><Relationship Id="rId2" Type="http://schemas.microsoft.com/office/2007/relationships/hdphoto" Target="../media/hdphoto3.wdp"/><Relationship Id="rId1" Type="http://schemas.openxmlformats.org/officeDocument/2006/relationships/image" Target="../media/image10.png"/><Relationship Id="rId6" Type="http://schemas.openxmlformats.org/officeDocument/2006/relationships/image" Target="../media/image5.png"/><Relationship Id="rId5" Type="http://schemas.microsoft.com/office/2007/relationships/hdphoto" Target="../media/hdphoto2.wdp"/><Relationship Id="rId4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9525</xdr:colOff>
      <xdr:row>1</xdr:row>
      <xdr:rowOff>19051</xdr:rowOff>
    </xdr:from>
    <xdr:to>
      <xdr:col>16</xdr:col>
      <xdr:colOff>425602</xdr:colOff>
      <xdr:row>16</xdr:row>
      <xdr:rowOff>173183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0A7ECB8-4135-47B0-9A37-57CF3B997B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90980" y="209551"/>
          <a:ext cx="4659031" cy="3046268"/>
        </a:xfrm>
        <a:prstGeom prst="rect">
          <a:avLst/>
        </a:prstGeom>
      </xdr:spPr>
    </xdr:pic>
    <xdr:clientData/>
  </xdr:twoCellAnchor>
  <xdr:twoCellAnchor editAs="oneCell">
    <xdr:from>
      <xdr:col>8</xdr:col>
      <xdr:colOff>526066</xdr:colOff>
      <xdr:row>16</xdr:row>
      <xdr:rowOff>145676</xdr:rowOff>
    </xdr:from>
    <xdr:to>
      <xdr:col>17</xdr:col>
      <xdr:colOff>128973</xdr:colOff>
      <xdr:row>33</xdr:row>
      <xdr:rowOff>136182</xdr:rowOff>
    </xdr:to>
    <xdr:pic>
      <xdr:nvPicPr>
        <xdr:cNvPr id="5" name="Picture 4" descr="FUEL TANKS AND FILLER NECK">
          <a:extLst>
            <a:ext uri="{FF2B5EF4-FFF2-40B4-BE49-F238E27FC236}">
              <a16:creationId xmlns:a16="http://schemas.microsoft.com/office/drawing/2014/main" id="{C96CA7FB-51C1-4FC4-8AAA-21C571C480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06478" y="3227294"/>
          <a:ext cx="5048966" cy="32290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3609</xdr:colOff>
      <xdr:row>9</xdr:row>
      <xdr:rowOff>23149</xdr:rowOff>
    </xdr:from>
    <xdr:to>
      <xdr:col>26</xdr:col>
      <xdr:colOff>256170</xdr:colOff>
      <xdr:row>22</xdr:row>
      <xdr:rowOff>90622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id="{5E32D2A9-29C0-4CEF-8505-6973CF5032F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2968" b="3560"/>
        <a:stretch/>
      </xdr:blipFill>
      <xdr:spPr>
        <a:xfrm>
          <a:off x="10886957" y="1762497"/>
          <a:ext cx="6108956" cy="2577590"/>
        </a:xfrm>
        <a:prstGeom prst="rect">
          <a:avLst/>
        </a:prstGeom>
      </xdr:spPr>
    </xdr:pic>
    <xdr:clientData/>
  </xdr:twoCellAnchor>
  <xdr:twoCellAnchor editAs="oneCell">
    <xdr:from>
      <xdr:col>6</xdr:col>
      <xdr:colOff>428626</xdr:colOff>
      <xdr:row>2</xdr:row>
      <xdr:rowOff>123825</xdr:rowOff>
    </xdr:from>
    <xdr:to>
      <xdr:col>15</xdr:col>
      <xdr:colOff>390526</xdr:colOff>
      <xdr:row>22</xdr:row>
      <xdr:rowOff>105115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F3FEA293-CE04-4FE7-8A12-8B08A727BB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harpenSoften amount="44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52951" y="504825"/>
          <a:ext cx="5448300" cy="38546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17</xdr:col>
      <xdr:colOff>611414</xdr:colOff>
      <xdr:row>10</xdr:row>
      <xdr:rowOff>122163</xdr:rowOff>
    </xdr:from>
    <xdr:to>
      <xdr:col>19</xdr:col>
      <xdr:colOff>201839</xdr:colOff>
      <xdr:row>11</xdr:row>
      <xdr:rowOff>150738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EDD1CDC2-56DD-4B91-8783-0F63E48A2C3E}"/>
            </a:ext>
          </a:extLst>
        </xdr:cNvPr>
        <xdr:cNvSpPr/>
      </xdr:nvSpPr>
      <xdr:spPr>
        <a:xfrm>
          <a:off x="11485789" y="2072520"/>
          <a:ext cx="815068" cy="221343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GB" sz="700"/>
            <a:t>Wheel (40kg)</a:t>
          </a:r>
        </a:p>
      </xdr:txBody>
    </xdr:sp>
    <xdr:clientData/>
  </xdr:twoCellAnchor>
  <xdr:twoCellAnchor>
    <xdr:from>
      <xdr:col>17</xdr:col>
      <xdr:colOff>104774</xdr:colOff>
      <xdr:row>7</xdr:row>
      <xdr:rowOff>171450</xdr:rowOff>
    </xdr:from>
    <xdr:to>
      <xdr:col>18</xdr:col>
      <xdr:colOff>171449</xdr:colOff>
      <xdr:row>10</xdr:row>
      <xdr:rowOff>85725</xdr:rowOff>
    </xdr:to>
    <xdr:sp macro="" textlink="">
      <xdr:nvSpPr>
        <xdr:cNvPr id="15" name="Arrow: Right 14">
          <a:extLst>
            <a:ext uri="{FF2B5EF4-FFF2-40B4-BE49-F238E27FC236}">
              <a16:creationId xmlns:a16="http://schemas.microsoft.com/office/drawing/2014/main" id="{C0FB77DA-E193-4480-9DD4-A2BCC7741AFD}"/>
            </a:ext>
          </a:extLst>
        </xdr:cNvPr>
        <xdr:cNvSpPr/>
      </xdr:nvSpPr>
      <xdr:spPr>
        <a:xfrm flipH="1">
          <a:off x="10934699" y="1504950"/>
          <a:ext cx="676275" cy="485775"/>
        </a:xfrm>
        <a:prstGeom prst="rightArrow">
          <a:avLst>
            <a:gd name="adj1" fmla="val 50000"/>
            <a:gd name="adj2" fmla="val 3627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GB" sz="1100"/>
            <a:t>Front</a:t>
          </a:r>
        </a:p>
      </xdr:txBody>
    </xdr:sp>
    <xdr:clientData/>
  </xdr:twoCellAnchor>
  <xdr:twoCellAnchor>
    <xdr:from>
      <xdr:col>18</xdr:col>
      <xdr:colOff>323850</xdr:colOff>
      <xdr:row>24</xdr:row>
      <xdr:rowOff>66675</xdr:rowOff>
    </xdr:from>
    <xdr:to>
      <xdr:col>25</xdr:col>
      <xdr:colOff>180975</xdr:colOff>
      <xdr:row>24</xdr:row>
      <xdr:rowOff>66675</xdr:rowOff>
    </xdr:to>
    <xdr:cxnSp macro="">
      <xdr:nvCxnSpPr>
        <xdr:cNvPr id="18" name="Straight Arrow Connector 17">
          <a:extLst>
            <a:ext uri="{FF2B5EF4-FFF2-40B4-BE49-F238E27FC236}">
              <a16:creationId xmlns:a16="http://schemas.microsoft.com/office/drawing/2014/main" id="{E189390C-BFDA-4BC3-8F0A-38FC4D0A2B99}"/>
            </a:ext>
          </a:extLst>
        </xdr:cNvPr>
        <xdr:cNvCxnSpPr/>
      </xdr:nvCxnSpPr>
      <xdr:spPr>
        <a:xfrm flipV="1">
          <a:off x="11724084" y="4638675"/>
          <a:ext cx="4107657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21</xdr:col>
      <xdr:colOff>596582</xdr:colOff>
      <xdr:row>15</xdr:row>
      <xdr:rowOff>85725</xdr:rowOff>
    </xdr:from>
    <xdr:to>
      <xdr:col>22</xdr:col>
      <xdr:colOff>348931</xdr:colOff>
      <xdr:row>17</xdr:row>
      <xdr:rowOff>66675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D2E4087F-9058-46E9-BD0D-FA719D15C6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64907" y="2943225"/>
          <a:ext cx="361950" cy="361950"/>
        </a:xfrm>
        <a:prstGeom prst="rect">
          <a:avLst/>
        </a:prstGeom>
      </xdr:spPr>
    </xdr:pic>
    <xdr:clientData/>
  </xdr:twoCellAnchor>
  <xdr:twoCellAnchor>
    <xdr:from>
      <xdr:col>18</xdr:col>
      <xdr:colOff>350744</xdr:colOff>
      <xdr:row>23</xdr:row>
      <xdr:rowOff>14569</xdr:rowOff>
    </xdr:from>
    <xdr:to>
      <xdr:col>22</xdr:col>
      <xdr:colOff>113526</xdr:colOff>
      <xdr:row>23</xdr:row>
      <xdr:rowOff>14569</xdr:rowOff>
    </xdr:to>
    <xdr:cxnSp macro="">
      <xdr:nvCxnSpPr>
        <xdr:cNvPr id="25" name="Straight Arrow Connector 24">
          <a:extLst>
            <a:ext uri="{FF2B5EF4-FFF2-40B4-BE49-F238E27FC236}">
              <a16:creationId xmlns:a16="http://schemas.microsoft.com/office/drawing/2014/main" id="{D736392B-081C-4F4C-A6CC-EC870DB35DE3}"/>
            </a:ext>
          </a:extLst>
        </xdr:cNvPr>
        <xdr:cNvCxnSpPr/>
      </xdr:nvCxnSpPr>
      <xdr:spPr>
        <a:xfrm>
          <a:off x="11713509" y="4463304"/>
          <a:ext cx="2541841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400050</xdr:colOff>
      <xdr:row>11</xdr:row>
      <xdr:rowOff>60723</xdr:rowOff>
    </xdr:from>
    <xdr:to>
      <xdr:col>26</xdr:col>
      <xdr:colOff>400050</xdr:colOff>
      <xdr:row>20</xdr:row>
      <xdr:rowOff>182223</xdr:rowOff>
    </xdr:to>
    <xdr:cxnSp macro="">
      <xdr:nvCxnSpPr>
        <xdr:cNvPr id="27" name="Straight Arrow Connector 26">
          <a:extLst>
            <a:ext uri="{FF2B5EF4-FFF2-40B4-BE49-F238E27FC236}">
              <a16:creationId xmlns:a16="http://schemas.microsoft.com/office/drawing/2014/main" id="{C41FCB5C-3FD3-4885-8678-5C753988E666}"/>
            </a:ext>
          </a:extLst>
        </xdr:cNvPr>
        <xdr:cNvCxnSpPr/>
      </xdr:nvCxnSpPr>
      <xdr:spPr>
        <a:xfrm flipH="1">
          <a:off x="16658034" y="2185989"/>
          <a:ext cx="0" cy="183600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152400</xdr:colOff>
      <xdr:row>11</xdr:row>
      <xdr:rowOff>114301</xdr:rowOff>
    </xdr:from>
    <xdr:to>
      <xdr:col>17</xdr:col>
      <xdr:colOff>152400</xdr:colOff>
      <xdr:row>21</xdr:row>
      <xdr:rowOff>9301</xdr:rowOff>
    </xdr:to>
    <xdr:cxnSp macro="">
      <xdr:nvCxnSpPr>
        <xdr:cNvPr id="28" name="Straight Arrow Connector 27">
          <a:extLst>
            <a:ext uri="{FF2B5EF4-FFF2-40B4-BE49-F238E27FC236}">
              <a16:creationId xmlns:a16="http://schemas.microsoft.com/office/drawing/2014/main" id="{0EFF8B78-D889-49EC-AAFB-FBAC8CD7D341}"/>
            </a:ext>
          </a:extLst>
        </xdr:cNvPr>
        <xdr:cNvCxnSpPr/>
      </xdr:nvCxnSpPr>
      <xdr:spPr>
        <a:xfrm flipH="1">
          <a:off x="10945416" y="2239567"/>
          <a:ext cx="0" cy="180000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345387</xdr:colOff>
      <xdr:row>15</xdr:row>
      <xdr:rowOff>28575</xdr:rowOff>
    </xdr:from>
    <xdr:to>
      <xdr:col>26</xdr:col>
      <xdr:colOff>75374</xdr:colOff>
      <xdr:row>17</xdr:row>
      <xdr:rowOff>133350</xdr:rowOff>
    </xdr:to>
    <xdr:sp macro="" textlink="">
      <xdr:nvSpPr>
        <xdr:cNvPr id="29" name="Rectangle: Rounded Corners 28">
          <a:extLst>
            <a:ext uri="{FF2B5EF4-FFF2-40B4-BE49-F238E27FC236}">
              <a16:creationId xmlns:a16="http://schemas.microsoft.com/office/drawing/2014/main" id="{573B4BA9-049B-4D7B-AAD2-023195E17E0F}"/>
            </a:ext>
          </a:extLst>
        </xdr:cNvPr>
        <xdr:cNvSpPr/>
      </xdr:nvSpPr>
      <xdr:spPr>
        <a:xfrm>
          <a:off x="15519126" y="2910923"/>
          <a:ext cx="955813" cy="4857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900"/>
            <a:t>Trans and Diff (~250kg)</a:t>
          </a:r>
        </a:p>
      </xdr:txBody>
    </xdr:sp>
    <xdr:clientData/>
  </xdr:twoCellAnchor>
  <xdr:twoCellAnchor>
    <xdr:from>
      <xdr:col>19</xdr:col>
      <xdr:colOff>2721</xdr:colOff>
      <xdr:row>14</xdr:row>
      <xdr:rowOff>161925</xdr:rowOff>
    </xdr:from>
    <xdr:to>
      <xdr:col>20</xdr:col>
      <xdr:colOff>374197</xdr:colOff>
      <xdr:row>17</xdr:row>
      <xdr:rowOff>133351</xdr:rowOff>
    </xdr:to>
    <xdr:sp macro="" textlink="">
      <xdr:nvSpPr>
        <xdr:cNvPr id="30" name="Rectangle: Rounded Corners 29">
          <a:extLst>
            <a:ext uri="{FF2B5EF4-FFF2-40B4-BE49-F238E27FC236}">
              <a16:creationId xmlns:a16="http://schemas.microsoft.com/office/drawing/2014/main" id="{FF6E661F-B519-4774-9C27-FCFD3A47DFC7}"/>
            </a:ext>
          </a:extLst>
        </xdr:cNvPr>
        <xdr:cNvSpPr/>
      </xdr:nvSpPr>
      <xdr:spPr>
        <a:xfrm>
          <a:off x="12101739" y="2883354"/>
          <a:ext cx="1199244" cy="54972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900"/>
            <a:t>Engine and Bell Housing (~400kg)</a:t>
          </a:r>
        </a:p>
      </xdr:txBody>
    </xdr:sp>
    <xdr:clientData/>
  </xdr:twoCellAnchor>
  <xdr:twoCellAnchor>
    <xdr:from>
      <xdr:col>18</xdr:col>
      <xdr:colOff>95249</xdr:colOff>
      <xdr:row>14</xdr:row>
      <xdr:rowOff>152400</xdr:rowOff>
    </xdr:from>
    <xdr:to>
      <xdr:col>18</xdr:col>
      <xdr:colOff>523874</xdr:colOff>
      <xdr:row>18</xdr:row>
      <xdr:rowOff>0</xdr:rowOff>
    </xdr:to>
    <xdr:sp macro="" textlink="">
      <xdr:nvSpPr>
        <xdr:cNvPr id="32" name="Rectangle: Rounded Corners 31">
          <a:extLst>
            <a:ext uri="{FF2B5EF4-FFF2-40B4-BE49-F238E27FC236}">
              <a16:creationId xmlns:a16="http://schemas.microsoft.com/office/drawing/2014/main" id="{5EADB737-37B2-4F69-A477-11567102026A}"/>
            </a:ext>
          </a:extLst>
        </xdr:cNvPr>
        <xdr:cNvSpPr/>
      </xdr:nvSpPr>
      <xdr:spPr>
        <a:xfrm>
          <a:off x="11534774" y="2819400"/>
          <a:ext cx="428625" cy="6096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GB" sz="800"/>
            <a:t>4RM</a:t>
          </a:r>
        </a:p>
        <a:p>
          <a:pPr algn="l"/>
          <a:r>
            <a:rPr lang="en-GB" sz="800"/>
            <a:t>(~60kg)</a:t>
          </a:r>
        </a:p>
      </xdr:txBody>
    </xdr:sp>
    <xdr:clientData/>
  </xdr:twoCellAnchor>
  <xdr:twoCellAnchor>
    <xdr:from>
      <xdr:col>23</xdr:col>
      <xdr:colOff>408074</xdr:colOff>
      <xdr:row>13</xdr:row>
      <xdr:rowOff>154781</xdr:rowOff>
    </xdr:from>
    <xdr:to>
      <xdr:col>24</xdr:col>
      <xdr:colOff>240198</xdr:colOff>
      <xdr:row>18</xdr:row>
      <xdr:rowOff>148828</xdr:rowOff>
    </xdr:to>
    <xdr:sp macro="" textlink="">
      <xdr:nvSpPr>
        <xdr:cNvPr id="33" name="Rectangle: Rounded Corners 32">
          <a:extLst>
            <a:ext uri="{FF2B5EF4-FFF2-40B4-BE49-F238E27FC236}">
              <a16:creationId xmlns:a16="http://schemas.microsoft.com/office/drawing/2014/main" id="{EE46B7DC-1AF6-4924-AF8F-838438D7C77F}"/>
            </a:ext>
          </a:extLst>
        </xdr:cNvPr>
        <xdr:cNvSpPr/>
      </xdr:nvSpPr>
      <xdr:spPr>
        <a:xfrm>
          <a:off x="14968900" y="2656129"/>
          <a:ext cx="445037" cy="94654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GB" sz="800"/>
            <a:t>Fuel Tank</a:t>
          </a:r>
        </a:p>
        <a:p>
          <a:pPr algn="l"/>
          <a:r>
            <a:rPr lang="en-GB" sz="800"/>
            <a:t>(~70kg)</a:t>
          </a:r>
        </a:p>
      </xdr:txBody>
    </xdr:sp>
    <xdr:clientData/>
  </xdr:twoCellAnchor>
  <xdr:twoCellAnchor>
    <xdr:from>
      <xdr:col>18</xdr:col>
      <xdr:colOff>10716</xdr:colOff>
      <xdr:row>20</xdr:row>
      <xdr:rowOff>34584</xdr:rowOff>
    </xdr:from>
    <xdr:to>
      <xdr:col>19</xdr:col>
      <xdr:colOff>208359</xdr:colOff>
      <xdr:row>21</xdr:row>
      <xdr:rowOff>63159</xdr:rowOff>
    </xdr:to>
    <xdr:sp macro="" textlink="">
      <xdr:nvSpPr>
        <xdr:cNvPr id="34" name="Rectangle 33">
          <a:extLst>
            <a:ext uri="{FF2B5EF4-FFF2-40B4-BE49-F238E27FC236}">
              <a16:creationId xmlns:a16="http://schemas.microsoft.com/office/drawing/2014/main" id="{1240910C-EB52-4DBD-93CD-0E3BFE87ED29}"/>
            </a:ext>
          </a:extLst>
        </xdr:cNvPr>
        <xdr:cNvSpPr/>
      </xdr:nvSpPr>
      <xdr:spPr>
        <a:xfrm>
          <a:off x="11497412" y="3912620"/>
          <a:ext cx="809965" cy="221343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GB" sz="700"/>
            <a:t>Wheel (40kg)</a:t>
          </a:r>
        </a:p>
      </xdr:txBody>
    </xdr:sp>
    <xdr:clientData/>
  </xdr:twoCellAnchor>
  <xdr:twoCellAnchor>
    <xdr:from>
      <xdr:col>24</xdr:col>
      <xdr:colOff>51537</xdr:colOff>
      <xdr:row>20</xdr:row>
      <xdr:rowOff>184547</xdr:rowOff>
    </xdr:from>
    <xdr:to>
      <xdr:col>25</xdr:col>
      <xdr:colOff>249180</xdr:colOff>
      <xdr:row>22</xdr:row>
      <xdr:rowOff>22623</xdr:rowOff>
    </xdr:to>
    <xdr:sp macro="" textlink="">
      <xdr:nvSpPr>
        <xdr:cNvPr id="35" name="Rectangle 34">
          <a:extLst>
            <a:ext uri="{FF2B5EF4-FFF2-40B4-BE49-F238E27FC236}">
              <a16:creationId xmlns:a16="http://schemas.microsoft.com/office/drawing/2014/main" id="{800E0858-5CA7-4E76-AFBE-6F3C68D35A8B}"/>
            </a:ext>
          </a:extLst>
        </xdr:cNvPr>
        <xdr:cNvSpPr/>
      </xdr:nvSpPr>
      <xdr:spPr>
        <a:xfrm>
          <a:off x="15427608" y="4062583"/>
          <a:ext cx="809965" cy="223611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GB" sz="700"/>
            <a:t>Wheel (40kg)</a:t>
          </a:r>
        </a:p>
      </xdr:txBody>
    </xdr:sp>
    <xdr:clientData/>
  </xdr:twoCellAnchor>
  <xdr:twoCellAnchor>
    <xdr:from>
      <xdr:col>24</xdr:col>
      <xdr:colOff>29425</xdr:colOff>
      <xdr:row>10</xdr:row>
      <xdr:rowOff>15290</xdr:rowOff>
    </xdr:from>
    <xdr:to>
      <xdr:col>25</xdr:col>
      <xdr:colOff>227068</xdr:colOff>
      <xdr:row>11</xdr:row>
      <xdr:rowOff>43865</xdr:rowOff>
    </xdr:to>
    <xdr:sp macro="" textlink="">
      <xdr:nvSpPr>
        <xdr:cNvPr id="36" name="Rectangle 35">
          <a:extLst>
            <a:ext uri="{FF2B5EF4-FFF2-40B4-BE49-F238E27FC236}">
              <a16:creationId xmlns:a16="http://schemas.microsoft.com/office/drawing/2014/main" id="{F5C074E6-FF59-4A4C-8EA6-F454CD110AED}"/>
            </a:ext>
          </a:extLst>
        </xdr:cNvPr>
        <xdr:cNvSpPr/>
      </xdr:nvSpPr>
      <xdr:spPr>
        <a:xfrm>
          <a:off x="15405496" y="1965647"/>
          <a:ext cx="809965" cy="221343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GB" sz="700"/>
            <a:t>Wheel (40kg)</a:t>
          </a:r>
        </a:p>
      </xdr:txBody>
    </xdr:sp>
    <xdr:clientData/>
  </xdr:twoCellAnchor>
  <xdr:twoCellAnchor>
    <xdr:from>
      <xdr:col>22</xdr:col>
      <xdr:colOff>57868</xdr:colOff>
      <xdr:row>18</xdr:row>
      <xdr:rowOff>103622</xdr:rowOff>
    </xdr:from>
    <xdr:to>
      <xdr:col>23</xdr:col>
      <xdr:colOff>432657</xdr:colOff>
      <xdr:row>20</xdr:row>
      <xdr:rowOff>165421</xdr:rowOff>
    </xdr:to>
    <xdr:sp macro="" textlink="">
      <xdr:nvSpPr>
        <xdr:cNvPr id="38" name="Oval 37">
          <a:extLst>
            <a:ext uri="{FF2B5EF4-FFF2-40B4-BE49-F238E27FC236}">
              <a16:creationId xmlns:a16="http://schemas.microsoft.com/office/drawing/2014/main" id="{462AC72C-6D51-4FB6-BABF-8A426CCC8CA4}"/>
            </a:ext>
          </a:extLst>
        </xdr:cNvPr>
        <xdr:cNvSpPr/>
      </xdr:nvSpPr>
      <xdr:spPr>
        <a:xfrm>
          <a:off x="14209297" y="3596122"/>
          <a:ext cx="987110" cy="44733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GB" sz="700"/>
            <a:t>Occupant (70kg)</a:t>
          </a:r>
        </a:p>
      </xdr:txBody>
    </xdr:sp>
    <xdr:clientData/>
  </xdr:twoCellAnchor>
  <xdr:twoCellAnchor>
    <xdr:from>
      <xdr:col>18</xdr:col>
      <xdr:colOff>285750</xdr:colOff>
      <xdr:row>18</xdr:row>
      <xdr:rowOff>113109</xdr:rowOff>
    </xdr:from>
    <xdr:to>
      <xdr:col>19</xdr:col>
      <xdr:colOff>523875</xdr:colOff>
      <xdr:row>18</xdr:row>
      <xdr:rowOff>113109</xdr:rowOff>
    </xdr:to>
    <xdr:cxnSp macro="">
      <xdr:nvCxnSpPr>
        <xdr:cNvPr id="40" name="Straight Arrow Connector 39">
          <a:extLst>
            <a:ext uri="{FF2B5EF4-FFF2-40B4-BE49-F238E27FC236}">
              <a16:creationId xmlns:a16="http://schemas.microsoft.com/office/drawing/2014/main" id="{A44DA2E6-7362-4873-A7CE-C8DC06870C3C}"/>
            </a:ext>
          </a:extLst>
        </xdr:cNvPr>
        <xdr:cNvCxnSpPr/>
      </xdr:nvCxnSpPr>
      <xdr:spPr>
        <a:xfrm flipV="1">
          <a:off x="11685984" y="3542109"/>
          <a:ext cx="845344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11906</xdr:colOff>
      <xdr:row>17</xdr:row>
      <xdr:rowOff>130969</xdr:rowOff>
    </xdr:from>
    <xdr:to>
      <xdr:col>19</xdr:col>
      <xdr:colOff>476250</xdr:colOff>
      <xdr:row>18</xdr:row>
      <xdr:rowOff>107156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15931966-0B55-49B2-96F8-5953ABA36B3F}"/>
            </a:ext>
          </a:extLst>
        </xdr:cNvPr>
        <xdr:cNvSpPr txBox="1"/>
      </xdr:nvSpPr>
      <xdr:spPr>
        <a:xfrm>
          <a:off x="12019359" y="3369469"/>
          <a:ext cx="464344" cy="1666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600"/>
            <a:t>0.45m</a:t>
          </a:r>
        </a:p>
      </xdr:txBody>
    </xdr:sp>
    <xdr:clientData/>
  </xdr:twoCellAnchor>
  <xdr:twoCellAnchor>
    <xdr:from>
      <xdr:col>18</xdr:col>
      <xdr:colOff>315515</xdr:colOff>
      <xdr:row>21</xdr:row>
      <xdr:rowOff>83344</xdr:rowOff>
    </xdr:from>
    <xdr:to>
      <xdr:col>22</xdr:col>
      <xdr:colOff>422672</xdr:colOff>
      <xdr:row>21</xdr:row>
      <xdr:rowOff>83344</xdr:rowOff>
    </xdr:to>
    <xdr:cxnSp macro="">
      <xdr:nvCxnSpPr>
        <xdr:cNvPr id="42" name="Straight Arrow Connector 41">
          <a:extLst>
            <a:ext uri="{FF2B5EF4-FFF2-40B4-BE49-F238E27FC236}">
              <a16:creationId xmlns:a16="http://schemas.microsoft.com/office/drawing/2014/main" id="{02167B95-96BE-4AC5-A2E4-0EDCFC79D9D6}"/>
            </a:ext>
          </a:extLst>
        </xdr:cNvPr>
        <xdr:cNvCxnSpPr/>
      </xdr:nvCxnSpPr>
      <xdr:spPr>
        <a:xfrm>
          <a:off x="11715749" y="4083844"/>
          <a:ext cx="2536032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66619</xdr:colOff>
      <xdr:row>21</xdr:row>
      <xdr:rowOff>61232</xdr:rowOff>
    </xdr:from>
    <xdr:to>
      <xdr:col>20</xdr:col>
      <xdr:colOff>530963</xdr:colOff>
      <xdr:row>22</xdr:row>
      <xdr:rowOff>37420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6F7A04CD-BB35-4FF4-9D6A-F9EFC26F8491}"/>
            </a:ext>
          </a:extLst>
        </xdr:cNvPr>
        <xdr:cNvSpPr txBox="1"/>
      </xdr:nvSpPr>
      <xdr:spPr>
        <a:xfrm>
          <a:off x="13004744" y="4132036"/>
          <a:ext cx="464344" cy="1689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600"/>
            <a:t>1.93m</a:t>
          </a:r>
        </a:p>
      </xdr:txBody>
    </xdr:sp>
    <xdr:clientData/>
  </xdr:twoCellAnchor>
  <xdr:twoCellAnchor>
    <xdr:from>
      <xdr:col>18</xdr:col>
      <xdr:colOff>339328</xdr:colOff>
      <xdr:row>14</xdr:row>
      <xdr:rowOff>95250</xdr:rowOff>
    </xdr:from>
    <xdr:to>
      <xdr:col>23</xdr:col>
      <xdr:colOff>345281</xdr:colOff>
      <xdr:row>14</xdr:row>
      <xdr:rowOff>95251</xdr:rowOff>
    </xdr:to>
    <xdr:cxnSp macro="">
      <xdr:nvCxnSpPr>
        <xdr:cNvPr id="45" name="Straight Arrow Connector 44">
          <a:extLst>
            <a:ext uri="{FF2B5EF4-FFF2-40B4-BE49-F238E27FC236}">
              <a16:creationId xmlns:a16="http://schemas.microsoft.com/office/drawing/2014/main" id="{9FF983C9-FA9D-45E6-83A4-B27BA01344A0}"/>
            </a:ext>
          </a:extLst>
        </xdr:cNvPr>
        <xdr:cNvCxnSpPr/>
      </xdr:nvCxnSpPr>
      <xdr:spPr>
        <a:xfrm flipV="1">
          <a:off x="11739562" y="2762250"/>
          <a:ext cx="3042047" cy="1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423966</xdr:colOff>
      <xdr:row>13</xdr:row>
      <xdr:rowOff>152193</xdr:rowOff>
    </xdr:from>
    <xdr:to>
      <xdr:col>23</xdr:col>
      <xdr:colOff>281091</xdr:colOff>
      <xdr:row>14</xdr:row>
      <xdr:rowOff>128380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358A590C-EE0C-4919-A767-D7EB1B6DE637}"/>
            </a:ext>
          </a:extLst>
        </xdr:cNvPr>
        <xdr:cNvSpPr txBox="1"/>
      </xdr:nvSpPr>
      <xdr:spPr>
        <a:xfrm>
          <a:off x="14371879" y="2653541"/>
          <a:ext cx="470038" cy="1666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600"/>
            <a:t>2.9m</a:t>
          </a:r>
        </a:p>
      </xdr:txBody>
    </xdr:sp>
    <xdr:clientData/>
  </xdr:twoCellAnchor>
  <xdr:twoCellAnchor>
    <xdr:from>
      <xdr:col>18</xdr:col>
      <xdr:colOff>339328</xdr:colOff>
      <xdr:row>13</xdr:row>
      <xdr:rowOff>101203</xdr:rowOff>
    </xdr:from>
    <xdr:to>
      <xdr:col>24</xdr:col>
      <xdr:colOff>476249</xdr:colOff>
      <xdr:row>13</xdr:row>
      <xdr:rowOff>101203</xdr:rowOff>
    </xdr:to>
    <xdr:cxnSp macro="">
      <xdr:nvCxnSpPr>
        <xdr:cNvPr id="49" name="Straight Arrow Connector 48">
          <a:extLst>
            <a:ext uri="{FF2B5EF4-FFF2-40B4-BE49-F238E27FC236}">
              <a16:creationId xmlns:a16="http://schemas.microsoft.com/office/drawing/2014/main" id="{1D3690CA-61DA-4816-8EFE-198F14B9C24B}"/>
            </a:ext>
          </a:extLst>
        </xdr:cNvPr>
        <xdr:cNvCxnSpPr/>
      </xdr:nvCxnSpPr>
      <xdr:spPr>
        <a:xfrm flipV="1">
          <a:off x="11739562" y="2577703"/>
          <a:ext cx="3780234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478234</xdr:colOff>
      <xdr:row>13</xdr:row>
      <xdr:rowOff>27781</xdr:rowOff>
    </xdr:from>
    <xdr:to>
      <xdr:col>25</xdr:col>
      <xdr:colOff>335359</xdr:colOff>
      <xdr:row>14</xdr:row>
      <xdr:rowOff>3968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D44658D4-8BFA-4115-8898-A3960936993C}"/>
            </a:ext>
          </a:extLst>
        </xdr:cNvPr>
        <xdr:cNvSpPr txBox="1"/>
      </xdr:nvSpPr>
      <xdr:spPr>
        <a:xfrm>
          <a:off x="15979038" y="2556442"/>
          <a:ext cx="469446" cy="1689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600"/>
            <a:t>3.1m</a:t>
          </a:r>
        </a:p>
      </xdr:txBody>
    </xdr:sp>
    <xdr:clientData/>
  </xdr:twoCellAnchor>
  <xdr:twoCellAnchor>
    <xdr:from>
      <xdr:col>22</xdr:col>
      <xdr:colOff>49794</xdr:colOff>
      <xdr:row>11</xdr:row>
      <xdr:rowOff>57521</xdr:rowOff>
    </xdr:from>
    <xdr:to>
      <xdr:col>23</xdr:col>
      <xdr:colOff>424583</xdr:colOff>
      <xdr:row>13</xdr:row>
      <xdr:rowOff>117052</xdr:rowOff>
    </xdr:to>
    <xdr:sp macro="" textlink="">
      <xdr:nvSpPr>
        <xdr:cNvPr id="37" name="Oval 36">
          <a:extLst>
            <a:ext uri="{FF2B5EF4-FFF2-40B4-BE49-F238E27FC236}">
              <a16:creationId xmlns:a16="http://schemas.microsoft.com/office/drawing/2014/main" id="{342D00C3-2E9C-4827-BF67-455B6E495B5B}"/>
            </a:ext>
          </a:extLst>
        </xdr:cNvPr>
        <xdr:cNvSpPr/>
      </xdr:nvSpPr>
      <xdr:spPr>
        <a:xfrm>
          <a:off x="14201223" y="2200646"/>
          <a:ext cx="987110" cy="445067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GB" sz="700"/>
            <a:t>Occupant (70kg)</a:t>
          </a:r>
        </a:p>
      </xdr:txBody>
    </xdr:sp>
    <xdr:clientData/>
  </xdr:twoCellAnchor>
  <xdr:twoCellAnchor editAs="oneCell">
    <xdr:from>
      <xdr:col>9</xdr:col>
      <xdr:colOff>334644</xdr:colOff>
      <xdr:row>7</xdr:row>
      <xdr:rowOff>107155</xdr:rowOff>
    </xdr:from>
    <xdr:to>
      <xdr:col>9</xdr:col>
      <xdr:colOff>596041</xdr:colOff>
      <xdr:row>8</xdr:row>
      <xdr:rowOff>179784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id="{A5E880E1-1D60-4E68-A3BB-6C21657A27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9910" y="1440655"/>
          <a:ext cx="261397" cy="263129"/>
        </a:xfrm>
        <a:prstGeom prst="rect">
          <a:avLst/>
        </a:prstGeom>
      </xdr:spPr>
    </xdr:pic>
    <xdr:clientData/>
  </xdr:twoCellAnchor>
  <xdr:twoCellAnchor>
    <xdr:from>
      <xdr:col>7</xdr:col>
      <xdr:colOff>506016</xdr:colOff>
      <xdr:row>10</xdr:row>
      <xdr:rowOff>17859</xdr:rowOff>
    </xdr:from>
    <xdr:to>
      <xdr:col>9</xdr:col>
      <xdr:colOff>454378</xdr:colOff>
      <xdr:row>10</xdr:row>
      <xdr:rowOff>17859</xdr:rowOff>
    </xdr:to>
    <xdr:cxnSp macro="">
      <xdr:nvCxnSpPr>
        <xdr:cNvPr id="57" name="Straight Connector 56">
          <a:extLst>
            <a:ext uri="{FF2B5EF4-FFF2-40B4-BE49-F238E27FC236}">
              <a16:creationId xmlns:a16="http://schemas.microsoft.com/office/drawing/2014/main" id="{4107700D-CC95-444C-8D48-D4899B18B4CA}"/>
            </a:ext>
          </a:extLst>
        </xdr:cNvPr>
        <xdr:cNvCxnSpPr/>
      </xdr:nvCxnSpPr>
      <xdr:spPr>
        <a:xfrm flipV="1">
          <a:off x="5226844" y="1952625"/>
          <a:ext cx="1162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9</xdr:col>
      <xdr:colOff>269160</xdr:colOff>
      <xdr:row>15</xdr:row>
      <xdr:rowOff>166686</xdr:rowOff>
    </xdr:from>
    <xdr:to>
      <xdr:col>9</xdr:col>
      <xdr:colOff>530557</xdr:colOff>
      <xdr:row>17</xdr:row>
      <xdr:rowOff>48815</xdr:rowOff>
    </xdr:to>
    <xdr:pic>
      <xdr:nvPicPr>
        <xdr:cNvPr id="58" name="Picture 57">
          <a:extLst>
            <a:ext uri="{FF2B5EF4-FFF2-40B4-BE49-F238E27FC236}">
              <a16:creationId xmlns:a16="http://schemas.microsoft.com/office/drawing/2014/main" id="{C9FB3301-3A65-447B-A75B-EC24E5C4EF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04426" y="3053952"/>
          <a:ext cx="261397" cy="263129"/>
        </a:xfrm>
        <a:prstGeom prst="rect">
          <a:avLst/>
        </a:prstGeom>
      </xdr:spPr>
    </xdr:pic>
    <xdr:clientData/>
  </xdr:twoCellAnchor>
  <xdr:twoCellAnchor>
    <xdr:from>
      <xdr:col>22</xdr:col>
      <xdr:colOff>238125</xdr:colOff>
      <xdr:row>23</xdr:row>
      <xdr:rowOff>0</xdr:rowOff>
    </xdr:from>
    <xdr:to>
      <xdr:col>25</xdr:col>
      <xdr:colOff>102053</xdr:colOff>
      <xdr:row>23</xdr:row>
      <xdr:rowOff>11340</xdr:rowOff>
    </xdr:to>
    <xdr:cxnSp macro="">
      <xdr:nvCxnSpPr>
        <xdr:cNvPr id="46" name="Straight Arrow Connector 45">
          <a:extLst>
            <a:ext uri="{FF2B5EF4-FFF2-40B4-BE49-F238E27FC236}">
              <a16:creationId xmlns:a16="http://schemas.microsoft.com/office/drawing/2014/main" id="{5E9766B2-6482-4023-9131-005D6CE23DA6}"/>
            </a:ext>
          </a:extLst>
        </xdr:cNvPr>
        <xdr:cNvCxnSpPr/>
      </xdr:nvCxnSpPr>
      <xdr:spPr>
        <a:xfrm flipV="1">
          <a:off x="14389554" y="4456339"/>
          <a:ext cx="1700892" cy="1134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6</xdr:col>
      <xdr:colOff>89217</xdr:colOff>
      <xdr:row>3</xdr:row>
      <xdr:rowOff>124558</xdr:rowOff>
    </xdr:from>
    <xdr:to>
      <xdr:col>15</xdr:col>
      <xdr:colOff>382769</xdr:colOff>
      <xdr:row>32</xdr:row>
      <xdr:rowOff>11867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6D45C66-46B0-4DAC-AC15-5748C416F8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6948" y="696058"/>
          <a:ext cx="5766763" cy="5643624"/>
        </a:xfrm>
        <a:prstGeom prst="rect">
          <a:avLst/>
        </a:prstGeom>
      </xdr:spPr>
    </xdr:pic>
    <xdr:clientData/>
  </xdr:twoCellAnchor>
  <xdr:twoCellAnchor>
    <xdr:from>
      <xdr:col>8</xdr:col>
      <xdr:colOff>7327</xdr:colOff>
      <xdr:row>14</xdr:row>
      <xdr:rowOff>29307</xdr:rowOff>
    </xdr:from>
    <xdr:to>
      <xdr:col>10</xdr:col>
      <xdr:colOff>565858</xdr:colOff>
      <xdr:row>14</xdr:row>
      <xdr:rowOff>29307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7DFE9FDE-9AC0-49CA-9DDA-4C46887045CA}"/>
            </a:ext>
          </a:extLst>
        </xdr:cNvPr>
        <xdr:cNvCxnSpPr/>
      </xdr:nvCxnSpPr>
      <xdr:spPr>
        <a:xfrm>
          <a:off x="5341327" y="2725615"/>
          <a:ext cx="1774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7327</xdr:colOff>
      <xdr:row>14</xdr:row>
      <xdr:rowOff>124557</xdr:rowOff>
    </xdr:from>
    <xdr:to>
      <xdr:col>11</xdr:col>
      <xdr:colOff>342923</xdr:colOff>
      <xdr:row>14</xdr:row>
      <xdr:rowOff>124557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F39B8A56-534E-4D0F-80FB-08FFE9B6D8AB}"/>
            </a:ext>
          </a:extLst>
        </xdr:cNvPr>
        <xdr:cNvCxnSpPr/>
      </xdr:nvCxnSpPr>
      <xdr:spPr>
        <a:xfrm flipV="1">
          <a:off x="5341327" y="2820865"/>
          <a:ext cx="2160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22</xdr:col>
      <xdr:colOff>52666</xdr:colOff>
      <xdr:row>52</xdr:row>
      <xdr:rowOff>91888</xdr:rowOff>
    </xdr:from>
    <xdr:ext cx="1561581" cy="31688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31D9A4AF-6323-4BFD-A60A-5647F62803E5}"/>
                </a:ext>
              </a:extLst>
            </xdr:cNvPr>
            <xdr:cNvSpPr txBox="1"/>
          </xdr:nvSpPr>
          <xdr:spPr>
            <a:xfrm>
              <a:off x="14194490" y="10378888"/>
              <a:ext cx="1561581" cy="31688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</a:rPr>
                      <m:t>𝐼𝑐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GB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1</m:t>
                        </m:r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12</m:t>
                        </m:r>
                      </m:den>
                    </m:f>
                    <m:r>
                      <a:rPr lang="en-GB" sz="1100" b="0" i="1">
                        <a:latin typeface="Cambria Math" panose="02040503050406030204" pitchFamily="18" charset="0"/>
                      </a:rPr>
                      <m:t>×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𝑚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×</m:t>
                    </m:r>
                    <m:d>
                      <m:dPr>
                        <m:ctrlPr>
                          <a:rPr lang="en-GB" sz="1100" b="0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sSup>
                          <m:sSupPr>
                            <m:ctrlPr>
                              <a:rPr lang="en-GB" sz="1100" b="0" i="1">
                                <a:latin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𝐵</m:t>
                            </m:r>
                          </m:e>
                          <m:sup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2</m:t>
                            </m:r>
                          </m:sup>
                        </m:sSup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+</m:t>
                        </m:r>
                        <m:sSup>
                          <m:sSupPr>
                            <m:ctrlPr>
                              <a:rPr lang="en-GB" sz="1100" b="0" i="1">
                                <a:latin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𝐻</m:t>
                            </m:r>
                          </m:e>
                          <m:sup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2</m:t>
                            </m:r>
                          </m:sup>
                        </m:sSup>
                      </m:e>
                    </m:d>
                  </m:oMath>
                </m:oMathPara>
              </a14:m>
              <a:endParaRPr lang="en-GB" sz="1100" b="0"/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31D9A4AF-6323-4BFD-A60A-5647F62803E5}"/>
                </a:ext>
              </a:extLst>
            </xdr:cNvPr>
            <xdr:cNvSpPr txBox="1"/>
          </xdr:nvSpPr>
          <xdr:spPr>
            <a:xfrm>
              <a:off x="14194490" y="10378888"/>
              <a:ext cx="1561581" cy="31688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b="0" i="0">
                  <a:latin typeface="Cambria Math" panose="02040503050406030204" pitchFamily="18" charset="0"/>
                </a:rPr>
                <a:t>𝐼𝑐=1/12×𝑚×(𝐵^2+𝐻^2 )</a:t>
              </a:r>
              <a:endParaRPr lang="en-GB" sz="1100" b="0"/>
            </a:p>
          </xdr:txBody>
        </xdr:sp>
      </mc:Fallback>
    </mc:AlternateContent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76200</xdr:colOff>
      <xdr:row>5</xdr:row>
      <xdr:rowOff>4762</xdr:rowOff>
    </xdr:from>
    <xdr:ext cx="2109937" cy="17536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D64CFDBD-EB0C-4696-B170-5E84083E07A3}"/>
                </a:ext>
              </a:extLst>
            </xdr:cNvPr>
            <xdr:cNvSpPr txBox="1"/>
          </xdr:nvSpPr>
          <xdr:spPr>
            <a:xfrm>
              <a:off x="4229100" y="957262"/>
              <a:ext cx="2109937" cy="17536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</a:rPr>
                      <m:t>𝜏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=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𝜋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×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𝑓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×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𝑃𝑚𝑎𝑥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×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𝑟𝑖</m:t>
                    </m:r>
                    <m:d>
                      <m:dPr>
                        <m:ctrlPr>
                          <a:rPr lang="en-GB" sz="1100" b="0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𝑟</m:t>
                        </m:r>
                        <m:sSup>
                          <m:sSupPr>
                            <m:ctrlPr>
                              <a:rPr lang="en-GB" sz="1100" b="0" i="1">
                                <a:latin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𝑜</m:t>
                            </m:r>
                          </m:e>
                          <m:sup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2</m:t>
                            </m:r>
                          </m:sup>
                        </m:sSup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−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𝑟</m:t>
                        </m:r>
                        <m:sSup>
                          <m:sSupPr>
                            <m:ctrlPr>
                              <a:rPr lang="en-GB" sz="1100" b="0" i="1">
                                <a:latin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𝑖</m:t>
                            </m:r>
                          </m:e>
                          <m:sup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2</m:t>
                            </m:r>
                          </m:sup>
                        </m:sSup>
                      </m:e>
                    </m:d>
                  </m:oMath>
                </m:oMathPara>
              </a14:m>
              <a:endParaRPr lang="en-GB" sz="1100" b="0"/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D64CFDBD-EB0C-4696-B170-5E84083E07A3}"/>
                </a:ext>
              </a:extLst>
            </xdr:cNvPr>
            <xdr:cNvSpPr txBox="1"/>
          </xdr:nvSpPr>
          <xdr:spPr>
            <a:xfrm>
              <a:off x="4229100" y="957262"/>
              <a:ext cx="2109937" cy="17536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b="0" i="0">
                  <a:latin typeface="Cambria Math" panose="02040503050406030204" pitchFamily="18" charset="0"/>
                </a:rPr>
                <a:t>𝜏=𝜋×𝑓×𝑃𝑚𝑎𝑥×𝑟𝑖(𝑟𝑜^2−𝑟𝑖^2 )</a:t>
              </a:r>
              <a:endParaRPr lang="en-GB" sz="1100" b="0"/>
            </a:p>
          </xdr:txBody>
        </xdr:sp>
      </mc:Fallback>
    </mc:AlternateContent>
    <xdr:clientData/>
  </xdr:oneCellAnchor>
  <xdr:oneCellAnchor>
    <xdr:from>
      <xdr:col>5</xdr:col>
      <xdr:colOff>57150</xdr:colOff>
      <xdr:row>7</xdr:row>
      <xdr:rowOff>23812</xdr:rowOff>
    </xdr:from>
    <xdr:ext cx="2153475" cy="50013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A8147313-8435-4675-852A-E30E494DC872}"/>
                </a:ext>
              </a:extLst>
            </xdr:cNvPr>
            <xdr:cNvSpPr txBox="1"/>
          </xdr:nvSpPr>
          <xdr:spPr>
            <a:xfrm>
              <a:off x="4210050" y="1357312"/>
              <a:ext cx="2153475" cy="50013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</a:rPr>
                      <m:t>𝑟𝑜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=</m:t>
                    </m:r>
                    <m:rad>
                      <m:radPr>
                        <m:degHide m:val="on"/>
                        <m:ctrlPr>
                          <a:rPr lang="en-GB" sz="1100" b="0" i="1">
                            <a:latin typeface="Cambria Math" panose="02040503050406030204" pitchFamily="18" charset="0"/>
                          </a:rPr>
                        </m:ctrlPr>
                      </m:radPr>
                      <m:deg/>
                      <m:e>
                        <m:d>
                          <m:dPr>
                            <m:ctrlPr>
                              <a:rPr lang="en-GB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dPr>
                          <m:e>
                            <m:f>
                              <m:fPr>
                                <m:ctrlPr>
                                  <a:rPr lang="en-GB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</m:ctrlPr>
                              </m:fPr>
                              <m:num>
                                <m:r>
                                  <a:rPr lang="en-GB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𝜏</m:t>
                                </m:r>
                              </m:num>
                              <m:den>
                                <m:r>
                                  <a:rPr lang="en-GB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𝜋</m:t>
                                </m:r>
                                <m:r>
                                  <a:rPr lang="en-GB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×</m:t>
                                </m:r>
                                <m:r>
                                  <a:rPr lang="en-GB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𝑃𝑚𝑎𝑥</m:t>
                                </m:r>
                                <m:r>
                                  <a:rPr lang="en-GB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×</m:t>
                                </m:r>
                                <m:r>
                                  <a:rPr lang="en-GB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𝑓</m:t>
                                </m:r>
                                <m:r>
                                  <a:rPr lang="en-GB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×</m:t>
                                </m:r>
                                <m:r>
                                  <a:rPr lang="en-GB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𝑟𝑖</m:t>
                                </m:r>
                                <m:r>
                                  <a:rPr lang="en-GB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 </m:t>
                                </m:r>
                              </m:den>
                            </m:f>
                            <m:r>
                              <a:rPr lang="en-GB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+</m:t>
                            </m:r>
                            <m:r>
                              <a:rPr lang="en-GB" sz="11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𝑟</m:t>
                            </m:r>
                            <m:sSup>
                              <m:sSupPr>
                                <m:ctrlPr>
                                  <a:rPr lang="en-GB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</m:ctrlPr>
                              </m:sSupPr>
                              <m:e>
                                <m:r>
                                  <a:rPr lang="en-GB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𝑖</m:t>
                                </m:r>
                              </m:e>
                              <m:sup>
                                <m:r>
                                  <a:rPr lang="en-GB" sz="1100" b="0" i="1">
                                    <a:solidFill>
                                      <a:schemeClr val="tx1"/>
                                    </a:solidFill>
                                    <a:effectLst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2</m:t>
                                </m:r>
                              </m:sup>
                            </m:sSup>
                          </m:e>
                        </m:d>
                      </m:e>
                    </m:rad>
                  </m:oMath>
                </m:oMathPara>
              </a14:m>
              <a:endParaRPr lang="en-GB" sz="1100" b="0"/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A8147313-8435-4675-852A-E30E494DC872}"/>
                </a:ext>
              </a:extLst>
            </xdr:cNvPr>
            <xdr:cNvSpPr txBox="1"/>
          </xdr:nvSpPr>
          <xdr:spPr>
            <a:xfrm>
              <a:off x="4210050" y="1357312"/>
              <a:ext cx="2153475" cy="50013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b="0" i="0">
                  <a:latin typeface="Cambria Math" panose="02040503050406030204" pitchFamily="18" charset="0"/>
                </a:rPr>
                <a:t>𝑟𝑜=√(</a:t>
              </a:r>
              <a:r>
                <a:rPr lang="en-GB" sz="11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(𝜏/(𝜋×𝑃𝑚𝑎𝑥×𝑓×𝑟𝑖 )+𝑟𝑖^2 )</a:t>
              </a:r>
              <a:r>
                <a:rPr lang="en-GB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 )</a:t>
              </a:r>
              <a:endParaRPr lang="en-GB" sz="1100" b="0"/>
            </a:p>
          </xdr:txBody>
        </xdr:sp>
      </mc:Fallback>
    </mc:AlternateContent>
    <xdr:clientData/>
  </xdr:oneCellAnchor>
  <xdr:oneCellAnchor>
    <xdr:from>
      <xdr:col>16</xdr:col>
      <xdr:colOff>385762</xdr:colOff>
      <xdr:row>4</xdr:row>
      <xdr:rowOff>76200</xdr:rowOff>
    </xdr:from>
    <xdr:ext cx="1030539" cy="24686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B900A76C-7875-4DB4-BADD-2F2E539D73FD}"/>
                </a:ext>
              </a:extLst>
            </xdr:cNvPr>
            <xdr:cNvSpPr txBox="1"/>
          </xdr:nvSpPr>
          <xdr:spPr>
            <a:xfrm>
              <a:off x="11410950" y="838200"/>
              <a:ext cx="1030539" cy="24686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r>
                    <a:rPr lang="en-GB" sz="1100" b="0" i="1">
                      <a:latin typeface="Cambria Math" panose="02040503050406030204" pitchFamily="18" charset="0"/>
                    </a:rPr>
                    <m:t>𝜏</m:t>
                  </m:r>
                  <m:r>
                    <a:rPr lang="en-GB" sz="1100" b="0" i="1">
                      <a:latin typeface="Cambria Math" panose="02040503050406030204" pitchFamily="18" charset="0"/>
                    </a:rPr>
                    <m:t>=</m:t>
                  </m:r>
                  <m:f>
                    <m:fPr>
                      <m:ctrlPr>
                        <a:rPr lang="en-GB" sz="1100" b="0" i="1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lang="en-GB" sz="1100" b="0" i="1">
                          <a:latin typeface="Cambria Math" panose="02040503050406030204" pitchFamily="18" charset="0"/>
                        </a:rPr>
                        <m:t>𝑓</m:t>
                      </m:r>
                      <m:r>
                        <a:rPr lang="en-GB" sz="1100" b="0" i="1">
                          <a:latin typeface="Cambria Math" panose="02040503050406030204" pitchFamily="18" charset="0"/>
                        </a:rPr>
                        <m:t>×</m:t>
                      </m:r>
                      <m:r>
                        <a:rPr lang="en-GB" sz="1100" b="0" i="1">
                          <a:latin typeface="Cambria Math" panose="02040503050406030204" pitchFamily="18" charset="0"/>
                        </a:rPr>
                        <m:t>𝐹</m:t>
                      </m:r>
                      <m:r>
                        <a:rPr lang="en-GB" sz="1100" b="0" i="1">
                          <a:latin typeface="Cambria Math" panose="02040503050406030204" pitchFamily="18" charset="0"/>
                        </a:rPr>
                        <m:t>×(</m:t>
                      </m:r>
                      <m:r>
                        <a:rPr lang="en-GB" sz="1100" b="0" i="1">
                          <a:latin typeface="Cambria Math" panose="02040503050406030204" pitchFamily="18" charset="0"/>
                        </a:rPr>
                        <m:t>𝑟𝑜</m:t>
                      </m:r>
                      <m:r>
                        <a:rPr lang="en-GB" sz="1100" b="0" i="1">
                          <a:latin typeface="Cambria Math" panose="02040503050406030204" pitchFamily="18" charset="0"/>
                        </a:rPr>
                        <m:t>+</m:t>
                      </m:r>
                      <m:r>
                        <a:rPr lang="en-GB" sz="1100" b="0" i="1">
                          <a:latin typeface="Cambria Math" panose="02040503050406030204" pitchFamily="18" charset="0"/>
                        </a:rPr>
                        <m:t>𝑟𝑖</m:t>
                      </m:r>
                      <m:r>
                        <a:rPr lang="en-GB" sz="1100" b="0" i="1">
                          <a:latin typeface="Cambria Math" panose="02040503050406030204" pitchFamily="18" charset="0"/>
                        </a:rPr>
                        <m:t>)</m:t>
                      </m:r>
                    </m:num>
                    <m:den>
                      <m:r>
                        <a:rPr lang="en-GB" sz="1100" b="0" i="1">
                          <a:latin typeface="Cambria Math" panose="02040503050406030204" pitchFamily="18" charset="0"/>
                        </a:rPr>
                        <m:t>2</m:t>
                      </m:r>
                    </m:den>
                  </m:f>
                </m:oMath>
              </a14:m>
              <a:r>
                <a:rPr lang="en-GB" sz="1100" b="0"/>
                <a:t> </a:t>
              </a:r>
              <a:r>
                <a:rPr lang="en-GB" sz="1100" b="0" baseline="0"/>
                <a:t> </a:t>
              </a:r>
              <a:r>
                <a:rPr lang="en-GB" sz="1100" b="0"/>
                <a:t>  </a:t>
              </a:r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B900A76C-7875-4DB4-BADD-2F2E539D73FD}"/>
                </a:ext>
              </a:extLst>
            </xdr:cNvPr>
            <xdr:cNvSpPr txBox="1"/>
          </xdr:nvSpPr>
          <xdr:spPr>
            <a:xfrm>
              <a:off x="11410950" y="838200"/>
              <a:ext cx="1030539" cy="24686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b="0" i="0">
                  <a:latin typeface="Cambria Math" panose="02040503050406030204" pitchFamily="18" charset="0"/>
                </a:rPr>
                <a:t>𝜏=(𝑓×𝐹×(𝑟𝑜+𝑟𝑖))/2</a:t>
              </a:r>
              <a:r>
                <a:rPr lang="en-GB" sz="1100" b="0"/>
                <a:t> </a:t>
              </a:r>
              <a:r>
                <a:rPr lang="en-GB" sz="1100" b="0" baseline="0"/>
                <a:t> </a:t>
              </a:r>
              <a:r>
                <a:rPr lang="en-GB" sz="1100" b="0"/>
                <a:t>  </a:t>
              </a:r>
            </a:p>
          </xdr:txBody>
        </xdr:sp>
      </mc:Fallback>
    </mc:AlternateContent>
    <xdr:clientData/>
  </xdr:oneCellAnchor>
  <xdr:oneCellAnchor>
    <xdr:from>
      <xdr:col>16</xdr:col>
      <xdr:colOff>385761</xdr:colOff>
      <xdr:row>3</xdr:row>
      <xdr:rowOff>60324</xdr:rowOff>
    </xdr:from>
    <xdr:ext cx="2068900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BE0B8DD3-7652-43BA-8D23-62A45C408A01}"/>
                </a:ext>
              </a:extLst>
            </xdr:cNvPr>
            <xdr:cNvSpPr txBox="1"/>
          </xdr:nvSpPr>
          <xdr:spPr>
            <a:xfrm>
              <a:off x="11410949" y="631824"/>
              <a:ext cx="206890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r>
                    <m:rPr>
                      <m:sty m:val="p"/>
                    </m:rPr>
                    <a:rPr lang="en-GB" sz="1100" b="0" i="0">
                      <a:latin typeface="Cambria Math" panose="02040503050406030204" pitchFamily="18" charset="0"/>
                    </a:rPr>
                    <m:t>F</m:t>
                  </m:r>
                  <m:r>
                    <a:rPr lang="en-GB" sz="1100" b="0" i="1">
                      <a:latin typeface="Cambria Math" panose="02040503050406030204" pitchFamily="18" charset="0"/>
                    </a:rPr>
                    <m:t>=2</m:t>
                  </m:r>
                  <m:r>
                    <a:rPr lang="en-GB" sz="1100" b="0" i="1">
                      <a:latin typeface="Cambria Math" panose="02040503050406030204" pitchFamily="18" charset="0"/>
                    </a:rPr>
                    <m:t>𝜋</m:t>
                  </m:r>
                  <m:r>
                    <a:rPr lang="en-GB" sz="1100" b="0" i="1">
                      <a:latin typeface="Cambria Math" panose="02040503050406030204" pitchFamily="18" charset="0"/>
                    </a:rPr>
                    <m:t>×</m:t>
                  </m:r>
                  <m:r>
                    <a:rPr lang="en-GB" sz="1100" b="0" i="1">
                      <a:latin typeface="Cambria Math" panose="02040503050406030204" pitchFamily="18" charset="0"/>
                    </a:rPr>
                    <m:t>𝑃𝑚𝑎𝑥</m:t>
                  </m:r>
                  <m:r>
                    <a:rPr lang="en-GB" sz="1100" b="0" i="1">
                      <a:latin typeface="Cambria Math" panose="02040503050406030204" pitchFamily="18" charset="0"/>
                    </a:rPr>
                    <m:t>×</m:t>
                  </m:r>
                  <m:r>
                    <a:rPr lang="en-GB" sz="1100" b="0" i="1">
                      <a:latin typeface="Cambria Math" panose="02040503050406030204" pitchFamily="18" charset="0"/>
                    </a:rPr>
                    <m:t>𝑟𝑖</m:t>
                  </m:r>
                  <m:r>
                    <a:rPr lang="en-GB" sz="1100" b="0" i="1">
                      <a:latin typeface="Cambria Math" panose="02040503050406030204" pitchFamily="18" charset="0"/>
                    </a:rPr>
                    <m:t>×(</m:t>
                  </m:r>
                  <m:r>
                    <a:rPr lang="en-GB" sz="1100" b="0" i="1">
                      <a:latin typeface="Cambria Math" panose="02040503050406030204" pitchFamily="18" charset="0"/>
                    </a:rPr>
                    <m:t>𝑟𝑜</m:t>
                  </m:r>
                  <m:r>
                    <a:rPr lang="en-GB" sz="1100" b="0" i="1">
                      <a:latin typeface="Cambria Math" panose="02040503050406030204" pitchFamily="18" charset="0"/>
                    </a:rPr>
                    <m:t>−</m:t>
                  </m:r>
                  <m:r>
                    <a:rPr lang="en-GB" sz="1100" b="0" i="1">
                      <a:latin typeface="Cambria Math" panose="02040503050406030204" pitchFamily="18" charset="0"/>
                    </a:rPr>
                    <m:t>𝑟𝑖</m:t>
                  </m:r>
                  <m:r>
                    <a:rPr lang="en-GB" sz="1100" b="0" i="1">
                      <a:latin typeface="Cambria Math" panose="02040503050406030204" pitchFamily="18" charset="0"/>
                    </a:rPr>
                    <m:t>)</m:t>
                  </m:r>
                </m:oMath>
              </a14:m>
              <a:r>
                <a:rPr lang="en-GB" sz="1100" b="0"/>
                <a:t> </a:t>
              </a:r>
              <a:r>
                <a:rPr lang="en-GB" sz="1100" b="0" baseline="0"/>
                <a:t> </a:t>
              </a:r>
              <a:r>
                <a:rPr lang="en-GB" sz="1100" b="0"/>
                <a:t>  </a:t>
              </a:r>
            </a:p>
          </xdr:txBody>
        </xdr:sp>
      </mc:Choice>
      <mc:Fallback xmlns="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BE0B8DD3-7652-43BA-8D23-62A45C408A01}"/>
                </a:ext>
              </a:extLst>
            </xdr:cNvPr>
            <xdr:cNvSpPr txBox="1"/>
          </xdr:nvSpPr>
          <xdr:spPr>
            <a:xfrm>
              <a:off x="11410949" y="631824"/>
              <a:ext cx="206890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b="0" i="0">
                  <a:latin typeface="Cambria Math" panose="02040503050406030204" pitchFamily="18" charset="0"/>
                </a:rPr>
                <a:t>F=2𝜋×𝑃𝑚𝑎𝑥×𝑟𝑖×(𝑟𝑜−𝑟𝑖)</a:t>
              </a:r>
              <a:r>
                <a:rPr lang="en-GB" sz="1100" b="0"/>
                <a:t> </a:t>
              </a:r>
              <a:r>
                <a:rPr lang="en-GB" sz="1100" b="0" baseline="0"/>
                <a:t> </a:t>
              </a:r>
              <a:r>
                <a:rPr lang="en-GB" sz="1100" b="0"/>
                <a:t>  </a:t>
              </a:r>
            </a:p>
          </xdr:txBody>
        </xdr:sp>
      </mc:Fallback>
    </mc:AlternateContent>
    <xdr:clientData/>
  </xdr:oneCellAnchor>
  <xdr:twoCellAnchor editAs="oneCell">
    <xdr:from>
      <xdr:col>7</xdr:col>
      <xdr:colOff>817563</xdr:colOff>
      <xdr:row>12</xdr:row>
      <xdr:rowOff>166690</xdr:rowOff>
    </xdr:from>
    <xdr:to>
      <xdr:col>14</xdr:col>
      <xdr:colOff>292693</xdr:colOff>
      <xdr:row>21</xdr:row>
      <xdr:rowOff>39689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18FD9F1D-AEC9-4788-831B-51797AC7676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9091" b="32364" l="3647" r="95529">
                      <a14:foregroundMark x1="32824" y1="18667" x2="47294" y2="10182"/>
                      <a14:foregroundMark x1="47294" y1="10182" x2="64588" y2="7030"/>
                      <a14:foregroundMark x1="64588" y1="7030" x2="81647" y2="8364"/>
                      <a14:foregroundMark x1="81647" y1="8364" x2="96118" y2="18182"/>
                      <a14:foregroundMark x1="96118" y1="18182" x2="96471" y2="27636"/>
                      <a14:foregroundMark x1="81057" y1="33534" x2="80000" y2="33939"/>
                      <a14:foregroundMark x1="96471" y1="27636" x2="86299" y2="31528"/>
                      <a14:foregroundMark x1="68608" y1="31708" x2="63294" y2="30667"/>
                      <a14:foregroundMark x1="80000" y1="33939" x2="73092" y2="32586"/>
                      <a14:foregroundMark x1="23962" y1="33004" x2="20471" y2="33212"/>
                      <a14:foregroundMark x1="63294" y1="30667" x2="58113" y2="30975"/>
                      <a14:foregroundMark x1="20471" y1="33212" x2="3529" y2="29212"/>
                      <a14:foregroundMark x1="3529" y1="29212" x2="5901" y2="21981"/>
                      <a14:foregroundMark x1="21058" y1="16000" x2="22000" y2="16000"/>
                      <a14:foregroundMark x1="16588" y1="25212" x2="14118" y2="25455"/>
                      <a14:foregroundMark x1="93412" y1="28121" x2="95176" y2="19394"/>
                      <a14:foregroundMark x1="95176" y1="19394" x2="90235" y2="12242"/>
                      <a14:foregroundMark x1="90235" y1="12242" x2="89059" y2="12000"/>
                      <a14:foregroundMark x1="84235" y1="10303" x2="92118" y2="14788"/>
                      <a14:foregroundMark x1="92118" y1="14788" x2="95647" y2="23030"/>
                      <a14:foregroundMark x1="95647" y1="23030" x2="92588" y2="30303"/>
                      <a14:foregroundMark x1="88941" y1="13091" x2="85294" y2="10061"/>
                      <a14:foregroundMark x1="88000" y1="11636" x2="88000" y2="11636"/>
                      <a14:foregroundMark x1="4471" y1="21697" x2="3647" y2="29333"/>
                      <a14:foregroundMark x1="75647" y1="31394" x2="78941" y2="31879"/>
                      <a14:backgroundMark x1="16235" y1="16364" x2="16235" y2="16364"/>
                      <a14:backgroundMark x1="17412" y1="16121" x2="12588" y2="16364"/>
                      <a14:backgroundMark x1="19412" y1="15152" x2="9176" y2="18545"/>
                      <a14:backgroundMark x1="5529" y1="20242" x2="7765" y2="20242"/>
                      <a14:backgroundMark x1="9059" y1="18909" x2="9059" y2="18909"/>
                      <a14:backgroundMark x1="8824" y1="19394" x2="8824" y2="19394"/>
                      <a14:backgroundMark x1="20471" y1="15636" x2="20471" y2="15636"/>
                      <a14:backgroundMark x1="19647" y1="16000" x2="21059" y2="16000"/>
                      <a14:backgroundMark x1="5765" y1="19879" x2="9529" y2="18667"/>
                      <a14:backgroundMark x1="26471" y1="33576" x2="34588" y2="32364"/>
                      <a14:backgroundMark x1="34588" y1="32364" x2="57176" y2="32485"/>
                      <a14:backgroundMark x1="25059" y1="33333" x2="25059" y2="33333"/>
                      <a14:backgroundMark x1="25882" y1="33091" x2="26588" y2="32727"/>
                      <a14:backgroundMark x1="27059" y1="33333" x2="26471" y2="32848"/>
                      <a14:backgroundMark x1="68118" y1="32364" x2="72353" y2="33576"/>
                      <a14:backgroundMark x1="85529" y1="32727" x2="82118" y2="33576"/>
                      <a14:backgroundMark x1="84588" y1="32364" x2="85882" y2="32242"/>
                      <a14:backgroundMark x1="82118" y1="33455" x2="81176" y2="33697"/>
                      <a14:backgroundMark x1="25882" y1="32485" x2="24588" y2="33576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b="64873"/>
        <a:stretch/>
      </xdr:blipFill>
      <xdr:spPr>
        <a:xfrm>
          <a:off x="6342063" y="2452690"/>
          <a:ext cx="4622959" cy="1587499"/>
        </a:xfrm>
        <a:prstGeom prst="rect">
          <a:avLst/>
        </a:prstGeom>
      </xdr:spPr>
    </xdr:pic>
    <xdr:clientData/>
  </xdr:twoCellAnchor>
  <xdr:twoCellAnchor editAs="oneCell">
    <xdr:from>
      <xdr:col>15</xdr:col>
      <xdr:colOff>428852</xdr:colOff>
      <xdr:row>37</xdr:row>
      <xdr:rowOff>126380</xdr:rowOff>
    </xdr:from>
    <xdr:to>
      <xdr:col>26</xdr:col>
      <xdr:colOff>428408</xdr:colOff>
      <xdr:row>57</xdr:row>
      <xdr:rowOff>108528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211E1565-A1FC-4428-9B09-CB1870099D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82602" y="7096948"/>
          <a:ext cx="6667056" cy="3734421"/>
        </a:xfrm>
        <a:prstGeom prst="rect">
          <a:avLst/>
        </a:prstGeom>
      </xdr:spPr>
    </xdr:pic>
    <xdr:clientData/>
  </xdr:twoCellAnchor>
  <xdr:twoCellAnchor editAs="oneCell">
    <xdr:from>
      <xdr:col>1</xdr:col>
      <xdr:colOff>1465912</xdr:colOff>
      <xdr:row>37</xdr:row>
      <xdr:rowOff>97634</xdr:rowOff>
    </xdr:from>
    <xdr:to>
      <xdr:col>15</xdr:col>
      <xdr:colOff>160266</xdr:colOff>
      <xdr:row>57</xdr:row>
      <xdr:rowOff>112310</xdr:rowOff>
    </xdr:to>
    <xdr:pic>
      <xdr:nvPicPr>
        <xdr:cNvPr id="8" name="Picture 7" descr="Ferrari FF &quot;naked&quot; [OC] [1920x1280] : carporn">
          <a:extLst>
            <a:ext uri="{FF2B5EF4-FFF2-40B4-BE49-F238E27FC236}">
              <a16:creationId xmlns:a16="http://schemas.microsoft.com/office/drawing/2014/main" id="{50AD2F2A-949E-45EE-969B-609A249BC1E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7811" r="25623" b="16483"/>
        <a:stretch/>
      </xdr:blipFill>
      <xdr:spPr bwMode="auto">
        <a:xfrm>
          <a:off x="2072048" y="7068202"/>
          <a:ext cx="9316173" cy="37669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161086</xdr:colOff>
      <xdr:row>39</xdr:row>
      <xdr:rowOff>90631</xdr:rowOff>
    </xdr:from>
    <xdr:to>
      <xdr:col>3</xdr:col>
      <xdr:colOff>350186</xdr:colOff>
      <xdr:row>49</xdr:row>
      <xdr:rowOff>69619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DDE05310-3C0F-4BF2-AB1B-69B53DFFF16A}"/>
            </a:ext>
          </a:extLst>
        </xdr:cNvPr>
        <xdr:cNvSpPr/>
      </xdr:nvSpPr>
      <xdr:spPr>
        <a:xfrm>
          <a:off x="3235063" y="7436426"/>
          <a:ext cx="189100" cy="18551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13</xdr:col>
      <xdr:colOff>401544</xdr:colOff>
      <xdr:row>44</xdr:row>
      <xdr:rowOff>76623</xdr:rowOff>
    </xdr:from>
    <xdr:to>
      <xdr:col>13</xdr:col>
      <xdr:colOff>590644</xdr:colOff>
      <xdr:row>56</xdr:row>
      <xdr:rowOff>55612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EAC8FC9C-BB01-4C48-ABF0-2469C75DA8DD}"/>
            </a:ext>
          </a:extLst>
        </xdr:cNvPr>
        <xdr:cNvSpPr/>
      </xdr:nvSpPr>
      <xdr:spPr>
        <a:xfrm>
          <a:off x="10417226" y="8360487"/>
          <a:ext cx="189100" cy="223035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393693</xdr:colOff>
      <xdr:row>48</xdr:row>
      <xdr:rowOff>21018</xdr:rowOff>
    </xdr:from>
    <xdr:to>
      <xdr:col>8</xdr:col>
      <xdr:colOff>582793</xdr:colOff>
      <xdr:row>50</xdr:row>
      <xdr:rowOff>112067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007B96B6-1C51-4A35-B24B-DCCC555B8F34}"/>
            </a:ext>
          </a:extLst>
        </xdr:cNvPr>
        <xdr:cNvSpPr/>
      </xdr:nvSpPr>
      <xdr:spPr>
        <a:xfrm>
          <a:off x="7378693" y="9055336"/>
          <a:ext cx="189100" cy="46627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782735</xdr:colOff>
      <xdr:row>41</xdr:row>
      <xdr:rowOff>11908</xdr:rowOff>
    </xdr:from>
    <xdr:to>
      <xdr:col>7</xdr:col>
      <xdr:colOff>971835</xdr:colOff>
      <xdr:row>51</xdr:row>
      <xdr:rowOff>178630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D85E4A9B-AC14-4563-9181-50BC5305928E}"/>
            </a:ext>
          </a:extLst>
        </xdr:cNvPr>
        <xdr:cNvSpPr/>
      </xdr:nvSpPr>
      <xdr:spPr>
        <a:xfrm>
          <a:off x="6281258" y="7732931"/>
          <a:ext cx="189100" cy="204285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116417</xdr:colOff>
      <xdr:row>93</xdr:row>
      <xdr:rowOff>116417</xdr:rowOff>
    </xdr:from>
    <xdr:to>
      <xdr:col>37</xdr:col>
      <xdr:colOff>497411</xdr:colOff>
      <xdr:row>100</xdr:row>
      <xdr:rowOff>42332</xdr:rowOff>
    </xdr:to>
    <xdr:sp macro="" textlink="">
      <xdr:nvSpPr>
        <xdr:cNvPr id="38" name="Rectangle 37">
          <a:extLst>
            <a:ext uri="{FF2B5EF4-FFF2-40B4-BE49-F238E27FC236}">
              <a16:creationId xmlns:a16="http://schemas.microsoft.com/office/drawing/2014/main" id="{C60A7687-3410-424E-A95B-26330D33649F}"/>
            </a:ext>
          </a:extLst>
        </xdr:cNvPr>
        <xdr:cNvSpPr/>
      </xdr:nvSpPr>
      <xdr:spPr>
        <a:xfrm>
          <a:off x="18796000" y="17959917"/>
          <a:ext cx="5291661" cy="1259415"/>
        </a:xfrm>
        <a:prstGeom prst="rect">
          <a:avLst/>
        </a:prstGeom>
        <a:gradFill flip="none" rotWithShape="1">
          <a:gsLst>
            <a:gs pos="0">
              <a:schemeClr val="tx1"/>
            </a:gs>
            <a:gs pos="66000">
              <a:srgbClr val="9A6E3D">
                <a:shade val="67500"/>
                <a:satMod val="115000"/>
              </a:srgbClr>
            </a:gs>
            <a:gs pos="100000">
              <a:srgbClr val="9A6E3D">
                <a:shade val="100000"/>
                <a:satMod val="115000"/>
              </a:srgbClr>
            </a:gs>
          </a:gsLst>
          <a:lin ang="16200000" scaled="1"/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GB"/>
        </a:p>
      </xdr:txBody>
    </xdr:sp>
    <xdr:clientData/>
  </xdr:twoCellAnchor>
  <xdr:twoCellAnchor>
    <xdr:from>
      <xdr:col>19</xdr:col>
      <xdr:colOff>158756</xdr:colOff>
      <xdr:row>93</xdr:row>
      <xdr:rowOff>148167</xdr:rowOff>
    </xdr:from>
    <xdr:to>
      <xdr:col>27</xdr:col>
      <xdr:colOff>539750</xdr:colOff>
      <xdr:row>100</xdr:row>
      <xdr:rowOff>74082</xdr:rowOff>
    </xdr:to>
    <xdr:sp macro="" textlink="">
      <xdr:nvSpPr>
        <xdr:cNvPr id="34" name="Rectangle 33">
          <a:extLst>
            <a:ext uri="{FF2B5EF4-FFF2-40B4-BE49-F238E27FC236}">
              <a16:creationId xmlns:a16="http://schemas.microsoft.com/office/drawing/2014/main" id="{E9467354-A938-4D47-8E44-5D738B61E22E}"/>
            </a:ext>
          </a:extLst>
        </xdr:cNvPr>
        <xdr:cNvSpPr/>
      </xdr:nvSpPr>
      <xdr:spPr>
        <a:xfrm>
          <a:off x="12700006" y="17991667"/>
          <a:ext cx="5291661" cy="1259415"/>
        </a:xfrm>
        <a:prstGeom prst="rect">
          <a:avLst/>
        </a:prstGeom>
        <a:gradFill flip="none" rotWithShape="1">
          <a:gsLst>
            <a:gs pos="0">
              <a:schemeClr val="tx1"/>
            </a:gs>
            <a:gs pos="66000">
              <a:srgbClr val="9A6E3D">
                <a:shade val="67500"/>
                <a:satMod val="115000"/>
              </a:srgbClr>
            </a:gs>
            <a:gs pos="100000">
              <a:srgbClr val="9A6E3D">
                <a:shade val="100000"/>
                <a:satMod val="115000"/>
              </a:srgbClr>
            </a:gs>
          </a:gsLst>
          <a:lin ang="16200000" scaled="1"/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GB"/>
        </a:p>
      </xdr:txBody>
    </xdr:sp>
    <xdr:clientData/>
  </xdr:twoCellAnchor>
  <xdr:twoCellAnchor editAs="oneCell">
    <xdr:from>
      <xdr:col>0</xdr:col>
      <xdr:colOff>433708</xdr:colOff>
      <xdr:row>110</xdr:row>
      <xdr:rowOff>153206</xdr:rowOff>
    </xdr:from>
    <xdr:to>
      <xdr:col>9</xdr:col>
      <xdr:colOff>487744</xdr:colOff>
      <xdr:row>133</xdr:row>
      <xdr:rowOff>141821</xdr:rowOff>
    </xdr:to>
    <xdr:pic>
      <xdr:nvPicPr>
        <xdr:cNvPr id="28" name="Picture 27" descr="Ferrari F12 Berlinetta Steering Wheel">
          <a:extLst>
            <a:ext uri="{FF2B5EF4-FFF2-40B4-BE49-F238E27FC236}">
              <a16:creationId xmlns:a16="http://schemas.microsoft.com/office/drawing/2014/main" id="{A18DDBBC-800D-4CD9-A763-0243D24D01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726" b="97933" l="3750" r="98203">
                      <a14:foregroundMark x1="6875" y1="29506" x2="7578" y2="18255"/>
                      <a14:foregroundMark x1="7578" y1="18255" x2="10078" y2="9185"/>
                      <a14:foregroundMark x1="10078" y1="9185" x2="39297" y2="2755"/>
                      <a14:foregroundMark x1="39297" y1="2755" x2="88359" y2="15499"/>
                      <a14:foregroundMark x1="88359" y1="15499" x2="90078" y2="21470"/>
                      <a14:foregroundMark x1="90078" y1="21470" x2="91797" y2="59127"/>
                      <a14:foregroundMark x1="91797" y1="59127" x2="89844" y2="71871"/>
                      <a14:foregroundMark x1="89844" y1="71871" x2="83359" y2="85763"/>
                      <a14:foregroundMark x1="83359" y1="85763" x2="79609" y2="88978"/>
                      <a14:foregroundMark x1="55226" y1="92788" x2="34063" y2="96096"/>
                      <a14:foregroundMark x1="60058" y1="92033" x2="59148" y2="92175"/>
                      <a14:foregroundMark x1="79609" y1="88978" x2="63719" y2="91461"/>
                      <a14:foregroundMark x1="34063" y1="96096" x2="27422" y2="92997"/>
                      <a14:foregroundMark x1="27422" y1="92997" x2="12422" y2="73708"/>
                      <a14:foregroundMark x1="12422" y1="73708" x2="7187" y2="58898"/>
                      <a14:foregroundMark x1="7187" y1="58898" x2="7109" y2="29851"/>
                      <a14:foregroundMark x1="7109" y1="29851" x2="9922" y2="20321"/>
                      <a14:foregroundMark x1="8828" y1="16877" x2="17734" y2="16992"/>
                      <a14:foregroundMark x1="17734" y1="16992" x2="51484" y2="8955"/>
                      <a14:foregroundMark x1="2266" y1="9759" x2="3281" y2="3559"/>
                      <a14:foregroundMark x1="3281" y1="3559" x2="10625" y2="3100"/>
                      <a14:foregroundMark x1="10625" y1="3100" x2="24766" y2="4363"/>
                      <a14:foregroundMark x1="24766" y1="4363" x2="53281" y2="1722"/>
                      <a14:foregroundMark x1="53281" y1="1722" x2="57500" y2="1837"/>
                      <a14:foregroundMark x1="57500" y1="1837" x2="66953" y2="804"/>
                      <a14:foregroundMark x1="66953" y1="804" x2="88125" y2="3444"/>
                      <a14:foregroundMark x1="88125" y1="3444" x2="94375" y2="7463"/>
                      <a14:foregroundMark x1="94375" y1="7463" x2="97656" y2="22273"/>
                      <a14:foregroundMark x1="97656" y1="22273" x2="95000" y2="86682"/>
                      <a14:foregroundMark x1="95000" y1="86682" x2="93594" y2="93685"/>
                      <a14:foregroundMark x1="93594" y1="93685" x2="91406" y2="98622"/>
                      <a14:foregroundMark x1="91406" y1="98622" x2="75625" y2="97474"/>
                      <a14:foregroundMark x1="75625" y1="97474" x2="71797" y2="95408"/>
                      <a14:foregroundMark x1="71797" y1="95408" x2="71953" y2="86452"/>
                      <a14:foregroundMark x1="79219" y1="94374" x2="62891" y2="96785"/>
                      <a14:foregroundMark x1="62891" y1="96785" x2="14766" y2="95637"/>
                      <a14:foregroundMark x1="14766" y1="95637" x2="7422" y2="88978"/>
                      <a14:foregroundMark x1="7422" y1="88978" x2="4297" y2="80253"/>
                      <a14:foregroundMark x1="4297" y1="80253" x2="3438" y2="62457"/>
                      <a14:foregroundMark x1="3438" y1="62457" x2="3828" y2="55798"/>
                      <a14:foregroundMark x1="3828" y1="55798" x2="4375" y2="53846"/>
                      <a14:foregroundMark x1="1953" y1="26636" x2="2891" y2="92997"/>
                      <a14:foregroundMark x1="2891" y1="92997" x2="4375" y2="98507"/>
                      <a14:foregroundMark x1="4375" y1="98507" x2="9766" y2="98163"/>
                      <a14:foregroundMark x1="9766" y1="98163" x2="8516" y2="91963"/>
                      <a14:foregroundMark x1="8516" y1="91963" x2="4766" y2="85534"/>
                      <a14:foregroundMark x1="39453" y1="7348" x2="67578" y2="3674"/>
                      <a14:foregroundMark x1="67578" y1="3674" x2="91172" y2="7807"/>
                      <a14:foregroundMark x1="91172" y1="7807" x2="94609" y2="11366"/>
                      <a14:foregroundMark x1="94609" y1="11366" x2="92266" y2="41332"/>
                      <a14:foregroundMark x1="92266" y1="41332" x2="93281" y2="52813"/>
                      <a14:foregroundMark x1="79688" y1="21010" x2="83125" y2="66361"/>
                      <a14:foregroundMark x1="83125" y1="66361" x2="86875" y2="63720"/>
                      <a14:foregroundMark x1="86875" y1="63720" x2="88906" y2="45809"/>
                      <a14:foregroundMark x1="88906" y1="45809" x2="85313" y2="28358"/>
                      <a14:foregroundMark x1="20781" y1="22158" x2="15156" y2="64983"/>
                      <a14:foregroundMark x1="15156" y1="64983" x2="10078" y2="59242"/>
                      <a14:foregroundMark x1="10078" y1="59242" x2="7500" y2="30654"/>
                      <a14:foregroundMark x1="34063" y1="28358" x2="29063" y2="41217"/>
                      <a14:foregroundMark x1="29063" y1="41217" x2="32031" y2="45121"/>
                      <a14:foregroundMark x1="46230" y1="39639" x2="50469" y2="38002"/>
                      <a14:foregroundMark x1="32031" y1="45121" x2="45990" y2="39731"/>
                      <a14:foregroundMark x1="50469" y1="38002" x2="55859" y2="38232"/>
                      <a14:foregroundMark x1="55859" y1="38232" x2="66272" y2="45302"/>
                      <a14:foregroundMark x1="67206" y1="45656" x2="67578" y2="39954"/>
                      <a14:foregroundMark x1="67578" y1="39954" x2="57500" y2="25029"/>
                      <a14:foregroundMark x1="57500" y1="25029" x2="53906" y2="22158"/>
                      <a14:foregroundMark x1="53906" y1="22158" x2="41328" y2="22503"/>
                      <a14:foregroundMark x1="41328" y1="22503" x2="40604" y2="22894"/>
                      <a14:foregroundMark x1="36649" y1="25703" x2="34141" y2="29047"/>
                      <a14:foregroundMark x1="34141" y1="29047" x2="33594" y2="29392"/>
                      <a14:foregroundMark x1="29141" y1="42710" x2="32109" y2="42824"/>
                      <a14:foregroundMark x1="54922" y1="31688" x2="52422" y2="25258"/>
                      <a14:foregroundMark x1="26484" y1="63031" x2="35938" y2="85419"/>
                      <a14:foregroundMark x1="35938" y1="85419" x2="39922" y2="85763"/>
                      <a14:foregroundMark x1="39922" y1="85763" x2="43281" y2="80712"/>
                      <a14:foregroundMark x1="43281" y1="80712" x2="40078" y2="76808"/>
                      <a14:foregroundMark x1="35961" y1="77643" x2="35547" y2="77727"/>
                      <a14:foregroundMark x1="35547" y1="77727" x2="32109" y2="73249"/>
                      <a14:foregroundMark x1="31097" y1="70435" x2="29922" y2="67164"/>
                      <a14:foregroundMark x1="31543" y1="71674" x2="31122" y2="70504"/>
                      <a14:foregroundMark x1="32109" y1="73249" x2="31806" y2="72406"/>
                      <a14:foregroundMark x1="29922" y1="67164" x2="27109" y2="62687"/>
                      <a14:foregroundMark x1="27109" y1="62687" x2="26563" y2="62457"/>
                      <a14:foregroundMark x1="56484" y1="84156" x2="65391" y2="76119"/>
                      <a14:foregroundMark x1="65391" y1="76119" x2="70000" y2="64868"/>
                      <a14:foregroundMark x1="70000" y1="64868" x2="65781" y2="67853"/>
                      <a14:foregroundMark x1="65781" y1="67853" x2="61016" y2="78071"/>
                      <a14:foregroundMark x1="61016" y1="78071" x2="57031" y2="79449"/>
                      <a14:foregroundMark x1="57031" y1="79449" x2="56563" y2="83352"/>
                      <a14:foregroundMark x1="93672" y1="3789" x2="98672" y2="34902"/>
                      <a14:foregroundMark x1="98672" y1="34902" x2="97266" y2="63261"/>
                      <a14:foregroundMark x1="97266" y1="63261" x2="98203" y2="91734"/>
                      <a14:foregroundMark x1="30938" y1="44661" x2="27031" y2="45695"/>
                      <a14:foregroundMark x1="27031" y1="45695" x2="27656" y2="43054"/>
                      <a14:foregroundMark x1="67734" y1="41791" x2="66641" y2="44432"/>
                      <a14:foregroundMark x1="67656" y1="42365" x2="67266" y2="41102"/>
                      <a14:foregroundMark x1="42109" y1="22158" x2="46016" y2="20551"/>
                      <a14:foregroundMark x1="46016" y1="20551" x2="53594" y2="22847"/>
                      <a14:backgroundMark x1="32891" y1="23651" x2="27969" y2="28817"/>
                      <a14:backgroundMark x1="27969" y1="28817" x2="20703" y2="44776"/>
                      <a14:backgroundMark x1="20703" y1="44776" x2="21406" y2="52009"/>
                      <a14:backgroundMark x1="21406" y1="52009" x2="29297" y2="80941"/>
                      <a14:backgroundMark x1="29297" y1="80941" x2="36875" y2="90815"/>
                      <a14:backgroundMark x1="36875" y1="90815" x2="40313" y2="93571"/>
                      <a14:backgroundMark x1="40313" y1="93571" x2="59844" y2="92652"/>
                      <a14:backgroundMark x1="59844" y1="92652" x2="63828" y2="90241"/>
                      <a14:backgroundMark x1="63828" y1="90241" x2="67656" y2="84960"/>
                      <a14:backgroundMark x1="67656" y1="84960" x2="74922" y2="56028"/>
                      <a14:backgroundMark x1="74922" y1="56028" x2="74766" y2="42135"/>
                      <a14:backgroundMark x1="74766" y1="42135" x2="61328" y2="18370"/>
                      <a14:backgroundMark x1="61328" y1="18370" x2="56797" y2="15499"/>
                      <a14:backgroundMark x1="56797" y1="15499" x2="34453" y2="17451"/>
                      <a14:backgroundMark x1="34453" y1="17451" x2="30625" y2="23766"/>
                      <a14:backgroundMark x1="31016" y1="22044" x2="23672" y2="30310"/>
                      <a14:backgroundMark x1="23672" y1="30310" x2="19531" y2="49369"/>
                      <a14:backgroundMark x1="19531" y1="49369" x2="19531" y2="55683"/>
                      <a14:backgroundMark x1="19531" y1="55683" x2="20547" y2="58209"/>
                      <a14:backgroundMark x1="55469" y1="92193" x2="59375" y2="91619"/>
                      <a14:backgroundMark x1="59375" y1="91619" x2="59531" y2="91504"/>
                      <a14:backgroundMark x1="32656" y1="64294" x2="32422" y2="70608"/>
                      <a14:backgroundMark x1="32422" y1="70608" x2="35469" y2="74742"/>
                      <a14:backgroundMark x1="35469" y1="74742" x2="36484" y2="68772"/>
                      <a14:backgroundMark x1="36484" y1="68772" x2="34141" y2="64064"/>
                      <a14:backgroundMark x1="34141" y1="64064" x2="32578" y2="64294"/>
                      <a14:backgroundMark x1="35078" y1="25488" x2="46875" y2="17107"/>
                      <a14:backgroundMark x1="46875" y1="17107" x2="59609" y2="22503"/>
                      <a14:backgroundMark x1="59609" y1="22503" x2="62266" y2="27325"/>
                      <a14:backgroundMark x1="62266" y1="27325" x2="62578" y2="21240"/>
                      <a14:backgroundMark x1="62578" y1="21240" x2="58438" y2="16762"/>
                      <a14:backgroundMark x1="58438" y1="16762" x2="54609" y2="14581"/>
                      <a14:backgroundMark x1="54609" y1="14581" x2="40703" y2="15844"/>
                      <a14:backgroundMark x1="40703" y1="15844" x2="34922" y2="23651"/>
                      <a14:backgroundMark x1="34922" y1="23651" x2="34922" y2="23651"/>
                      <a14:backgroundMark x1="35625" y1="17796" x2="39609" y2="14811"/>
                      <a14:backgroundMark x1="39609" y1="14811" x2="43516" y2="14925"/>
                      <a14:backgroundMark x1="72734" y1="59587" x2="68125" y2="58209"/>
                      <a14:backgroundMark x1="68125" y1="58209" x2="64375" y2="61194"/>
                      <a14:backgroundMark x1="64375" y1="61194" x2="60547" y2="71757"/>
                      <a14:backgroundMark x1="60547" y1="71757" x2="56953" y2="75431"/>
                      <a14:backgroundMark x1="56953" y1="75431" x2="49219" y2="80253"/>
                      <a14:backgroundMark x1="49219" y1="80253" x2="45156" y2="78645"/>
                      <a14:backgroundMark x1="45156" y1="78645" x2="41719" y2="74742"/>
                      <a14:backgroundMark x1="41719" y1="74742" x2="35234" y2="76119"/>
                      <a14:backgroundMark x1="35234" y1="76119" x2="32734" y2="69001"/>
                      <a14:backgroundMark x1="32734" y1="69001" x2="34297" y2="61079"/>
                      <a14:backgroundMark x1="34297" y1="61079" x2="29922" y2="62801"/>
                      <a14:backgroundMark x1="29922" y1="62801" x2="26719" y2="58439"/>
                      <a14:backgroundMark x1="26719" y1="58439" x2="25000" y2="53042"/>
                      <a14:backgroundMark x1="25000" y1="53042" x2="28281" y2="48220"/>
                      <a14:backgroundMark x1="28281" y1="48220" x2="36797" y2="45809"/>
                      <a14:backgroundMark x1="36797" y1="45809" x2="45625" y2="41332"/>
                      <a14:backgroundMark x1="45625" y1="41332" x2="54531" y2="42710"/>
                      <a14:backgroundMark x1="54531" y1="42710" x2="69063" y2="48220"/>
                      <a14:backgroundMark x1="61953" y1="72216" x2="64297" y2="66935"/>
                      <a14:backgroundMark x1="64297" y1="66935" x2="63438" y2="64638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708" y="21273858"/>
          <a:ext cx="6456493" cy="43701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262380</xdr:colOff>
      <xdr:row>24</xdr:row>
      <xdr:rowOff>95250</xdr:rowOff>
    </xdr:from>
    <xdr:to>
      <xdr:col>9</xdr:col>
      <xdr:colOff>431052</xdr:colOff>
      <xdr:row>55</xdr:row>
      <xdr:rowOff>28578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19AE48F9-EFAD-4A87-85EF-BEA1671179D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70" t="52968" r="1601" b="3560"/>
        <a:stretch/>
      </xdr:blipFill>
      <xdr:spPr>
        <a:xfrm rot="5400000">
          <a:off x="2566039" y="6297416"/>
          <a:ext cx="5867403" cy="2607072"/>
        </a:xfrm>
        <a:prstGeom prst="rect">
          <a:avLst/>
        </a:prstGeom>
      </xdr:spPr>
    </xdr:pic>
    <xdr:clientData/>
  </xdr:twoCellAnchor>
  <xdr:twoCellAnchor>
    <xdr:from>
      <xdr:col>7</xdr:col>
      <xdr:colOff>295275</xdr:colOff>
      <xdr:row>24</xdr:row>
      <xdr:rowOff>95250</xdr:rowOff>
    </xdr:from>
    <xdr:to>
      <xdr:col>9</xdr:col>
      <xdr:colOff>552450</xdr:colOff>
      <xdr:row>55</xdr:row>
      <xdr:rowOff>104775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E8F0B0A1-1E93-4DFA-9203-00751FBD00E5}"/>
            </a:ext>
          </a:extLst>
        </xdr:cNvPr>
        <xdr:cNvSpPr/>
      </xdr:nvSpPr>
      <xdr:spPr>
        <a:xfrm>
          <a:off x="5448300" y="4667250"/>
          <a:ext cx="1476375" cy="5943600"/>
        </a:xfrm>
        <a:prstGeom prst="rect">
          <a:avLst/>
        </a:prstGeom>
        <a:solidFill>
          <a:srgbClr val="0D0D0D">
            <a:alpha val="5098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GB" sz="1100"/>
            <a:t>,</a:t>
          </a:r>
        </a:p>
      </xdr:txBody>
    </xdr:sp>
    <xdr:clientData/>
  </xdr:twoCellAnchor>
  <xdr:twoCellAnchor>
    <xdr:from>
      <xdr:col>14</xdr:col>
      <xdr:colOff>61912</xdr:colOff>
      <xdr:row>6</xdr:row>
      <xdr:rowOff>5953</xdr:rowOff>
    </xdr:from>
    <xdr:to>
      <xdr:col>21</xdr:col>
      <xdr:colOff>1076738</xdr:colOff>
      <xdr:row>10</xdr:row>
      <xdr:rowOff>186928</xdr:rowOff>
    </xdr:to>
    <xdr:sp macro="" textlink="">
      <xdr:nvSpPr>
        <xdr:cNvPr id="2" name="Right Triangle 1">
          <a:extLst>
            <a:ext uri="{FF2B5EF4-FFF2-40B4-BE49-F238E27FC236}">
              <a16:creationId xmlns:a16="http://schemas.microsoft.com/office/drawing/2014/main" id="{34C88A1D-FDDA-49E7-A4F8-A24388C288AD}"/>
            </a:ext>
          </a:extLst>
        </xdr:cNvPr>
        <xdr:cNvSpPr/>
      </xdr:nvSpPr>
      <xdr:spPr>
        <a:xfrm flipH="1">
          <a:off x="9528934" y="1148953"/>
          <a:ext cx="6415087" cy="942975"/>
        </a:xfrm>
        <a:prstGeom prst="rtTriangle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15</xdr:col>
      <xdr:colOff>66675</xdr:colOff>
      <xdr:row>9</xdr:row>
      <xdr:rowOff>152400</xdr:rowOff>
    </xdr:from>
    <xdr:to>
      <xdr:col>15</xdr:col>
      <xdr:colOff>485775</xdr:colOff>
      <xdr:row>11</xdr:row>
      <xdr:rowOff>133350</xdr:rowOff>
    </xdr:to>
    <xdr:sp macro="" textlink="">
      <xdr:nvSpPr>
        <xdr:cNvPr id="3" name="Arc 2">
          <a:extLst>
            <a:ext uri="{FF2B5EF4-FFF2-40B4-BE49-F238E27FC236}">
              <a16:creationId xmlns:a16="http://schemas.microsoft.com/office/drawing/2014/main" id="{9BAAEF23-60C9-4D9E-9C26-E72297D4239E}"/>
            </a:ext>
          </a:extLst>
        </xdr:cNvPr>
        <xdr:cNvSpPr/>
      </xdr:nvSpPr>
      <xdr:spPr>
        <a:xfrm rot="18892907">
          <a:off x="10175185" y="1838325"/>
          <a:ext cx="361950" cy="419100"/>
        </a:xfrm>
        <a:prstGeom prst="arc">
          <a:avLst>
            <a:gd name="adj1" fmla="val 895784"/>
            <a:gd name="adj2" fmla="val 3560960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352425</xdr:colOff>
      <xdr:row>29</xdr:row>
      <xdr:rowOff>152400</xdr:rowOff>
    </xdr:from>
    <xdr:to>
      <xdr:col>6</xdr:col>
      <xdr:colOff>25346</xdr:colOff>
      <xdr:row>33</xdr:row>
      <xdr:rowOff>57150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FF043FEF-AD14-40B9-AC1F-F9C0E1F7C31F}"/>
            </a:ext>
          </a:extLst>
        </xdr:cNvPr>
        <xdr:cNvSpPr/>
      </xdr:nvSpPr>
      <xdr:spPr>
        <a:xfrm>
          <a:off x="3810000" y="4724400"/>
          <a:ext cx="282521" cy="66675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533400</xdr:colOff>
      <xdr:row>29</xdr:row>
      <xdr:rowOff>133350</xdr:rowOff>
    </xdr:from>
    <xdr:to>
      <xdr:col>9</xdr:col>
      <xdr:colOff>206321</xdr:colOff>
      <xdr:row>33</xdr:row>
      <xdr:rowOff>38100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2A5C4E4B-5F90-4728-9F25-E0A36C00B4B9}"/>
            </a:ext>
          </a:extLst>
        </xdr:cNvPr>
        <xdr:cNvSpPr/>
      </xdr:nvSpPr>
      <xdr:spPr>
        <a:xfrm>
          <a:off x="5819775" y="4705350"/>
          <a:ext cx="282521" cy="66675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352425</xdr:colOff>
      <xdr:row>46</xdr:row>
      <xdr:rowOff>171450</xdr:rowOff>
    </xdr:from>
    <xdr:to>
      <xdr:col>6</xdr:col>
      <xdr:colOff>25346</xdr:colOff>
      <xdr:row>50</xdr:row>
      <xdr:rowOff>76200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3FE9102C-0800-4A67-8768-AA086FA7DFF4}"/>
            </a:ext>
          </a:extLst>
        </xdr:cNvPr>
        <xdr:cNvSpPr/>
      </xdr:nvSpPr>
      <xdr:spPr>
        <a:xfrm>
          <a:off x="3810000" y="7981950"/>
          <a:ext cx="282521" cy="66675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552450</xdr:colOff>
      <xdr:row>46</xdr:row>
      <xdr:rowOff>180975</xdr:rowOff>
    </xdr:from>
    <xdr:to>
      <xdr:col>9</xdr:col>
      <xdr:colOff>225371</xdr:colOff>
      <xdr:row>50</xdr:row>
      <xdr:rowOff>85725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E95B8A3C-2E28-43C0-AC7D-9495CAF1A0C5}"/>
            </a:ext>
          </a:extLst>
        </xdr:cNvPr>
        <xdr:cNvSpPr/>
      </xdr:nvSpPr>
      <xdr:spPr>
        <a:xfrm>
          <a:off x="5838825" y="7991475"/>
          <a:ext cx="282521" cy="66675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285750</xdr:colOff>
      <xdr:row>30</xdr:row>
      <xdr:rowOff>85725</xdr:rowOff>
    </xdr:from>
    <xdr:to>
      <xdr:col>9</xdr:col>
      <xdr:colOff>600075</xdr:colOff>
      <xdr:row>49</xdr:row>
      <xdr:rowOff>66675</xdr:rowOff>
    </xdr:to>
    <xdr:sp macro="" textlink="">
      <xdr:nvSpPr>
        <xdr:cNvPr id="9" name="Arrow: Left-Right 8">
          <a:extLst>
            <a:ext uri="{FF2B5EF4-FFF2-40B4-BE49-F238E27FC236}">
              <a16:creationId xmlns:a16="http://schemas.microsoft.com/office/drawing/2014/main" id="{16BBE3F7-8B8D-4023-BD36-624D50184CE6}"/>
            </a:ext>
          </a:extLst>
        </xdr:cNvPr>
        <xdr:cNvSpPr/>
      </xdr:nvSpPr>
      <xdr:spPr>
        <a:xfrm rot="16200000">
          <a:off x="5014913" y="7443787"/>
          <a:ext cx="3600450" cy="314325"/>
        </a:xfrm>
        <a:prstGeom prst="left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</xdr:col>
      <xdr:colOff>409574</xdr:colOff>
      <xdr:row>27</xdr:row>
      <xdr:rowOff>95249</xdr:rowOff>
    </xdr:from>
    <xdr:to>
      <xdr:col>6</xdr:col>
      <xdr:colOff>581025</xdr:colOff>
      <xdr:row>34</xdr:row>
      <xdr:rowOff>152400</xdr:rowOff>
    </xdr:to>
    <xdr:sp macro="" textlink="">
      <xdr:nvSpPr>
        <xdr:cNvPr id="10" name="Oval 9">
          <a:extLst>
            <a:ext uri="{FF2B5EF4-FFF2-40B4-BE49-F238E27FC236}">
              <a16:creationId xmlns:a16="http://schemas.microsoft.com/office/drawing/2014/main" id="{E0B3A0BC-1870-4C21-965D-D550FD6552BD}"/>
            </a:ext>
          </a:extLst>
        </xdr:cNvPr>
        <xdr:cNvSpPr/>
      </xdr:nvSpPr>
      <xdr:spPr>
        <a:xfrm>
          <a:off x="3257549" y="4286249"/>
          <a:ext cx="1390651" cy="1390651"/>
        </a:xfrm>
        <a:prstGeom prst="ellipse">
          <a:avLst/>
        </a:prstGeom>
        <a:solidFill>
          <a:srgbClr val="FFFF00">
            <a:alpha val="18824"/>
          </a:srgbClr>
        </a:solidFill>
        <a:ln>
          <a:noFill/>
        </a:ln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</xdr:col>
      <xdr:colOff>380998</xdr:colOff>
      <xdr:row>44</xdr:row>
      <xdr:rowOff>123823</xdr:rowOff>
    </xdr:from>
    <xdr:to>
      <xdr:col>6</xdr:col>
      <xdr:colOff>601798</xdr:colOff>
      <xdr:row>52</xdr:row>
      <xdr:rowOff>39823</xdr:rowOff>
    </xdr:to>
    <xdr:sp macro="" textlink="">
      <xdr:nvSpPr>
        <xdr:cNvPr id="11" name="Oval 10">
          <a:extLst>
            <a:ext uri="{FF2B5EF4-FFF2-40B4-BE49-F238E27FC236}">
              <a16:creationId xmlns:a16="http://schemas.microsoft.com/office/drawing/2014/main" id="{3ED7BCB7-FE10-457A-B5DE-ABA16BC890C4}"/>
            </a:ext>
          </a:extLst>
        </xdr:cNvPr>
        <xdr:cNvSpPr/>
      </xdr:nvSpPr>
      <xdr:spPr>
        <a:xfrm>
          <a:off x="3228973" y="7553323"/>
          <a:ext cx="1440000" cy="1440000"/>
        </a:xfrm>
        <a:prstGeom prst="ellipse">
          <a:avLst/>
        </a:prstGeom>
        <a:solidFill>
          <a:srgbClr val="FFFF00">
            <a:alpha val="18824"/>
          </a:srgbClr>
        </a:solidFill>
        <a:ln>
          <a:noFill/>
        </a:ln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438148</xdr:colOff>
      <xdr:row>47</xdr:row>
      <xdr:rowOff>58871</xdr:rowOff>
    </xdr:from>
    <xdr:to>
      <xdr:col>9</xdr:col>
      <xdr:colOff>323850</xdr:colOff>
      <xdr:row>49</xdr:row>
      <xdr:rowOff>173173</xdr:rowOff>
    </xdr:to>
    <xdr:sp macro="" textlink="">
      <xdr:nvSpPr>
        <xdr:cNvPr id="12" name="Oval 11">
          <a:extLst>
            <a:ext uri="{FF2B5EF4-FFF2-40B4-BE49-F238E27FC236}">
              <a16:creationId xmlns:a16="http://schemas.microsoft.com/office/drawing/2014/main" id="{551AAF7D-1449-4B63-B1B7-3D39233D086A}"/>
            </a:ext>
          </a:extLst>
        </xdr:cNvPr>
        <xdr:cNvSpPr/>
      </xdr:nvSpPr>
      <xdr:spPr>
        <a:xfrm>
          <a:off x="5724523" y="8059871"/>
          <a:ext cx="495302" cy="495302"/>
        </a:xfrm>
        <a:prstGeom prst="ellipse">
          <a:avLst/>
        </a:prstGeom>
        <a:solidFill>
          <a:srgbClr val="FFFF00">
            <a:alpha val="18824"/>
          </a:srgbClr>
        </a:solidFill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428623</xdr:colOff>
      <xdr:row>30</xdr:row>
      <xdr:rowOff>68396</xdr:rowOff>
    </xdr:from>
    <xdr:to>
      <xdr:col>9</xdr:col>
      <xdr:colOff>314325</xdr:colOff>
      <xdr:row>32</xdr:row>
      <xdr:rowOff>182698</xdr:rowOff>
    </xdr:to>
    <xdr:sp macro="" textlink="">
      <xdr:nvSpPr>
        <xdr:cNvPr id="15" name="Oval 14">
          <a:extLst>
            <a:ext uri="{FF2B5EF4-FFF2-40B4-BE49-F238E27FC236}">
              <a16:creationId xmlns:a16="http://schemas.microsoft.com/office/drawing/2014/main" id="{23EF0D33-4FB1-4E71-8121-DAE8D3F092A3}"/>
            </a:ext>
          </a:extLst>
        </xdr:cNvPr>
        <xdr:cNvSpPr/>
      </xdr:nvSpPr>
      <xdr:spPr>
        <a:xfrm>
          <a:off x="5714998" y="4830896"/>
          <a:ext cx="495302" cy="495302"/>
        </a:xfrm>
        <a:prstGeom prst="ellipse">
          <a:avLst/>
        </a:prstGeom>
        <a:solidFill>
          <a:srgbClr val="FFFF00">
            <a:alpha val="18824"/>
          </a:srgbClr>
        </a:solidFill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381001</xdr:colOff>
      <xdr:row>54</xdr:row>
      <xdr:rowOff>161925</xdr:rowOff>
    </xdr:from>
    <xdr:to>
      <xdr:col>9</xdr:col>
      <xdr:colOff>200025</xdr:colOff>
      <xdr:row>56</xdr:row>
      <xdr:rowOff>66675</xdr:rowOff>
    </xdr:to>
    <xdr:sp macro="" textlink="">
      <xdr:nvSpPr>
        <xdr:cNvPr id="17" name="Arrow: Left-Right 16">
          <a:extLst>
            <a:ext uri="{FF2B5EF4-FFF2-40B4-BE49-F238E27FC236}">
              <a16:creationId xmlns:a16="http://schemas.microsoft.com/office/drawing/2014/main" id="{4EDC8FEA-B4E9-4A79-A252-1B2A3042B0E8}"/>
            </a:ext>
          </a:extLst>
        </xdr:cNvPr>
        <xdr:cNvSpPr/>
      </xdr:nvSpPr>
      <xdr:spPr>
        <a:xfrm>
          <a:off x="4314826" y="10448925"/>
          <a:ext cx="2257424" cy="314325"/>
        </a:xfrm>
        <a:prstGeom prst="left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381001</xdr:colOff>
      <xdr:row>27</xdr:row>
      <xdr:rowOff>133350</xdr:rowOff>
    </xdr:from>
    <xdr:to>
      <xdr:col>9</xdr:col>
      <xdr:colOff>200025</xdr:colOff>
      <xdr:row>29</xdr:row>
      <xdr:rowOff>66675</xdr:rowOff>
    </xdr:to>
    <xdr:sp macro="" textlink="">
      <xdr:nvSpPr>
        <xdr:cNvPr id="18" name="Arrow: Left-Right 17">
          <a:extLst>
            <a:ext uri="{FF2B5EF4-FFF2-40B4-BE49-F238E27FC236}">
              <a16:creationId xmlns:a16="http://schemas.microsoft.com/office/drawing/2014/main" id="{C37F972A-5D77-435C-9D6C-7CC69B88616E}"/>
            </a:ext>
          </a:extLst>
        </xdr:cNvPr>
        <xdr:cNvSpPr/>
      </xdr:nvSpPr>
      <xdr:spPr>
        <a:xfrm>
          <a:off x="4314826" y="5276850"/>
          <a:ext cx="2257424" cy="314325"/>
        </a:xfrm>
        <a:prstGeom prst="left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</xdr:col>
      <xdr:colOff>504825</xdr:colOff>
      <xdr:row>37</xdr:row>
      <xdr:rowOff>114299</xdr:rowOff>
    </xdr:from>
    <xdr:to>
      <xdr:col>8</xdr:col>
      <xdr:colOff>104775</xdr:colOff>
      <xdr:row>42</xdr:row>
      <xdr:rowOff>28574</xdr:rowOff>
    </xdr:to>
    <xdr:sp macro="" textlink="">
      <xdr:nvSpPr>
        <xdr:cNvPr id="19" name="Arrow: Circular 18">
          <a:extLst>
            <a:ext uri="{FF2B5EF4-FFF2-40B4-BE49-F238E27FC236}">
              <a16:creationId xmlns:a16="http://schemas.microsoft.com/office/drawing/2014/main" id="{1924E544-5653-4257-A420-61C1709589A3}"/>
            </a:ext>
          </a:extLst>
        </xdr:cNvPr>
        <xdr:cNvSpPr/>
      </xdr:nvSpPr>
      <xdr:spPr>
        <a:xfrm>
          <a:off x="4572000" y="6210299"/>
          <a:ext cx="819150" cy="866775"/>
        </a:xfrm>
        <a:prstGeom prst="circularArrow">
          <a:avLst>
            <a:gd name="adj1" fmla="val 7398"/>
            <a:gd name="adj2" fmla="val 1135517"/>
            <a:gd name="adj3" fmla="val 20231588"/>
            <a:gd name="adj4" fmla="val 2009796"/>
            <a:gd name="adj5" fmla="val 1198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15</xdr:col>
      <xdr:colOff>420185</xdr:colOff>
      <xdr:row>4</xdr:row>
      <xdr:rowOff>134062</xdr:rowOff>
    </xdr:from>
    <xdr:to>
      <xdr:col>18</xdr:col>
      <xdr:colOff>584244</xdr:colOff>
      <xdr:row>8</xdr:row>
      <xdr:rowOff>174872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D3DBEF37-E1FA-40BF-A075-311C0E10A3E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9091" b="32364" l="3647" r="95529">
                      <a14:foregroundMark x1="32824" y1="18667" x2="47294" y2="10182"/>
                      <a14:foregroundMark x1="47294" y1="10182" x2="64588" y2="7030"/>
                      <a14:foregroundMark x1="64588" y1="7030" x2="81647" y2="8364"/>
                      <a14:foregroundMark x1="81647" y1="8364" x2="96118" y2="18182"/>
                      <a14:foregroundMark x1="96118" y1="18182" x2="96471" y2="27636"/>
                      <a14:foregroundMark x1="81057" y1="33534" x2="80000" y2="33939"/>
                      <a14:foregroundMark x1="96471" y1="27636" x2="86299" y2="31528"/>
                      <a14:foregroundMark x1="68608" y1="31708" x2="63294" y2="30667"/>
                      <a14:foregroundMark x1="80000" y1="33939" x2="73092" y2="32586"/>
                      <a14:foregroundMark x1="23962" y1="33004" x2="20471" y2="33212"/>
                      <a14:foregroundMark x1="63294" y1="30667" x2="58113" y2="30975"/>
                      <a14:foregroundMark x1="20471" y1="33212" x2="3529" y2="29212"/>
                      <a14:foregroundMark x1="3529" y1="29212" x2="5901" y2="21981"/>
                      <a14:foregroundMark x1="21058" y1="16000" x2="22000" y2="16000"/>
                      <a14:foregroundMark x1="16588" y1="25212" x2="14118" y2="25455"/>
                      <a14:foregroundMark x1="93412" y1="28121" x2="95176" y2="19394"/>
                      <a14:foregroundMark x1="95176" y1="19394" x2="90235" y2="12242"/>
                      <a14:foregroundMark x1="90235" y1="12242" x2="89059" y2="12000"/>
                      <a14:foregroundMark x1="84235" y1="10303" x2="92118" y2="14788"/>
                      <a14:foregroundMark x1="92118" y1="14788" x2="95647" y2="23030"/>
                      <a14:foregroundMark x1="95647" y1="23030" x2="92588" y2="30303"/>
                      <a14:foregroundMark x1="88941" y1="13091" x2="85294" y2="10061"/>
                      <a14:foregroundMark x1="88000" y1="11636" x2="88000" y2="11636"/>
                      <a14:foregroundMark x1="4471" y1="21697" x2="3647" y2="29333"/>
                      <a14:foregroundMark x1="75647" y1="31394" x2="78941" y2="31879"/>
                      <a14:backgroundMark x1="16235" y1="16364" x2="16235" y2="16364"/>
                      <a14:backgroundMark x1="17412" y1="16121" x2="12588" y2="16364"/>
                      <a14:backgroundMark x1="19412" y1="15152" x2="9176" y2="18545"/>
                      <a14:backgroundMark x1="5529" y1="20242" x2="7765" y2="20242"/>
                      <a14:backgroundMark x1="9059" y1="18909" x2="9059" y2="18909"/>
                      <a14:backgroundMark x1="8824" y1="19394" x2="8824" y2="19394"/>
                      <a14:backgroundMark x1="20471" y1="15636" x2="20471" y2="15636"/>
                      <a14:backgroundMark x1="19647" y1="16000" x2="21059" y2="16000"/>
                      <a14:backgroundMark x1="5765" y1="19879" x2="9529" y2="18667"/>
                      <a14:backgroundMark x1="26471" y1="33576" x2="34588" y2="32364"/>
                      <a14:backgroundMark x1="34588" y1="32364" x2="57176" y2="32485"/>
                      <a14:backgroundMark x1="25059" y1="33333" x2="25059" y2="33333"/>
                      <a14:backgroundMark x1="25882" y1="33091" x2="26588" y2="32727"/>
                      <a14:backgroundMark x1="27059" y1="33333" x2="26471" y2="32848"/>
                      <a14:backgroundMark x1="68118" y1="32364" x2="72353" y2="33576"/>
                      <a14:backgroundMark x1="85529" y1="32727" x2="82118" y2="33576"/>
                      <a14:backgroundMark x1="84588" y1="32364" x2="85882" y2="32242"/>
                      <a14:backgroundMark x1="82118" y1="33455" x2="81176" y2="33697"/>
                      <a14:backgroundMark x1="25882" y1="32485" x2="24588" y2="33576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t="6400" b="65977"/>
        <a:stretch/>
      </xdr:blipFill>
      <xdr:spPr>
        <a:xfrm rot="20940000" flipH="1">
          <a:off x="10500120" y="896062"/>
          <a:ext cx="2980146" cy="802810"/>
        </a:xfrm>
        <a:prstGeom prst="rect">
          <a:avLst/>
        </a:prstGeom>
      </xdr:spPr>
    </xdr:pic>
    <xdr:clientData/>
  </xdr:twoCellAnchor>
  <xdr:twoCellAnchor>
    <xdr:from>
      <xdr:col>15</xdr:col>
      <xdr:colOff>41671</xdr:colOff>
      <xdr:row>9</xdr:row>
      <xdr:rowOff>166687</xdr:rowOff>
    </xdr:from>
    <xdr:to>
      <xdr:col>16</xdr:col>
      <xdr:colOff>101202</xdr:colOff>
      <xdr:row>11</xdr:row>
      <xdr:rowOff>0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B5A5AE46-CDB5-46DC-B526-7112897A0F19}"/>
            </a:ext>
          </a:extLst>
        </xdr:cNvPr>
        <xdr:cNvSpPr txBox="1"/>
      </xdr:nvSpPr>
      <xdr:spPr>
        <a:xfrm>
          <a:off x="10036968" y="1881187"/>
          <a:ext cx="666750" cy="2143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000"/>
            <a:t>8.53°</a:t>
          </a:r>
        </a:p>
      </xdr:txBody>
    </xdr:sp>
    <xdr:clientData/>
  </xdr:twoCellAnchor>
  <xdr:twoCellAnchor editAs="oneCell">
    <xdr:from>
      <xdr:col>7</xdr:col>
      <xdr:colOff>142875</xdr:colOff>
      <xdr:row>39</xdr:row>
      <xdr:rowOff>19050</xdr:rowOff>
    </xdr:from>
    <xdr:to>
      <xdr:col>7</xdr:col>
      <xdr:colOff>507546</xdr:colOff>
      <xdr:row>41</xdr:row>
      <xdr:rowOff>0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CA0789F4-A4BA-458F-8C81-02D51B9AAB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900" y="7448550"/>
          <a:ext cx="364671" cy="361950"/>
        </a:xfrm>
        <a:prstGeom prst="rect">
          <a:avLst/>
        </a:prstGeom>
      </xdr:spPr>
    </xdr:pic>
    <xdr:clientData/>
  </xdr:twoCellAnchor>
  <xdr:twoCellAnchor>
    <xdr:from>
      <xdr:col>10</xdr:col>
      <xdr:colOff>9525</xdr:colOff>
      <xdr:row>31</xdr:row>
      <xdr:rowOff>66675</xdr:rowOff>
    </xdr:from>
    <xdr:to>
      <xdr:col>10</xdr:col>
      <xdr:colOff>9526</xdr:colOff>
      <xdr:row>40</xdr:row>
      <xdr:rowOff>11100</xdr:rowOff>
    </xdr:to>
    <xdr:cxnSp macro="">
      <xdr:nvCxnSpPr>
        <xdr:cNvPr id="23" name="Straight Arrow Connector 22">
          <a:extLst>
            <a:ext uri="{FF2B5EF4-FFF2-40B4-BE49-F238E27FC236}">
              <a16:creationId xmlns:a16="http://schemas.microsoft.com/office/drawing/2014/main" id="{E166C6B4-13CB-4E18-AD87-CBB1FC01D88D}"/>
            </a:ext>
          </a:extLst>
        </xdr:cNvPr>
        <xdr:cNvCxnSpPr/>
      </xdr:nvCxnSpPr>
      <xdr:spPr>
        <a:xfrm>
          <a:off x="6991350" y="5972175"/>
          <a:ext cx="1" cy="165892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834264</xdr:colOff>
      <xdr:row>112</xdr:row>
      <xdr:rowOff>141497</xdr:rowOff>
    </xdr:from>
    <xdr:to>
      <xdr:col>7</xdr:col>
      <xdr:colOff>462604</xdr:colOff>
      <xdr:row>133</xdr:row>
      <xdr:rowOff>137605</xdr:rowOff>
    </xdr:to>
    <xdr:pic>
      <xdr:nvPicPr>
        <xdr:cNvPr id="26" name="Picture 25" descr="Ferrari F12 Berlinetta Steering Wheel">
          <a:extLst>
            <a:ext uri="{FF2B5EF4-FFF2-40B4-BE49-F238E27FC236}">
              <a16:creationId xmlns:a16="http://schemas.microsoft.com/office/drawing/2014/main" id="{8F7F955A-E7A7-4FEE-92EB-B7C84BCDDAA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9989" b="91160" l="10000" r="90000">
                      <a14:foregroundMark x1="32422" y1="19747" x2="28577" y2="24400"/>
                      <a14:foregroundMark x1="23611" y1="32252" x2="20703" y2="42135"/>
                      <a14:foregroundMark x1="20703" y1="42135" x2="21200" y2="70096"/>
                      <a14:foregroundMark x1="29270" y1="87533" x2="31094" y2="89208"/>
                      <a14:foregroundMark x1="31094" y1="89208" x2="47109" y2="93111"/>
                      <a14:foregroundMark x1="47109" y1="93111" x2="61016" y2="91160"/>
                      <a14:foregroundMark x1="61016" y1="91160" x2="67891" y2="84041"/>
                      <a14:foregroundMark x1="67891" y1="84041" x2="73984" y2="61538"/>
                      <a14:foregroundMark x1="73984" y1="61538" x2="75873" y2="40667"/>
                      <a14:foregroundMark x1="72142" y1="32103" x2="57188" y2="15959"/>
                      <a14:foregroundMark x1="57188" y1="15959" x2="39093" y2="15076"/>
                      <a14:foregroundMark x1="31669" y1="19446" x2="30938" y2="20207"/>
                      <a14:foregroundMark x1="30781" y1="29851" x2="34453" y2="25718"/>
                      <a14:foregroundMark x1="34453" y1="25718" x2="38697" y2="23779"/>
                      <a14:foregroundMark x1="57372" y1="22835" x2="63359" y2="26062"/>
                      <a14:foregroundMark x1="63359" y1="26062" x2="64219" y2="19977"/>
                      <a14:foregroundMark x1="64219" y1="19977" x2="51094" y2="14007"/>
                      <a14:foregroundMark x1="51094" y1="14007" x2="46953" y2="13777"/>
                      <a14:foregroundMark x1="46953" y1="13777" x2="37969" y2="17336"/>
                      <a14:foregroundMark x1="37969" y1="17336" x2="29922" y2="28703"/>
                      <a14:foregroundMark x1="40703" y1="20321" x2="42547" y2="20223"/>
                      <a14:foregroundMark x1="53415" y1="19515" x2="49766" y2="17107"/>
                      <a14:foregroundMark x1="49766" y1="17107" x2="40469" y2="16418"/>
                      <a14:foregroundMark x1="19531" y1="49254" x2="20469" y2="43169"/>
                      <a14:foregroundMark x1="20469" y1="43169" x2="22188" y2="39495"/>
                      <a14:foregroundMark x1="57109" y1="75660" x2="64609" y2="69460"/>
                      <a14:foregroundMark x1="64609" y1="69460" x2="64688" y2="65327"/>
                      <a14:foregroundMark x1="64219" y1="69805" x2="64766" y2="67394"/>
                      <a14:backgroundMark x1="31647" y1="30044" x2="28281" y2="40643"/>
                      <a14:backgroundMark x1="28281" y1="40643" x2="28359" y2="46958"/>
                      <a14:backgroundMark x1="28359" y1="46958" x2="32422" y2="46498"/>
                      <a14:backgroundMark x1="32422" y1="46498" x2="43906" y2="39724"/>
                      <a14:backgroundMark x1="43906" y1="39724" x2="53594" y2="39265"/>
                      <a14:backgroundMark x1="53594" y1="39265" x2="57734" y2="40873"/>
                      <a14:backgroundMark x1="57734" y1="40873" x2="61250" y2="44317"/>
                      <a14:backgroundMark x1="61250" y1="44317" x2="65469" y2="45924"/>
                      <a14:backgroundMark x1="65469" y1="45924" x2="67969" y2="40758"/>
                      <a14:backgroundMark x1="67969" y1="40758" x2="62891" y2="29736"/>
                      <a14:backgroundMark x1="62891" y1="29736" x2="59067" y2="25713"/>
                      <a14:backgroundMark x1="51892" y1="21846" x2="49351" y2="21442"/>
                      <a14:backgroundMark x1="63594" y1="78760" x2="66953" y2="75431"/>
                      <a14:backgroundMark x1="66953" y1="75431" x2="69844" y2="63031"/>
                      <a14:backgroundMark x1="69844" y1="63031" x2="66953" y2="67623"/>
                      <a14:backgroundMark x1="66953" y1="67623" x2="62422" y2="79449"/>
                      <a14:backgroundMark x1="62422" y1="79449" x2="58750" y2="82549"/>
                      <a14:backgroundMark x1="58750" y1="82549" x2="62734" y2="81056"/>
                      <a14:backgroundMark x1="62734" y1="81056" x2="64688" y2="77956"/>
                      <a14:backgroundMark x1="65156" y1="75201" x2="69453" y2="64524"/>
                      <a14:backgroundMark x1="69453" y1="64524" x2="69922" y2="62342"/>
                      <a14:backgroundMark x1="77031" y1="62342" x2="77578" y2="55798"/>
                      <a14:backgroundMark x1="77578" y1="55798" x2="79375" y2="50631"/>
                      <a14:backgroundMark x1="79375" y1="50631" x2="79922" y2="44891"/>
                      <a14:backgroundMark x1="79922" y1="44891" x2="77578" y2="39610"/>
                      <a14:backgroundMark x1="77578" y1="39610" x2="74531" y2="35821"/>
                      <a14:backgroundMark x1="74531" y1="35821" x2="90000" y2="47761"/>
                      <a14:backgroundMark x1="90000" y1="47761" x2="90781" y2="53502"/>
                      <a14:backgroundMark x1="90781" y1="53502" x2="80859" y2="66820"/>
                      <a14:backgroundMark x1="80859" y1="66820" x2="77969" y2="62342"/>
                      <a14:backgroundMark x1="77969" y1="62342" x2="79063" y2="56257"/>
                      <a14:backgroundMark x1="79063" y1="56257" x2="81563" y2="50976"/>
                      <a14:backgroundMark x1="81563" y1="50976" x2="84922" y2="47302"/>
                      <a14:backgroundMark x1="84922" y1="47302" x2="85000" y2="47302"/>
                      <a14:backgroundMark x1="56328" y1="25718" x2="39922" y2="26866"/>
                      <a14:backgroundMark x1="39922" y1="26866" x2="35547" y2="29392"/>
                      <a14:backgroundMark x1="35547" y1="29392" x2="37969" y2="35591"/>
                      <a14:backgroundMark x1="37969" y1="35591" x2="43203" y2="35821"/>
                      <a14:backgroundMark x1="43203" y1="35821" x2="48672" y2="34788"/>
                      <a14:backgroundMark x1="48672" y1="34788" x2="53438" y2="31688"/>
                      <a14:backgroundMark x1="53438" y1="31688" x2="55859" y2="27669"/>
                      <a14:backgroundMark x1="40078" y1="25144" x2="48438" y2="21699"/>
                      <a14:backgroundMark x1="48438" y1="21699" x2="54609" y2="22044"/>
                      <a14:backgroundMark x1="39219" y1="24455" x2="42471" y2="21847"/>
                      <a14:backgroundMark x1="51155" y1="21384" x2="53906" y2="21929"/>
                      <a14:backgroundMark x1="32109" y1="18140" x2="37109" y2="14581"/>
                      <a14:backgroundMark x1="28516" y1="21584" x2="22656" y2="31228"/>
                      <a14:backgroundMark x1="22656" y1="31228" x2="18438" y2="41447"/>
                      <a14:backgroundMark x1="18438" y1="41447" x2="16953" y2="48794"/>
                      <a14:backgroundMark x1="16953" y1="48794" x2="16563" y2="62113"/>
                      <a14:backgroundMark x1="16563" y1="62113" x2="12031" y2="63490"/>
                      <a14:backgroundMark x1="12031" y1="63490" x2="10469" y2="56946"/>
                      <a14:backgroundMark x1="10469" y1="56946" x2="11953" y2="50517"/>
                      <a14:backgroundMark x1="11953" y1="50517" x2="16094" y2="52124"/>
                      <a14:backgroundMark x1="16094" y1="52124" x2="17266" y2="55913"/>
                      <a14:backgroundMark x1="27734" y1="64064" x2="30859" y2="75890"/>
                      <a14:backgroundMark x1="30859" y1="75890" x2="33516" y2="80482"/>
                      <a14:backgroundMark x1="33516" y1="80482" x2="42031" y2="85075"/>
                      <a14:backgroundMark x1="42031" y1="85075" x2="38438" y2="80138"/>
                      <a14:backgroundMark x1="38438" y1="80138" x2="30312" y2="72905"/>
                      <a14:backgroundMark x1="30312" y1="72905" x2="27344" y2="68657"/>
                      <a14:backgroundMark x1="27344" y1="68657" x2="31250" y2="69805"/>
                      <a14:backgroundMark x1="31250" y1="69805" x2="31172" y2="69920"/>
                      <a14:backgroundMark x1="26484" y1="64409" x2="28438" y2="62342"/>
                      <a14:backgroundMark x1="26172" y1="65557" x2="27891" y2="60850"/>
                      <a14:backgroundMark x1="25938" y1="63490" x2="27734" y2="61883"/>
                      <a14:backgroundMark x1="67891" y1="71527" x2="69609" y2="66590"/>
                      <a14:backgroundMark x1="66094" y1="72331" x2="67344" y2="72216"/>
                      <a14:backgroundMark x1="66328" y1="74282" x2="67656" y2="71527"/>
                      <a14:backgroundMark x1="64375" y1="75201" x2="65625" y2="68083"/>
                      <a14:backgroundMark x1="65000" y1="73020" x2="64609" y2="72675"/>
                      <a14:backgroundMark x1="65469" y1="45350" x2="69375" y2="45809"/>
                      <a14:backgroundMark x1="69375" y1="45809" x2="67969" y2="42250"/>
                      <a14:backgroundMark x1="68438" y1="46383" x2="69609" y2="47646"/>
                      <a14:backgroundMark x1="69375" y1="44317" x2="65391" y2="32836"/>
                      <a14:backgroundMark x1="72422" y1="31803" x2="75156" y2="36280"/>
                      <a14:backgroundMark x1="75156" y1="36280" x2="75938" y2="40643"/>
                      <a14:backgroundMark x1="34922" y1="15614" x2="38906" y2="13892"/>
                      <a14:backgroundMark x1="38906" y1="13892" x2="39375" y2="13203"/>
                      <a14:backgroundMark x1="36875" y1="15844" x2="39453" y2="14007"/>
                      <a14:backgroundMark x1="19219" y1="69805" x2="22031" y2="74282"/>
                      <a14:backgroundMark x1="22031" y1="74282" x2="23672" y2="80253"/>
                      <a14:backgroundMark x1="23672" y1="80253" x2="26953" y2="83927"/>
                      <a14:backgroundMark x1="26953" y1="83927" x2="28359" y2="88404"/>
                      <a14:backgroundMark x1="27344" y1="85419" x2="29219" y2="87600"/>
                      <a14:backgroundMark x1="26484" y1="85304" x2="27031" y2="86108"/>
                      <a14:backgroundMark x1="21094" y1="70723" x2="23750" y2="79793"/>
                      <a14:backgroundMark x1="19609" y1="60620" x2="18672" y2="53502"/>
                      <a14:backgroundMark x1="40859" y1="22388" x2="53281" y2="21125"/>
                      <a14:backgroundMark x1="53281" y1="21125" x2="56797" y2="24569"/>
                      <a14:backgroundMark x1="56797" y1="24569" x2="56953" y2="24799"/>
                      <a14:backgroundMark x1="40781" y1="23651" x2="44375" y2="21125"/>
                      <a14:backgroundMark x1="44375" y1="21125" x2="48750" y2="21470"/>
                      <a14:backgroundMark x1="48750" y1="21470" x2="51406" y2="21125"/>
                      <a14:backgroundMark x1="38359" y1="24799" x2="42031" y2="21929"/>
                      <a14:backgroundMark x1="42031" y1="21929" x2="50703" y2="20321"/>
                      <a14:backgroundMark x1="50703" y1="20321" x2="53984" y2="23307"/>
                      <a14:backgroundMark x1="56406" y1="83123" x2="58438" y2="77727"/>
                      <a14:backgroundMark x1="58438" y1="77727" x2="62109" y2="75545"/>
                      <a14:backgroundMark x1="62109" y1="75545" x2="65234" y2="71642"/>
                      <a14:backgroundMark x1="65234" y1="71642" x2="65234" y2="71642"/>
                      <a14:backgroundMark x1="65547" y1="71297" x2="65547" y2="71297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6456" t="10011" r="19831"/>
        <a:stretch/>
      </xdr:blipFill>
      <xdr:spPr bwMode="auto">
        <a:xfrm rot="19980000">
          <a:off x="1447177" y="21643149"/>
          <a:ext cx="4192057" cy="39966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252385</xdr:colOff>
      <xdr:row>86</xdr:row>
      <xdr:rowOff>38022</xdr:rowOff>
    </xdr:from>
    <xdr:to>
      <xdr:col>6</xdr:col>
      <xdr:colOff>236617</xdr:colOff>
      <xdr:row>107</xdr:row>
      <xdr:rowOff>140030</xdr:rowOff>
    </xdr:to>
    <xdr:pic>
      <xdr:nvPicPr>
        <xdr:cNvPr id="27" name="Picture 26" descr="Ferrari F12 Berlinetta Steering Wheel">
          <a:extLst>
            <a:ext uri="{FF2B5EF4-FFF2-40B4-BE49-F238E27FC236}">
              <a16:creationId xmlns:a16="http://schemas.microsoft.com/office/drawing/2014/main" id="{6CB5DAA9-DDF2-4EDC-962A-0BE9D4BFFE1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9989" b="91160" l="10000" r="90000">
                      <a14:foregroundMark x1="32422" y1="19747" x2="28577" y2="24400"/>
                      <a14:foregroundMark x1="23611" y1="32252" x2="20703" y2="42135"/>
                      <a14:foregroundMark x1="20703" y1="42135" x2="21200" y2="70096"/>
                      <a14:foregroundMark x1="29270" y1="87533" x2="31094" y2="89208"/>
                      <a14:foregroundMark x1="31094" y1="89208" x2="47109" y2="93111"/>
                      <a14:foregroundMark x1="47109" y1="93111" x2="61016" y2="91160"/>
                      <a14:foregroundMark x1="61016" y1="91160" x2="67891" y2="84041"/>
                      <a14:foregroundMark x1="67891" y1="84041" x2="73984" y2="61538"/>
                      <a14:foregroundMark x1="73984" y1="61538" x2="75873" y2="40667"/>
                      <a14:foregroundMark x1="72142" y1="32103" x2="57188" y2="15959"/>
                      <a14:foregroundMark x1="57188" y1="15959" x2="39093" y2="15076"/>
                      <a14:foregroundMark x1="31669" y1="19446" x2="30938" y2="20207"/>
                      <a14:foregroundMark x1="30781" y1="29851" x2="34453" y2="25718"/>
                      <a14:foregroundMark x1="34453" y1="25718" x2="38697" y2="23779"/>
                      <a14:foregroundMark x1="57372" y1="22835" x2="63359" y2="26062"/>
                      <a14:foregroundMark x1="63359" y1="26062" x2="64219" y2="19977"/>
                      <a14:foregroundMark x1="64219" y1="19977" x2="51094" y2="14007"/>
                      <a14:foregroundMark x1="51094" y1="14007" x2="46953" y2="13777"/>
                      <a14:foregroundMark x1="46953" y1="13777" x2="37969" y2="17336"/>
                      <a14:foregroundMark x1="37969" y1="17336" x2="29922" y2="28703"/>
                      <a14:foregroundMark x1="40703" y1="20321" x2="42547" y2="20223"/>
                      <a14:foregroundMark x1="53415" y1="19515" x2="49766" y2="17107"/>
                      <a14:foregroundMark x1="49766" y1="17107" x2="40469" y2="16418"/>
                      <a14:foregroundMark x1="19531" y1="49254" x2="20469" y2="43169"/>
                      <a14:foregroundMark x1="20469" y1="43169" x2="22188" y2="39495"/>
                      <a14:foregroundMark x1="57109" y1="75660" x2="64609" y2="69460"/>
                      <a14:foregroundMark x1="64609" y1="69460" x2="64688" y2="65327"/>
                      <a14:foregroundMark x1="64219" y1="69805" x2="64766" y2="67394"/>
                      <a14:backgroundMark x1="31647" y1="30044" x2="28281" y2="40643"/>
                      <a14:backgroundMark x1="28281" y1="40643" x2="28359" y2="46958"/>
                      <a14:backgroundMark x1="28359" y1="46958" x2="32422" y2="46498"/>
                      <a14:backgroundMark x1="32422" y1="46498" x2="43906" y2="39724"/>
                      <a14:backgroundMark x1="43906" y1="39724" x2="53594" y2="39265"/>
                      <a14:backgroundMark x1="53594" y1="39265" x2="57734" y2="40873"/>
                      <a14:backgroundMark x1="57734" y1="40873" x2="61250" y2="44317"/>
                      <a14:backgroundMark x1="61250" y1="44317" x2="65469" y2="45924"/>
                      <a14:backgroundMark x1="65469" y1="45924" x2="67969" y2="40758"/>
                      <a14:backgroundMark x1="67969" y1="40758" x2="62891" y2="29736"/>
                      <a14:backgroundMark x1="62891" y1="29736" x2="59067" y2="25713"/>
                      <a14:backgroundMark x1="51892" y1="21846" x2="49351" y2="21442"/>
                      <a14:backgroundMark x1="63594" y1="78760" x2="66953" y2="75431"/>
                      <a14:backgroundMark x1="66953" y1="75431" x2="69844" y2="63031"/>
                      <a14:backgroundMark x1="69844" y1="63031" x2="66953" y2="67623"/>
                      <a14:backgroundMark x1="66953" y1="67623" x2="62422" y2="79449"/>
                      <a14:backgroundMark x1="62422" y1="79449" x2="58750" y2="82549"/>
                      <a14:backgroundMark x1="58750" y1="82549" x2="62734" y2="81056"/>
                      <a14:backgroundMark x1="62734" y1="81056" x2="64688" y2="77956"/>
                      <a14:backgroundMark x1="65156" y1="75201" x2="69453" y2="64524"/>
                      <a14:backgroundMark x1="69453" y1="64524" x2="69922" y2="62342"/>
                      <a14:backgroundMark x1="77031" y1="62342" x2="77578" y2="55798"/>
                      <a14:backgroundMark x1="77578" y1="55798" x2="79375" y2="50631"/>
                      <a14:backgroundMark x1="79375" y1="50631" x2="79922" y2="44891"/>
                      <a14:backgroundMark x1="79922" y1="44891" x2="77578" y2="39610"/>
                      <a14:backgroundMark x1="77578" y1="39610" x2="74531" y2="35821"/>
                      <a14:backgroundMark x1="74531" y1="35821" x2="90000" y2="47761"/>
                      <a14:backgroundMark x1="90000" y1="47761" x2="90781" y2="53502"/>
                      <a14:backgroundMark x1="90781" y1="53502" x2="80859" y2="66820"/>
                      <a14:backgroundMark x1="80859" y1="66820" x2="77969" y2="62342"/>
                      <a14:backgroundMark x1="77969" y1="62342" x2="79063" y2="56257"/>
                      <a14:backgroundMark x1="79063" y1="56257" x2="81563" y2="50976"/>
                      <a14:backgroundMark x1="81563" y1="50976" x2="84922" y2="47302"/>
                      <a14:backgroundMark x1="84922" y1="47302" x2="85000" y2="47302"/>
                      <a14:backgroundMark x1="56328" y1="25718" x2="39922" y2="26866"/>
                      <a14:backgroundMark x1="39922" y1="26866" x2="35547" y2="29392"/>
                      <a14:backgroundMark x1="35547" y1="29392" x2="37969" y2="35591"/>
                      <a14:backgroundMark x1="37969" y1="35591" x2="43203" y2="35821"/>
                      <a14:backgroundMark x1="43203" y1="35821" x2="48672" y2="34788"/>
                      <a14:backgroundMark x1="48672" y1="34788" x2="53438" y2="31688"/>
                      <a14:backgroundMark x1="53438" y1="31688" x2="55859" y2="27669"/>
                      <a14:backgroundMark x1="40078" y1="25144" x2="48438" y2="21699"/>
                      <a14:backgroundMark x1="48438" y1="21699" x2="54609" y2="22044"/>
                      <a14:backgroundMark x1="39219" y1="24455" x2="42471" y2="21847"/>
                      <a14:backgroundMark x1="51155" y1="21384" x2="53906" y2="21929"/>
                      <a14:backgroundMark x1="32109" y1="18140" x2="37109" y2="14581"/>
                      <a14:backgroundMark x1="28516" y1="21584" x2="22656" y2="31228"/>
                      <a14:backgroundMark x1="22656" y1="31228" x2="18438" y2="41447"/>
                      <a14:backgroundMark x1="18438" y1="41447" x2="16953" y2="48794"/>
                      <a14:backgroundMark x1="16953" y1="48794" x2="16563" y2="62113"/>
                      <a14:backgroundMark x1="16563" y1="62113" x2="12031" y2="63490"/>
                      <a14:backgroundMark x1="12031" y1="63490" x2="10469" y2="56946"/>
                      <a14:backgroundMark x1="10469" y1="56946" x2="11953" y2="50517"/>
                      <a14:backgroundMark x1="11953" y1="50517" x2="16094" y2="52124"/>
                      <a14:backgroundMark x1="16094" y1="52124" x2="17266" y2="55913"/>
                      <a14:backgroundMark x1="27734" y1="64064" x2="30859" y2="75890"/>
                      <a14:backgroundMark x1="30859" y1="75890" x2="33516" y2="80482"/>
                      <a14:backgroundMark x1="33516" y1="80482" x2="42031" y2="85075"/>
                      <a14:backgroundMark x1="42031" y1="85075" x2="38438" y2="80138"/>
                      <a14:backgroundMark x1="38438" y1="80138" x2="30312" y2="72905"/>
                      <a14:backgroundMark x1="30312" y1="72905" x2="27344" y2="68657"/>
                      <a14:backgroundMark x1="27344" y1="68657" x2="31250" y2="69805"/>
                      <a14:backgroundMark x1="31250" y1="69805" x2="31172" y2="69920"/>
                      <a14:backgroundMark x1="26484" y1="64409" x2="28438" y2="62342"/>
                      <a14:backgroundMark x1="26172" y1="65557" x2="27891" y2="60850"/>
                      <a14:backgroundMark x1="25938" y1="63490" x2="27734" y2="61883"/>
                      <a14:backgroundMark x1="67891" y1="71527" x2="69609" y2="66590"/>
                      <a14:backgroundMark x1="66094" y1="72331" x2="67344" y2="72216"/>
                      <a14:backgroundMark x1="66328" y1="74282" x2="67656" y2="71527"/>
                      <a14:backgroundMark x1="64375" y1="75201" x2="65625" y2="68083"/>
                      <a14:backgroundMark x1="65000" y1="73020" x2="64609" y2="72675"/>
                      <a14:backgroundMark x1="65469" y1="45350" x2="69375" y2="45809"/>
                      <a14:backgroundMark x1="69375" y1="45809" x2="67969" y2="42250"/>
                      <a14:backgroundMark x1="68438" y1="46383" x2="69609" y2="47646"/>
                      <a14:backgroundMark x1="69375" y1="44317" x2="65391" y2="32836"/>
                      <a14:backgroundMark x1="72422" y1="31803" x2="75156" y2="36280"/>
                      <a14:backgroundMark x1="75156" y1="36280" x2="75938" y2="40643"/>
                      <a14:backgroundMark x1="34922" y1="15614" x2="38906" y2="13892"/>
                      <a14:backgroundMark x1="38906" y1="13892" x2="39375" y2="13203"/>
                      <a14:backgroundMark x1="36875" y1="15844" x2="39453" y2="14007"/>
                      <a14:backgroundMark x1="19219" y1="69805" x2="22031" y2="74282"/>
                      <a14:backgroundMark x1="22031" y1="74282" x2="23672" y2="80253"/>
                      <a14:backgroundMark x1="23672" y1="80253" x2="26953" y2="83927"/>
                      <a14:backgroundMark x1="26953" y1="83927" x2="28359" y2="88404"/>
                      <a14:backgroundMark x1="27344" y1="85419" x2="29219" y2="87600"/>
                      <a14:backgroundMark x1="26484" y1="85304" x2="27031" y2="86108"/>
                      <a14:backgroundMark x1="21094" y1="70723" x2="23750" y2="79793"/>
                      <a14:backgroundMark x1="19609" y1="60620" x2="18672" y2="53502"/>
                      <a14:backgroundMark x1="40859" y1="22388" x2="53281" y2="21125"/>
                      <a14:backgroundMark x1="53281" y1="21125" x2="56797" y2="24569"/>
                      <a14:backgroundMark x1="56797" y1="24569" x2="56953" y2="24799"/>
                      <a14:backgroundMark x1="40781" y1="23651" x2="44375" y2="21125"/>
                      <a14:backgroundMark x1="44375" y1="21125" x2="48750" y2="21470"/>
                      <a14:backgroundMark x1="48750" y1="21470" x2="51406" y2="21125"/>
                      <a14:backgroundMark x1="38359" y1="24799" x2="42031" y2="21929"/>
                      <a14:backgroundMark x1="42031" y1="21929" x2="50703" y2="20321"/>
                      <a14:backgroundMark x1="50703" y1="20321" x2="53984" y2="23307"/>
                      <a14:backgroundMark x1="56406" y1="83123" x2="58438" y2="77727"/>
                      <a14:backgroundMark x1="58438" y1="77727" x2="62109" y2="75545"/>
                      <a14:backgroundMark x1="62109" y1="75545" x2="65234" y2="71642"/>
                      <a14:backgroundMark x1="65234" y1="71642" x2="65234" y2="71642"/>
                      <a14:backgroundMark x1="65547" y1="71297" x2="65547" y2="71297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6456" t="10011" r="19831"/>
        <a:stretch/>
      </xdr:blipFill>
      <xdr:spPr bwMode="auto">
        <a:xfrm rot="18480000">
          <a:off x="764997" y="16670410"/>
          <a:ext cx="4102508" cy="39085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443592</xdr:colOff>
      <xdr:row>80</xdr:row>
      <xdr:rowOff>85725</xdr:rowOff>
    </xdr:from>
    <xdr:to>
      <xdr:col>27</xdr:col>
      <xdr:colOff>221551</xdr:colOff>
      <xdr:row>103</xdr:row>
      <xdr:rowOff>96225</xdr:rowOff>
    </xdr:to>
    <xdr:pic>
      <xdr:nvPicPr>
        <xdr:cNvPr id="29" name="Picture 28" descr="Ferrari F12 Berlinetta Steering Wheel">
          <a:extLst>
            <a:ext uri="{FF2B5EF4-FFF2-40B4-BE49-F238E27FC236}">
              <a16:creationId xmlns:a16="http://schemas.microsoft.com/office/drawing/2014/main" id="{AD2E69E1-CB64-4624-B7FF-037643E90F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726" b="97933" l="3750" r="98203">
                      <a14:foregroundMark x1="6875" y1="29506" x2="7578" y2="18255"/>
                      <a14:foregroundMark x1="7578" y1="18255" x2="10078" y2="9185"/>
                      <a14:foregroundMark x1="10078" y1="9185" x2="39297" y2="2755"/>
                      <a14:foregroundMark x1="39297" y1="2755" x2="88359" y2="15499"/>
                      <a14:foregroundMark x1="88359" y1="15499" x2="90078" y2="21470"/>
                      <a14:foregroundMark x1="90078" y1="21470" x2="91797" y2="59127"/>
                      <a14:foregroundMark x1="91797" y1="59127" x2="89844" y2="71871"/>
                      <a14:foregroundMark x1="89844" y1="71871" x2="83359" y2="85763"/>
                      <a14:foregroundMark x1="83359" y1="85763" x2="79609" y2="88978"/>
                      <a14:foregroundMark x1="55226" y1="92788" x2="34063" y2="96096"/>
                      <a14:foregroundMark x1="60058" y1="92033" x2="59148" y2="92175"/>
                      <a14:foregroundMark x1="79609" y1="88978" x2="63719" y2="91461"/>
                      <a14:foregroundMark x1="34063" y1="96096" x2="27422" y2="92997"/>
                      <a14:foregroundMark x1="27422" y1="92997" x2="12422" y2="73708"/>
                      <a14:foregroundMark x1="12422" y1="73708" x2="7187" y2="58898"/>
                      <a14:foregroundMark x1="7187" y1="58898" x2="7109" y2="29851"/>
                      <a14:foregroundMark x1="7109" y1="29851" x2="9922" y2="20321"/>
                      <a14:foregroundMark x1="8828" y1="16877" x2="17734" y2="16992"/>
                      <a14:foregroundMark x1="17734" y1="16992" x2="51484" y2="8955"/>
                      <a14:foregroundMark x1="2266" y1="9759" x2="3281" y2="3559"/>
                      <a14:foregroundMark x1="3281" y1="3559" x2="10625" y2="3100"/>
                      <a14:foregroundMark x1="10625" y1="3100" x2="24766" y2="4363"/>
                      <a14:foregroundMark x1="24766" y1="4363" x2="53281" y2="1722"/>
                      <a14:foregroundMark x1="53281" y1="1722" x2="57500" y2="1837"/>
                      <a14:foregroundMark x1="57500" y1="1837" x2="66953" y2="804"/>
                      <a14:foregroundMark x1="66953" y1="804" x2="88125" y2="3444"/>
                      <a14:foregroundMark x1="88125" y1="3444" x2="94375" y2="7463"/>
                      <a14:foregroundMark x1="94375" y1="7463" x2="97656" y2="22273"/>
                      <a14:foregroundMark x1="97656" y1="22273" x2="95000" y2="86682"/>
                      <a14:foregroundMark x1="95000" y1="86682" x2="93594" y2="93685"/>
                      <a14:foregroundMark x1="93594" y1="93685" x2="91406" y2="98622"/>
                      <a14:foregroundMark x1="91406" y1="98622" x2="75625" y2="97474"/>
                      <a14:foregroundMark x1="75625" y1="97474" x2="71797" y2="95408"/>
                      <a14:foregroundMark x1="71797" y1="95408" x2="71953" y2="86452"/>
                      <a14:foregroundMark x1="79219" y1="94374" x2="62891" y2="96785"/>
                      <a14:foregroundMark x1="62891" y1="96785" x2="14766" y2="95637"/>
                      <a14:foregroundMark x1="14766" y1="95637" x2="7422" y2="88978"/>
                      <a14:foregroundMark x1="7422" y1="88978" x2="4297" y2="80253"/>
                      <a14:foregroundMark x1="4297" y1="80253" x2="3438" y2="62457"/>
                      <a14:foregroundMark x1="3438" y1="62457" x2="3828" y2="55798"/>
                      <a14:foregroundMark x1="3828" y1="55798" x2="4375" y2="53846"/>
                      <a14:foregroundMark x1="1953" y1="26636" x2="2891" y2="92997"/>
                      <a14:foregroundMark x1="2891" y1="92997" x2="4375" y2="98507"/>
                      <a14:foregroundMark x1="4375" y1="98507" x2="9766" y2="98163"/>
                      <a14:foregroundMark x1="9766" y1="98163" x2="8516" y2="91963"/>
                      <a14:foregroundMark x1="8516" y1="91963" x2="4766" y2="85534"/>
                      <a14:foregroundMark x1="39453" y1="7348" x2="67578" y2="3674"/>
                      <a14:foregroundMark x1="67578" y1="3674" x2="91172" y2="7807"/>
                      <a14:foregroundMark x1="91172" y1="7807" x2="94609" y2="11366"/>
                      <a14:foregroundMark x1="94609" y1="11366" x2="92266" y2="41332"/>
                      <a14:foregroundMark x1="92266" y1="41332" x2="93281" y2="52813"/>
                      <a14:foregroundMark x1="79688" y1="21010" x2="83125" y2="66361"/>
                      <a14:foregroundMark x1="83125" y1="66361" x2="86875" y2="63720"/>
                      <a14:foregroundMark x1="86875" y1="63720" x2="88906" y2="45809"/>
                      <a14:foregroundMark x1="88906" y1="45809" x2="85313" y2="28358"/>
                      <a14:foregroundMark x1="20781" y1="22158" x2="15156" y2="64983"/>
                      <a14:foregroundMark x1="15156" y1="64983" x2="10078" y2="59242"/>
                      <a14:foregroundMark x1="10078" y1="59242" x2="7500" y2="30654"/>
                      <a14:foregroundMark x1="34063" y1="28358" x2="29063" y2="41217"/>
                      <a14:foregroundMark x1="29063" y1="41217" x2="32031" y2="45121"/>
                      <a14:foregroundMark x1="46230" y1="39639" x2="50469" y2="38002"/>
                      <a14:foregroundMark x1="32031" y1="45121" x2="45990" y2="39731"/>
                      <a14:foregroundMark x1="50469" y1="38002" x2="55859" y2="38232"/>
                      <a14:foregroundMark x1="55859" y1="38232" x2="66272" y2="45302"/>
                      <a14:foregroundMark x1="67206" y1="45656" x2="67578" y2="39954"/>
                      <a14:foregroundMark x1="67578" y1="39954" x2="57500" y2="25029"/>
                      <a14:foregroundMark x1="57500" y1="25029" x2="53906" y2="22158"/>
                      <a14:foregroundMark x1="53906" y1="22158" x2="41328" y2="22503"/>
                      <a14:foregroundMark x1="41328" y1="22503" x2="40604" y2="22894"/>
                      <a14:foregroundMark x1="36649" y1="25703" x2="34141" y2="29047"/>
                      <a14:foregroundMark x1="34141" y1="29047" x2="33594" y2="29392"/>
                      <a14:foregroundMark x1="29141" y1="42710" x2="32109" y2="42824"/>
                      <a14:foregroundMark x1="54922" y1="31688" x2="52422" y2="25258"/>
                      <a14:foregroundMark x1="26484" y1="63031" x2="35938" y2="85419"/>
                      <a14:foregroundMark x1="35938" y1="85419" x2="39922" y2="85763"/>
                      <a14:foregroundMark x1="39922" y1="85763" x2="43281" y2="80712"/>
                      <a14:foregroundMark x1="43281" y1="80712" x2="40078" y2="76808"/>
                      <a14:foregroundMark x1="35961" y1="77643" x2="35547" y2="77727"/>
                      <a14:foregroundMark x1="35547" y1="77727" x2="32109" y2="73249"/>
                      <a14:foregroundMark x1="31097" y1="70435" x2="29922" y2="67164"/>
                      <a14:foregroundMark x1="31543" y1="71674" x2="31122" y2="70504"/>
                      <a14:foregroundMark x1="32109" y1="73249" x2="31806" y2="72406"/>
                      <a14:foregroundMark x1="29922" y1="67164" x2="27109" y2="62687"/>
                      <a14:foregroundMark x1="27109" y1="62687" x2="26563" y2="62457"/>
                      <a14:foregroundMark x1="56484" y1="84156" x2="65391" y2="76119"/>
                      <a14:foregroundMark x1="65391" y1="76119" x2="70000" y2="64868"/>
                      <a14:foregroundMark x1="70000" y1="64868" x2="65781" y2="67853"/>
                      <a14:foregroundMark x1="65781" y1="67853" x2="61016" y2="78071"/>
                      <a14:foregroundMark x1="61016" y1="78071" x2="57031" y2="79449"/>
                      <a14:foregroundMark x1="57031" y1="79449" x2="56563" y2="83352"/>
                      <a14:foregroundMark x1="93672" y1="3789" x2="98672" y2="34902"/>
                      <a14:foregroundMark x1="98672" y1="34902" x2="97266" y2="63261"/>
                      <a14:foregroundMark x1="97266" y1="63261" x2="98203" y2="91734"/>
                      <a14:foregroundMark x1="30938" y1="44661" x2="27031" y2="45695"/>
                      <a14:foregroundMark x1="27031" y1="45695" x2="27656" y2="43054"/>
                      <a14:foregroundMark x1="67734" y1="41791" x2="66641" y2="44432"/>
                      <a14:foregroundMark x1="67656" y1="42365" x2="67266" y2="41102"/>
                      <a14:foregroundMark x1="42109" y1="22158" x2="46016" y2="20551"/>
                      <a14:foregroundMark x1="46016" y1="20551" x2="53594" y2="22847"/>
                      <a14:backgroundMark x1="32891" y1="23651" x2="27969" y2="28817"/>
                      <a14:backgroundMark x1="27969" y1="28817" x2="20703" y2="44776"/>
                      <a14:backgroundMark x1="20703" y1="44776" x2="21406" y2="52009"/>
                      <a14:backgroundMark x1="21406" y1="52009" x2="29297" y2="80941"/>
                      <a14:backgroundMark x1="29297" y1="80941" x2="36875" y2="90815"/>
                      <a14:backgroundMark x1="36875" y1="90815" x2="40313" y2="93571"/>
                      <a14:backgroundMark x1="40313" y1="93571" x2="59844" y2="92652"/>
                      <a14:backgroundMark x1="59844" y1="92652" x2="63828" y2="90241"/>
                      <a14:backgroundMark x1="63828" y1="90241" x2="67656" y2="84960"/>
                      <a14:backgroundMark x1="67656" y1="84960" x2="74922" y2="56028"/>
                      <a14:backgroundMark x1="74922" y1="56028" x2="74766" y2="42135"/>
                      <a14:backgroundMark x1="74766" y1="42135" x2="61328" y2="18370"/>
                      <a14:backgroundMark x1="61328" y1="18370" x2="56797" y2="15499"/>
                      <a14:backgroundMark x1="56797" y1="15499" x2="34453" y2="17451"/>
                      <a14:backgroundMark x1="34453" y1="17451" x2="30625" y2="23766"/>
                      <a14:backgroundMark x1="31016" y1="22044" x2="23672" y2="30310"/>
                      <a14:backgroundMark x1="23672" y1="30310" x2="19531" y2="49369"/>
                      <a14:backgroundMark x1="19531" y1="49369" x2="19531" y2="55683"/>
                      <a14:backgroundMark x1="19531" y1="55683" x2="20547" y2="58209"/>
                      <a14:backgroundMark x1="55469" y1="92193" x2="59375" y2="91619"/>
                      <a14:backgroundMark x1="59375" y1="91619" x2="59531" y2="91504"/>
                      <a14:backgroundMark x1="32656" y1="64294" x2="32422" y2="70608"/>
                      <a14:backgroundMark x1="32422" y1="70608" x2="35469" y2="74742"/>
                      <a14:backgroundMark x1="35469" y1="74742" x2="36484" y2="68772"/>
                      <a14:backgroundMark x1="36484" y1="68772" x2="34141" y2="64064"/>
                      <a14:backgroundMark x1="34141" y1="64064" x2="32578" y2="64294"/>
                      <a14:backgroundMark x1="35078" y1="25488" x2="46875" y2="17107"/>
                      <a14:backgroundMark x1="46875" y1="17107" x2="59609" y2="22503"/>
                      <a14:backgroundMark x1="59609" y1="22503" x2="62266" y2="27325"/>
                      <a14:backgroundMark x1="62266" y1="27325" x2="62578" y2="21240"/>
                      <a14:backgroundMark x1="62578" y1="21240" x2="58438" y2="16762"/>
                      <a14:backgroundMark x1="58438" y1="16762" x2="54609" y2="14581"/>
                      <a14:backgroundMark x1="54609" y1="14581" x2="40703" y2="15844"/>
                      <a14:backgroundMark x1="40703" y1="15844" x2="34922" y2="23651"/>
                      <a14:backgroundMark x1="34922" y1="23651" x2="34922" y2="23651"/>
                      <a14:backgroundMark x1="35625" y1="17796" x2="39609" y2="14811"/>
                      <a14:backgroundMark x1="39609" y1="14811" x2="43516" y2="14925"/>
                      <a14:backgroundMark x1="72734" y1="59587" x2="68125" y2="58209"/>
                      <a14:backgroundMark x1="68125" y1="58209" x2="64375" y2="61194"/>
                      <a14:backgroundMark x1="64375" y1="61194" x2="60547" y2="71757"/>
                      <a14:backgroundMark x1="60547" y1="71757" x2="56953" y2="75431"/>
                      <a14:backgroundMark x1="56953" y1="75431" x2="49219" y2="80253"/>
                      <a14:backgroundMark x1="49219" y1="80253" x2="45156" y2="78645"/>
                      <a14:backgroundMark x1="45156" y1="78645" x2="41719" y2="74742"/>
                      <a14:backgroundMark x1="41719" y1="74742" x2="35234" y2="76119"/>
                      <a14:backgroundMark x1="35234" y1="76119" x2="32734" y2="69001"/>
                      <a14:backgroundMark x1="32734" y1="69001" x2="34297" y2="61079"/>
                      <a14:backgroundMark x1="34297" y1="61079" x2="29922" y2="62801"/>
                      <a14:backgroundMark x1="29922" y1="62801" x2="26719" y2="58439"/>
                      <a14:backgroundMark x1="26719" y1="58439" x2="25000" y2="53042"/>
                      <a14:backgroundMark x1="25000" y1="53042" x2="28281" y2="48220"/>
                      <a14:backgroundMark x1="28281" y1="48220" x2="36797" y2="45809"/>
                      <a14:backgroundMark x1="36797" y1="45809" x2="45625" y2="41332"/>
                      <a14:backgroundMark x1="45625" y1="41332" x2="54531" y2="42710"/>
                      <a14:backgroundMark x1="54531" y1="42710" x2="69063" y2="48220"/>
                      <a14:backgroundMark x1="61953" y1="72216" x2="64297" y2="66935"/>
                      <a14:backgroundMark x1="64297" y1="66935" x2="63438" y2="64638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9614" y="15491377"/>
          <a:ext cx="6470307" cy="439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532511</xdr:colOff>
      <xdr:row>82</xdr:row>
      <xdr:rowOff>115099</xdr:rowOff>
    </xdr:from>
    <xdr:to>
      <xdr:col>25</xdr:col>
      <xdr:colOff>81045</xdr:colOff>
      <xdr:row>103</xdr:row>
      <xdr:rowOff>111207</xdr:rowOff>
    </xdr:to>
    <xdr:pic>
      <xdr:nvPicPr>
        <xdr:cNvPr id="30" name="Picture 29" descr="Ferrari F12 Berlinetta Steering Wheel">
          <a:extLst>
            <a:ext uri="{FF2B5EF4-FFF2-40B4-BE49-F238E27FC236}">
              <a16:creationId xmlns:a16="http://schemas.microsoft.com/office/drawing/2014/main" id="{18DA9A39-CBA5-446B-BB8E-D00E0396AC1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9989" b="91160" l="10000" r="90000">
                      <a14:foregroundMark x1="32422" y1="19747" x2="28577" y2="24400"/>
                      <a14:foregroundMark x1="23611" y1="32252" x2="20703" y2="42135"/>
                      <a14:foregroundMark x1="20703" y1="42135" x2="21200" y2="70096"/>
                      <a14:foregroundMark x1="29270" y1="87533" x2="31094" y2="89208"/>
                      <a14:foregroundMark x1="31094" y1="89208" x2="47109" y2="93111"/>
                      <a14:foregroundMark x1="47109" y1="93111" x2="61016" y2="91160"/>
                      <a14:foregroundMark x1="61016" y1="91160" x2="67891" y2="84041"/>
                      <a14:foregroundMark x1="67891" y1="84041" x2="73984" y2="61538"/>
                      <a14:foregroundMark x1="73984" y1="61538" x2="75873" y2="40667"/>
                      <a14:foregroundMark x1="72142" y1="32103" x2="57188" y2="15959"/>
                      <a14:foregroundMark x1="57188" y1="15959" x2="39093" y2="15076"/>
                      <a14:foregroundMark x1="31669" y1="19446" x2="30938" y2="20207"/>
                      <a14:foregroundMark x1="30781" y1="29851" x2="34453" y2="25718"/>
                      <a14:foregroundMark x1="34453" y1="25718" x2="38697" y2="23779"/>
                      <a14:foregroundMark x1="57372" y1="22835" x2="63359" y2="26062"/>
                      <a14:foregroundMark x1="63359" y1="26062" x2="64219" y2="19977"/>
                      <a14:foregroundMark x1="64219" y1="19977" x2="51094" y2="14007"/>
                      <a14:foregroundMark x1="51094" y1="14007" x2="46953" y2="13777"/>
                      <a14:foregroundMark x1="46953" y1="13777" x2="37969" y2="17336"/>
                      <a14:foregroundMark x1="37969" y1="17336" x2="29922" y2="28703"/>
                      <a14:foregroundMark x1="40703" y1="20321" x2="42547" y2="20223"/>
                      <a14:foregroundMark x1="53415" y1="19515" x2="49766" y2="17107"/>
                      <a14:foregroundMark x1="49766" y1="17107" x2="40469" y2="16418"/>
                      <a14:foregroundMark x1="19531" y1="49254" x2="20469" y2="43169"/>
                      <a14:foregroundMark x1="20469" y1="43169" x2="22188" y2="39495"/>
                      <a14:foregroundMark x1="57109" y1="75660" x2="64609" y2="69460"/>
                      <a14:foregroundMark x1="64609" y1="69460" x2="64688" y2="65327"/>
                      <a14:foregroundMark x1="64219" y1="69805" x2="64766" y2="67394"/>
                      <a14:backgroundMark x1="31647" y1="30044" x2="28281" y2="40643"/>
                      <a14:backgroundMark x1="28281" y1="40643" x2="28359" y2="46958"/>
                      <a14:backgroundMark x1="28359" y1="46958" x2="32422" y2="46498"/>
                      <a14:backgroundMark x1="32422" y1="46498" x2="43906" y2="39724"/>
                      <a14:backgroundMark x1="43906" y1="39724" x2="53594" y2="39265"/>
                      <a14:backgroundMark x1="53594" y1="39265" x2="57734" y2="40873"/>
                      <a14:backgroundMark x1="57734" y1="40873" x2="61250" y2="44317"/>
                      <a14:backgroundMark x1="61250" y1="44317" x2="65469" y2="45924"/>
                      <a14:backgroundMark x1="65469" y1="45924" x2="67969" y2="40758"/>
                      <a14:backgroundMark x1="67969" y1="40758" x2="62891" y2="29736"/>
                      <a14:backgroundMark x1="62891" y1="29736" x2="59067" y2="25713"/>
                      <a14:backgroundMark x1="51892" y1="21846" x2="49351" y2="21442"/>
                      <a14:backgroundMark x1="63594" y1="78760" x2="66953" y2="75431"/>
                      <a14:backgroundMark x1="66953" y1="75431" x2="69844" y2="63031"/>
                      <a14:backgroundMark x1="69844" y1="63031" x2="66953" y2="67623"/>
                      <a14:backgroundMark x1="66953" y1="67623" x2="62422" y2="79449"/>
                      <a14:backgroundMark x1="62422" y1="79449" x2="58750" y2="82549"/>
                      <a14:backgroundMark x1="58750" y1="82549" x2="62734" y2="81056"/>
                      <a14:backgroundMark x1="62734" y1="81056" x2="64688" y2="77956"/>
                      <a14:backgroundMark x1="65156" y1="75201" x2="69453" y2="64524"/>
                      <a14:backgroundMark x1="69453" y1="64524" x2="69922" y2="62342"/>
                      <a14:backgroundMark x1="77031" y1="62342" x2="77578" y2="55798"/>
                      <a14:backgroundMark x1="77578" y1="55798" x2="79375" y2="50631"/>
                      <a14:backgroundMark x1="79375" y1="50631" x2="79922" y2="44891"/>
                      <a14:backgroundMark x1="79922" y1="44891" x2="77578" y2="39610"/>
                      <a14:backgroundMark x1="77578" y1="39610" x2="74531" y2="35821"/>
                      <a14:backgroundMark x1="74531" y1="35821" x2="90000" y2="47761"/>
                      <a14:backgroundMark x1="90000" y1="47761" x2="90781" y2="53502"/>
                      <a14:backgroundMark x1="90781" y1="53502" x2="80859" y2="66820"/>
                      <a14:backgroundMark x1="80859" y1="66820" x2="77969" y2="62342"/>
                      <a14:backgroundMark x1="77969" y1="62342" x2="79063" y2="56257"/>
                      <a14:backgroundMark x1="79063" y1="56257" x2="81563" y2="50976"/>
                      <a14:backgroundMark x1="81563" y1="50976" x2="84922" y2="47302"/>
                      <a14:backgroundMark x1="84922" y1="47302" x2="85000" y2="47302"/>
                      <a14:backgroundMark x1="56328" y1="25718" x2="39922" y2="26866"/>
                      <a14:backgroundMark x1="39922" y1="26866" x2="35547" y2="29392"/>
                      <a14:backgroundMark x1="35547" y1="29392" x2="37969" y2="35591"/>
                      <a14:backgroundMark x1="37969" y1="35591" x2="43203" y2="35821"/>
                      <a14:backgroundMark x1="43203" y1="35821" x2="48672" y2="34788"/>
                      <a14:backgroundMark x1="48672" y1="34788" x2="53438" y2="31688"/>
                      <a14:backgroundMark x1="53438" y1="31688" x2="55859" y2="27669"/>
                      <a14:backgroundMark x1="40078" y1="25144" x2="48438" y2="21699"/>
                      <a14:backgroundMark x1="48438" y1="21699" x2="54609" y2="22044"/>
                      <a14:backgroundMark x1="39219" y1="24455" x2="42471" y2="21847"/>
                      <a14:backgroundMark x1="51155" y1="21384" x2="53906" y2="21929"/>
                      <a14:backgroundMark x1="32109" y1="18140" x2="37109" y2="14581"/>
                      <a14:backgroundMark x1="28516" y1="21584" x2="22656" y2="31228"/>
                      <a14:backgroundMark x1="22656" y1="31228" x2="18438" y2="41447"/>
                      <a14:backgroundMark x1="18438" y1="41447" x2="16953" y2="48794"/>
                      <a14:backgroundMark x1="16953" y1="48794" x2="16563" y2="62113"/>
                      <a14:backgroundMark x1="16563" y1="62113" x2="12031" y2="63490"/>
                      <a14:backgroundMark x1="12031" y1="63490" x2="10469" y2="56946"/>
                      <a14:backgroundMark x1="10469" y1="56946" x2="11953" y2="50517"/>
                      <a14:backgroundMark x1="11953" y1="50517" x2="16094" y2="52124"/>
                      <a14:backgroundMark x1="16094" y1="52124" x2="17266" y2="55913"/>
                      <a14:backgroundMark x1="27734" y1="64064" x2="30859" y2="75890"/>
                      <a14:backgroundMark x1="30859" y1="75890" x2="33516" y2="80482"/>
                      <a14:backgroundMark x1="33516" y1="80482" x2="42031" y2="85075"/>
                      <a14:backgroundMark x1="42031" y1="85075" x2="38438" y2="80138"/>
                      <a14:backgroundMark x1="38438" y1="80138" x2="30312" y2="72905"/>
                      <a14:backgroundMark x1="30312" y1="72905" x2="27344" y2="68657"/>
                      <a14:backgroundMark x1="27344" y1="68657" x2="31250" y2="69805"/>
                      <a14:backgroundMark x1="31250" y1="69805" x2="31172" y2="69920"/>
                      <a14:backgroundMark x1="26484" y1="64409" x2="28438" y2="62342"/>
                      <a14:backgroundMark x1="26172" y1="65557" x2="27891" y2="60850"/>
                      <a14:backgroundMark x1="25938" y1="63490" x2="27734" y2="61883"/>
                      <a14:backgroundMark x1="67891" y1="71527" x2="69609" y2="66590"/>
                      <a14:backgroundMark x1="66094" y1="72331" x2="67344" y2="72216"/>
                      <a14:backgroundMark x1="66328" y1="74282" x2="67656" y2="71527"/>
                      <a14:backgroundMark x1="64375" y1="75201" x2="65625" y2="68083"/>
                      <a14:backgroundMark x1="65000" y1="73020" x2="64609" y2="72675"/>
                      <a14:backgroundMark x1="65469" y1="45350" x2="69375" y2="45809"/>
                      <a14:backgroundMark x1="69375" y1="45809" x2="67969" y2="42250"/>
                      <a14:backgroundMark x1="68438" y1="46383" x2="69609" y2="47646"/>
                      <a14:backgroundMark x1="69375" y1="44317" x2="65391" y2="32836"/>
                      <a14:backgroundMark x1="72422" y1="31803" x2="75156" y2="36280"/>
                      <a14:backgroundMark x1="75156" y1="36280" x2="75938" y2="40643"/>
                      <a14:backgroundMark x1="34922" y1="15614" x2="38906" y2="13892"/>
                      <a14:backgroundMark x1="38906" y1="13892" x2="39375" y2="13203"/>
                      <a14:backgroundMark x1="36875" y1="15844" x2="39453" y2="14007"/>
                      <a14:backgroundMark x1="19219" y1="69805" x2="22031" y2="74282"/>
                      <a14:backgroundMark x1="22031" y1="74282" x2="23672" y2="80253"/>
                      <a14:backgroundMark x1="23672" y1="80253" x2="26953" y2="83927"/>
                      <a14:backgroundMark x1="26953" y1="83927" x2="28359" y2="88404"/>
                      <a14:backgroundMark x1="27344" y1="85419" x2="29219" y2="87600"/>
                      <a14:backgroundMark x1="26484" y1="85304" x2="27031" y2="86108"/>
                      <a14:backgroundMark x1="21094" y1="70723" x2="23750" y2="79793"/>
                      <a14:backgroundMark x1="19609" y1="60620" x2="18672" y2="53502"/>
                      <a14:backgroundMark x1="40859" y1="22388" x2="53281" y2="21125"/>
                      <a14:backgroundMark x1="53281" y1="21125" x2="56797" y2="24569"/>
                      <a14:backgroundMark x1="56797" y1="24569" x2="56953" y2="24799"/>
                      <a14:backgroundMark x1="40781" y1="23651" x2="44375" y2="21125"/>
                      <a14:backgroundMark x1="44375" y1="21125" x2="48750" y2="21470"/>
                      <a14:backgroundMark x1="48750" y1="21470" x2="51406" y2="21125"/>
                      <a14:backgroundMark x1="38359" y1="24799" x2="42031" y2="21929"/>
                      <a14:backgroundMark x1="42031" y1="21929" x2="50703" y2="20321"/>
                      <a14:backgroundMark x1="50703" y1="20321" x2="53984" y2="23307"/>
                      <a14:backgroundMark x1="56406" y1="83123" x2="58438" y2="77727"/>
                      <a14:backgroundMark x1="58438" y1="77727" x2="62109" y2="75545"/>
                      <a14:backgroundMark x1="62109" y1="75545" x2="65234" y2="71642"/>
                      <a14:backgroundMark x1="65234" y1="71642" x2="65234" y2="71642"/>
                      <a14:backgroundMark x1="65547" y1="71297" x2="65547" y2="71297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6456" t="10011" r="19831"/>
        <a:stretch/>
      </xdr:blipFill>
      <xdr:spPr bwMode="auto">
        <a:xfrm rot="19980000">
          <a:off x="14200886" y="15917074"/>
          <a:ext cx="4183481" cy="39966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28</xdr:col>
      <xdr:colOff>253733</xdr:colOff>
      <xdr:row>80</xdr:row>
      <xdr:rowOff>95250</xdr:rowOff>
    </xdr:from>
    <xdr:to>
      <xdr:col>39</xdr:col>
      <xdr:colOff>6626</xdr:colOff>
      <xdr:row>103</xdr:row>
      <xdr:rowOff>105750</xdr:rowOff>
    </xdr:to>
    <xdr:pic>
      <xdr:nvPicPr>
        <xdr:cNvPr id="31" name="Picture 30" descr="Ferrari F12 Berlinetta Steering Wheel">
          <a:extLst>
            <a:ext uri="{FF2B5EF4-FFF2-40B4-BE49-F238E27FC236}">
              <a16:creationId xmlns:a16="http://schemas.microsoft.com/office/drawing/2014/main" id="{F2B5135F-35CB-495B-8B4C-65B435922A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726" b="97933" l="3750" r="98203">
                      <a14:foregroundMark x1="6875" y1="29506" x2="7578" y2="18255"/>
                      <a14:foregroundMark x1="7578" y1="18255" x2="10078" y2="9185"/>
                      <a14:foregroundMark x1="10078" y1="9185" x2="39297" y2="2755"/>
                      <a14:foregroundMark x1="39297" y1="2755" x2="88359" y2="15499"/>
                      <a14:foregroundMark x1="88359" y1="15499" x2="90078" y2="21470"/>
                      <a14:foregroundMark x1="90078" y1="21470" x2="91797" y2="59127"/>
                      <a14:foregroundMark x1="91797" y1="59127" x2="89844" y2="71871"/>
                      <a14:foregroundMark x1="89844" y1="71871" x2="83359" y2="85763"/>
                      <a14:foregroundMark x1="83359" y1="85763" x2="79609" y2="88978"/>
                      <a14:foregroundMark x1="55226" y1="92788" x2="34063" y2="96096"/>
                      <a14:foregroundMark x1="60058" y1="92033" x2="59148" y2="92175"/>
                      <a14:foregroundMark x1="79609" y1="88978" x2="63719" y2="91461"/>
                      <a14:foregroundMark x1="34063" y1="96096" x2="27422" y2="92997"/>
                      <a14:foregroundMark x1="27422" y1="92997" x2="12422" y2="73708"/>
                      <a14:foregroundMark x1="12422" y1="73708" x2="7187" y2="58898"/>
                      <a14:foregroundMark x1="7187" y1="58898" x2="7109" y2="29851"/>
                      <a14:foregroundMark x1="7109" y1="29851" x2="9922" y2="20321"/>
                      <a14:foregroundMark x1="8828" y1="16877" x2="17734" y2="16992"/>
                      <a14:foregroundMark x1="17734" y1="16992" x2="51484" y2="8955"/>
                      <a14:foregroundMark x1="2266" y1="9759" x2="3281" y2="3559"/>
                      <a14:foregroundMark x1="3281" y1="3559" x2="10625" y2="3100"/>
                      <a14:foregroundMark x1="10625" y1="3100" x2="24766" y2="4363"/>
                      <a14:foregroundMark x1="24766" y1="4363" x2="53281" y2="1722"/>
                      <a14:foregroundMark x1="53281" y1="1722" x2="57500" y2="1837"/>
                      <a14:foregroundMark x1="57500" y1="1837" x2="66953" y2="804"/>
                      <a14:foregroundMark x1="66953" y1="804" x2="88125" y2="3444"/>
                      <a14:foregroundMark x1="88125" y1="3444" x2="94375" y2="7463"/>
                      <a14:foregroundMark x1="94375" y1="7463" x2="97656" y2="22273"/>
                      <a14:foregroundMark x1="97656" y1="22273" x2="95000" y2="86682"/>
                      <a14:foregroundMark x1="95000" y1="86682" x2="93594" y2="93685"/>
                      <a14:foregroundMark x1="93594" y1="93685" x2="91406" y2="98622"/>
                      <a14:foregroundMark x1="91406" y1="98622" x2="75625" y2="97474"/>
                      <a14:foregroundMark x1="75625" y1="97474" x2="71797" y2="95408"/>
                      <a14:foregroundMark x1="71797" y1="95408" x2="71953" y2="86452"/>
                      <a14:foregroundMark x1="79219" y1="94374" x2="62891" y2="96785"/>
                      <a14:foregroundMark x1="62891" y1="96785" x2="14766" y2="95637"/>
                      <a14:foregroundMark x1="14766" y1="95637" x2="7422" y2="88978"/>
                      <a14:foregroundMark x1="7422" y1="88978" x2="4297" y2="80253"/>
                      <a14:foregroundMark x1="4297" y1="80253" x2="3438" y2="62457"/>
                      <a14:foregroundMark x1="3438" y1="62457" x2="3828" y2="55798"/>
                      <a14:foregroundMark x1="3828" y1="55798" x2="4375" y2="53846"/>
                      <a14:foregroundMark x1="1953" y1="26636" x2="2891" y2="92997"/>
                      <a14:foregroundMark x1="2891" y1="92997" x2="4375" y2="98507"/>
                      <a14:foregroundMark x1="4375" y1="98507" x2="9766" y2="98163"/>
                      <a14:foregroundMark x1="9766" y1="98163" x2="8516" y2="91963"/>
                      <a14:foregroundMark x1="8516" y1="91963" x2="4766" y2="85534"/>
                      <a14:foregroundMark x1="39453" y1="7348" x2="67578" y2="3674"/>
                      <a14:foregroundMark x1="67578" y1="3674" x2="91172" y2="7807"/>
                      <a14:foregroundMark x1="91172" y1="7807" x2="94609" y2="11366"/>
                      <a14:foregroundMark x1="94609" y1="11366" x2="92266" y2="41332"/>
                      <a14:foregroundMark x1="92266" y1="41332" x2="93281" y2="52813"/>
                      <a14:foregroundMark x1="79688" y1="21010" x2="83125" y2="66361"/>
                      <a14:foregroundMark x1="83125" y1="66361" x2="86875" y2="63720"/>
                      <a14:foregroundMark x1="86875" y1="63720" x2="88906" y2="45809"/>
                      <a14:foregroundMark x1="88906" y1="45809" x2="85313" y2="28358"/>
                      <a14:foregroundMark x1="20781" y1="22158" x2="15156" y2="64983"/>
                      <a14:foregroundMark x1="15156" y1="64983" x2="10078" y2="59242"/>
                      <a14:foregroundMark x1="10078" y1="59242" x2="7500" y2="30654"/>
                      <a14:foregroundMark x1="34063" y1="28358" x2="29063" y2="41217"/>
                      <a14:foregroundMark x1="29063" y1="41217" x2="32031" y2="45121"/>
                      <a14:foregroundMark x1="46230" y1="39639" x2="50469" y2="38002"/>
                      <a14:foregroundMark x1="32031" y1="45121" x2="45990" y2="39731"/>
                      <a14:foregroundMark x1="50469" y1="38002" x2="55859" y2="38232"/>
                      <a14:foregroundMark x1="55859" y1="38232" x2="66272" y2="45302"/>
                      <a14:foregroundMark x1="67206" y1="45656" x2="67578" y2="39954"/>
                      <a14:foregroundMark x1="67578" y1="39954" x2="57500" y2="25029"/>
                      <a14:foregroundMark x1="57500" y1="25029" x2="53906" y2="22158"/>
                      <a14:foregroundMark x1="53906" y1="22158" x2="41328" y2="22503"/>
                      <a14:foregroundMark x1="41328" y1="22503" x2="40604" y2="22894"/>
                      <a14:foregroundMark x1="36649" y1="25703" x2="34141" y2="29047"/>
                      <a14:foregroundMark x1="34141" y1="29047" x2="33594" y2="29392"/>
                      <a14:foregroundMark x1="29141" y1="42710" x2="32109" y2="42824"/>
                      <a14:foregroundMark x1="54922" y1="31688" x2="52422" y2="25258"/>
                      <a14:foregroundMark x1="26484" y1="63031" x2="35938" y2="85419"/>
                      <a14:foregroundMark x1="35938" y1="85419" x2="39922" y2="85763"/>
                      <a14:foregroundMark x1="39922" y1="85763" x2="43281" y2="80712"/>
                      <a14:foregroundMark x1="43281" y1="80712" x2="40078" y2="76808"/>
                      <a14:foregroundMark x1="35961" y1="77643" x2="35547" y2="77727"/>
                      <a14:foregroundMark x1="35547" y1="77727" x2="32109" y2="73249"/>
                      <a14:foregroundMark x1="31097" y1="70435" x2="29922" y2="67164"/>
                      <a14:foregroundMark x1="31543" y1="71674" x2="31122" y2="70504"/>
                      <a14:foregroundMark x1="32109" y1="73249" x2="31806" y2="72406"/>
                      <a14:foregroundMark x1="29922" y1="67164" x2="27109" y2="62687"/>
                      <a14:foregroundMark x1="27109" y1="62687" x2="26563" y2="62457"/>
                      <a14:foregroundMark x1="56484" y1="84156" x2="65391" y2="76119"/>
                      <a14:foregroundMark x1="65391" y1="76119" x2="70000" y2="64868"/>
                      <a14:foregroundMark x1="70000" y1="64868" x2="65781" y2="67853"/>
                      <a14:foregroundMark x1="65781" y1="67853" x2="61016" y2="78071"/>
                      <a14:foregroundMark x1="61016" y1="78071" x2="57031" y2="79449"/>
                      <a14:foregroundMark x1="57031" y1="79449" x2="56563" y2="83352"/>
                      <a14:foregroundMark x1="93672" y1="3789" x2="98672" y2="34902"/>
                      <a14:foregroundMark x1="98672" y1="34902" x2="97266" y2="63261"/>
                      <a14:foregroundMark x1="97266" y1="63261" x2="98203" y2="91734"/>
                      <a14:foregroundMark x1="30938" y1="44661" x2="27031" y2="45695"/>
                      <a14:foregroundMark x1="27031" y1="45695" x2="27656" y2="43054"/>
                      <a14:foregroundMark x1="67734" y1="41791" x2="66641" y2="44432"/>
                      <a14:foregroundMark x1="67656" y1="42365" x2="67266" y2="41102"/>
                      <a14:foregroundMark x1="42109" y1="22158" x2="46016" y2="20551"/>
                      <a14:foregroundMark x1="46016" y1="20551" x2="53594" y2="22847"/>
                      <a14:backgroundMark x1="32891" y1="23651" x2="27969" y2="28817"/>
                      <a14:backgroundMark x1="27969" y1="28817" x2="20703" y2="44776"/>
                      <a14:backgroundMark x1="20703" y1="44776" x2="21406" y2="52009"/>
                      <a14:backgroundMark x1="21406" y1="52009" x2="29297" y2="80941"/>
                      <a14:backgroundMark x1="29297" y1="80941" x2="36875" y2="90815"/>
                      <a14:backgroundMark x1="36875" y1="90815" x2="40313" y2="93571"/>
                      <a14:backgroundMark x1="40313" y1="93571" x2="59844" y2="92652"/>
                      <a14:backgroundMark x1="59844" y1="92652" x2="63828" y2="90241"/>
                      <a14:backgroundMark x1="63828" y1="90241" x2="67656" y2="84960"/>
                      <a14:backgroundMark x1="67656" y1="84960" x2="74922" y2="56028"/>
                      <a14:backgroundMark x1="74922" y1="56028" x2="74766" y2="42135"/>
                      <a14:backgroundMark x1="74766" y1="42135" x2="61328" y2="18370"/>
                      <a14:backgroundMark x1="61328" y1="18370" x2="56797" y2="15499"/>
                      <a14:backgroundMark x1="56797" y1="15499" x2="34453" y2="17451"/>
                      <a14:backgroundMark x1="34453" y1="17451" x2="30625" y2="23766"/>
                      <a14:backgroundMark x1="31016" y1="22044" x2="23672" y2="30310"/>
                      <a14:backgroundMark x1="23672" y1="30310" x2="19531" y2="49369"/>
                      <a14:backgroundMark x1="19531" y1="49369" x2="19531" y2="55683"/>
                      <a14:backgroundMark x1="19531" y1="55683" x2="20547" y2="58209"/>
                      <a14:backgroundMark x1="55469" y1="92193" x2="59375" y2="91619"/>
                      <a14:backgroundMark x1="59375" y1="91619" x2="59531" y2="91504"/>
                      <a14:backgroundMark x1="32656" y1="64294" x2="32422" y2="70608"/>
                      <a14:backgroundMark x1="32422" y1="70608" x2="35469" y2="74742"/>
                      <a14:backgroundMark x1="35469" y1="74742" x2="36484" y2="68772"/>
                      <a14:backgroundMark x1="36484" y1="68772" x2="34141" y2="64064"/>
                      <a14:backgroundMark x1="34141" y1="64064" x2="32578" y2="64294"/>
                      <a14:backgroundMark x1="35078" y1="25488" x2="46875" y2="17107"/>
                      <a14:backgroundMark x1="46875" y1="17107" x2="59609" y2="22503"/>
                      <a14:backgroundMark x1="59609" y1="22503" x2="62266" y2="27325"/>
                      <a14:backgroundMark x1="62266" y1="27325" x2="62578" y2="21240"/>
                      <a14:backgroundMark x1="62578" y1="21240" x2="58438" y2="16762"/>
                      <a14:backgroundMark x1="58438" y1="16762" x2="54609" y2="14581"/>
                      <a14:backgroundMark x1="54609" y1="14581" x2="40703" y2="15844"/>
                      <a14:backgroundMark x1="40703" y1="15844" x2="34922" y2="23651"/>
                      <a14:backgroundMark x1="34922" y1="23651" x2="34922" y2="23651"/>
                      <a14:backgroundMark x1="35625" y1="17796" x2="39609" y2="14811"/>
                      <a14:backgroundMark x1="39609" y1="14811" x2="43516" y2="14925"/>
                      <a14:backgroundMark x1="72734" y1="59587" x2="68125" y2="58209"/>
                      <a14:backgroundMark x1="68125" y1="58209" x2="64375" y2="61194"/>
                      <a14:backgroundMark x1="64375" y1="61194" x2="60547" y2="71757"/>
                      <a14:backgroundMark x1="60547" y1="71757" x2="56953" y2="75431"/>
                      <a14:backgroundMark x1="56953" y1="75431" x2="49219" y2="80253"/>
                      <a14:backgroundMark x1="49219" y1="80253" x2="45156" y2="78645"/>
                      <a14:backgroundMark x1="45156" y1="78645" x2="41719" y2="74742"/>
                      <a14:backgroundMark x1="41719" y1="74742" x2="35234" y2="76119"/>
                      <a14:backgroundMark x1="35234" y1="76119" x2="32734" y2="69001"/>
                      <a14:backgroundMark x1="32734" y1="69001" x2="34297" y2="61079"/>
                      <a14:backgroundMark x1="34297" y1="61079" x2="29922" y2="62801"/>
                      <a14:backgroundMark x1="29922" y1="62801" x2="26719" y2="58439"/>
                      <a14:backgroundMark x1="26719" y1="58439" x2="25000" y2="53042"/>
                      <a14:backgroundMark x1="25000" y1="53042" x2="28281" y2="48220"/>
                      <a14:backgroundMark x1="28281" y1="48220" x2="36797" y2="45809"/>
                      <a14:backgroundMark x1="36797" y1="45809" x2="45625" y2="41332"/>
                      <a14:backgroundMark x1="45625" y1="41332" x2="54531" y2="42710"/>
                      <a14:backgroundMark x1="54531" y1="42710" x2="69063" y2="48220"/>
                      <a14:backgroundMark x1="61953" y1="72216" x2="64297" y2="66935"/>
                      <a14:backgroundMark x1="64297" y1="66935" x2="63438" y2="64638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3197" y="15444107"/>
          <a:ext cx="6488429" cy="439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30</xdr:col>
      <xdr:colOff>179869</xdr:colOff>
      <xdr:row>82</xdr:row>
      <xdr:rowOff>34749</xdr:rowOff>
    </xdr:from>
    <xdr:to>
      <xdr:col>36</xdr:col>
      <xdr:colOff>421111</xdr:colOff>
      <xdr:row>103</xdr:row>
      <xdr:rowOff>136757</xdr:rowOff>
    </xdr:to>
    <xdr:pic>
      <xdr:nvPicPr>
        <xdr:cNvPr id="32" name="Picture 31" descr="Ferrari F12 Berlinetta Steering Wheel">
          <a:extLst>
            <a:ext uri="{FF2B5EF4-FFF2-40B4-BE49-F238E27FC236}">
              <a16:creationId xmlns:a16="http://schemas.microsoft.com/office/drawing/2014/main" id="{9F530FFF-D459-496A-8C7C-9B99B73F505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9989" b="91160" l="10000" r="90000">
                      <a14:foregroundMark x1="32422" y1="19747" x2="28577" y2="24400"/>
                      <a14:foregroundMark x1="23611" y1="32252" x2="20703" y2="42135"/>
                      <a14:foregroundMark x1="20703" y1="42135" x2="21200" y2="70096"/>
                      <a14:foregroundMark x1="29270" y1="87533" x2="31094" y2="89208"/>
                      <a14:foregroundMark x1="31094" y1="89208" x2="47109" y2="93111"/>
                      <a14:foregroundMark x1="47109" y1="93111" x2="61016" y2="91160"/>
                      <a14:foregroundMark x1="61016" y1="91160" x2="67891" y2="84041"/>
                      <a14:foregroundMark x1="67891" y1="84041" x2="73984" y2="61538"/>
                      <a14:foregroundMark x1="73984" y1="61538" x2="75873" y2="40667"/>
                      <a14:foregroundMark x1="72142" y1="32103" x2="57188" y2="15959"/>
                      <a14:foregroundMark x1="57188" y1="15959" x2="39093" y2="15076"/>
                      <a14:foregroundMark x1="31669" y1="19446" x2="30938" y2="20207"/>
                      <a14:foregroundMark x1="30781" y1="29851" x2="34453" y2="25718"/>
                      <a14:foregroundMark x1="34453" y1="25718" x2="38697" y2="23779"/>
                      <a14:foregroundMark x1="57372" y1="22835" x2="63359" y2="26062"/>
                      <a14:foregroundMark x1="63359" y1="26062" x2="64219" y2="19977"/>
                      <a14:foregroundMark x1="64219" y1="19977" x2="51094" y2="14007"/>
                      <a14:foregroundMark x1="51094" y1="14007" x2="46953" y2="13777"/>
                      <a14:foregroundMark x1="46953" y1="13777" x2="37969" y2="17336"/>
                      <a14:foregroundMark x1="37969" y1="17336" x2="29922" y2="28703"/>
                      <a14:foregroundMark x1="40703" y1="20321" x2="42547" y2="20223"/>
                      <a14:foregroundMark x1="53415" y1="19515" x2="49766" y2="17107"/>
                      <a14:foregroundMark x1="49766" y1="17107" x2="40469" y2="16418"/>
                      <a14:foregroundMark x1="19531" y1="49254" x2="20469" y2="43169"/>
                      <a14:foregroundMark x1="20469" y1="43169" x2="22188" y2="39495"/>
                      <a14:foregroundMark x1="57109" y1="75660" x2="64609" y2="69460"/>
                      <a14:foregroundMark x1="64609" y1="69460" x2="64688" y2="65327"/>
                      <a14:foregroundMark x1="64219" y1="69805" x2="64766" y2="67394"/>
                      <a14:backgroundMark x1="31647" y1="30044" x2="28281" y2="40643"/>
                      <a14:backgroundMark x1="28281" y1="40643" x2="28359" y2="46958"/>
                      <a14:backgroundMark x1="28359" y1="46958" x2="32422" y2="46498"/>
                      <a14:backgroundMark x1="32422" y1="46498" x2="43906" y2="39724"/>
                      <a14:backgroundMark x1="43906" y1="39724" x2="53594" y2="39265"/>
                      <a14:backgroundMark x1="53594" y1="39265" x2="57734" y2="40873"/>
                      <a14:backgroundMark x1="57734" y1="40873" x2="61250" y2="44317"/>
                      <a14:backgroundMark x1="61250" y1="44317" x2="65469" y2="45924"/>
                      <a14:backgroundMark x1="65469" y1="45924" x2="67969" y2="40758"/>
                      <a14:backgroundMark x1="67969" y1="40758" x2="62891" y2="29736"/>
                      <a14:backgroundMark x1="62891" y1="29736" x2="59067" y2="25713"/>
                      <a14:backgroundMark x1="51892" y1="21846" x2="49351" y2="21442"/>
                      <a14:backgroundMark x1="63594" y1="78760" x2="66953" y2="75431"/>
                      <a14:backgroundMark x1="66953" y1="75431" x2="69844" y2="63031"/>
                      <a14:backgroundMark x1="69844" y1="63031" x2="66953" y2="67623"/>
                      <a14:backgroundMark x1="66953" y1="67623" x2="62422" y2="79449"/>
                      <a14:backgroundMark x1="62422" y1="79449" x2="58750" y2="82549"/>
                      <a14:backgroundMark x1="58750" y1="82549" x2="62734" y2="81056"/>
                      <a14:backgroundMark x1="62734" y1="81056" x2="64688" y2="77956"/>
                      <a14:backgroundMark x1="65156" y1="75201" x2="69453" y2="64524"/>
                      <a14:backgroundMark x1="69453" y1="64524" x2="69922" y2="62342"/>
                      <a14:backgroundMark x1="77031" y1="62342" x2="77578" y2="55798"/>
                      <a14:backgroundMark x1="77578" y1="55798" x2="79375" y2="50631"/>
                      <a14:backgroundMark x1="79375" y1="50631" x2="79922" y2="44891"/>
                      <a14:backgroundMark x1="79922" y1="44891" x2="77578" y2="39610"/>
                      <a14:backgroundMark x1="77578" y1="39610" x2="74531" y2="35821"/>
                      <a14:backgroundMark x1="74531" y1="35821" x2="90000" y2="47761"/>
                      <a14:backgroundMark x1="90000" y1="47761" x2="90781" y2="53502"/>
                      <a14:backgroundMark x1="90781" y1="53502" x2="80859" y2="66820"/>
                      <a14:backgroundMark x1="80859" y1="66820" x2="77969" y2="62342"/>
                      <a14:backgroundMark x1="77969" y1="62342" x2="79063" y2="56257"/>
                      <a14:backgroundMark x1="79063" y1="56257" x2="81563" y2="50976"/>
                      <a14:backgroundMark x1="81563" y1="50976" x2="84922" y2="47302"/>
                      <a14:backgroundMark x1="84922" y1="47302" x2="85000" y2="47302"/>
                      <a14:backgroundMark x1="56328" y1="25718" x2="39922" y2="26866"/>
                      <a14:backgroundMark x1="39922" y1="26866" x2="35547" y2="29392"/>
                      <a14:backgroundMark x1="35547" y1="29392" x2="37969" y2="35591"/>
                      <a14:backgroundMark x1="37969" y1="35591" x2="43203" y2="35821"/>
                      <a14:backgroundMark x1="43203" y1="35821" x2="48672" y2="34788"/>
                      <a14:backgroundMark x1="48672" y1="34788" x2="53438" y2="31688"/>
                      <a14:backgroundMark x1="53438" y1="31688" x2="55859" y2="27669"/>
                      <a14:backgroundMark x1="40078" y1="25144" x2="48438" y2="21699"/>
                      <a14:backgroundMark x1="48438" y1="21699" x2="54609" y2="22044"/>
                      <a14:backgroundMark x1="39219" y1="24455" x2="42471" y2="21847"/>
                      <a14:backgroundMark x1="51155" y1="21384" x2="53906" y2="21929"/>
                      <a14:backgroundMark x1="32109" y1="18140" x2="37109" y2="14581"/>
                      <a14:backgroundMark x1="28516" y1="21584" x2="22656" y2="31228"/>
                      <a14:backgroundMark x1="22656" y1="31228" x2="18438" y2="41447"/>
                      <a14:backgroundMark x1="18438" y1="41447" x2="16953" y2="48794"/>
                      <a14:backgroundMark x1="16953" y1="48794" x2="16563" y2="62113"/>
                      <a14:backgroundMark x1="16563" y1="62113" x2="12031" y2="63490"/>
                      <a14:backgroundMark x1="12031" y1="63490" x2="10469" y2="56946"/>
                      <a14:backgroundMark x1="10469" y1="56946" x2="11953" y2="50517"/>
                      <a14:backgroundMark x1="11953" y1="50517" x2="16094" y2="52124"/>
                      <a14:backgroundMark x1="16094" y1="52124" x2="17266" y2="55913"/>
                      <a14:backgroundMark x1="27734" y1="64064" x2="30859" y2="75890"/>
                      <a14:backgroundMark x1="30859" y1="75890" x2="33516" y2="80482"/>
                      <a14:backgroundMark x1="33516" y1="80482" x2="42031" y2="85075"/>
                      <a14:backgroundMark x1="42031" y1="85075" x2="38438" y2="80138"/>
                      <a14:backgroundMark x1="38438" y1="80138" x2="30312" y2="72905"/>
                      <a14:backgroundMark x1="30312" y1="72905" x2="27344" y2="68657"/>
                      <a14:backgroundMark x1="27344" y1="68657" x2="31250" y2="69805"/>
                      <a14:backgroundMark x1="31250" y1="69805" x2="31172" y2="69920"/>
                      <a14:backgroundMark x1="26484" y1="64409" x2="28438" y2="62342"/>
                      <a14:backgroundMark x1="26172" y1="65557" x2="27891" y2="60850"/>
                      <a14:backgroundMark x1="25938" y1="63490" x2="27734" y2="61883"/>
                      <a14:backgroundMark x1="67891" y1="71527" x2="69609" y2="66590"/>
                      <a14:backgroundMark x1="66094" y1="72331" x2="67344" y2="72216"/>
                      <a14:backgroundMark x1="66328" y1="74282" x2="67656" y2="71527"/>
                      <a14:backgroundMark x1="64375" y1="75201" x2="65625" y2="68083"/>
                      <a14:backgroundMark x1="65000" y1="73020" x2="64609" y2="72675"/>
                      <a14:backgroundMark x1="65469" y1="45350" x2="69375" y2="45809"/>
                      <a14:backgroundMark x1="69375" y1="45809" x2="67969" y2="42250"/>
                      <a14:backgroundMark x1="68438" y1="46383" x2="69609" y2="47646"/>
                      <a14:backgroundMark x1="69375" y1="44317" x2="65391" y2="32836"/>
                      <a14:backgroundMark x1="72422" y1="31803" x2="75156" y2="36280"/>
                      <a14:backgroundMark x1="75156" y1="36280" x2="75938" y2="40643"/>
                      <a14:backgroundMark x1="34922" y1="15614" x2="38906" y2="13892"/>
                      <a14:backgroundMark x1="38906" y1="13892" x2="39375" y2="13203"/>
                      <a14:backgroundMark x1="36875" y1="15844" x2="39453" y2="14007"/>
                      <a14:backgroundMark x1="19219" y1="69805" x2="22031" y2="74282"/>
                      <a14:backgroundMark x1="22031" y1="74282" x2="23672" y2="80253"/>
                      <a14:backgroundMark x1="23672" y1="80253" x2="26953" y2="83927"/>
                      <a14:backgroundMark x1="26953" y1="83927" x2="28359" y2="88404"/>
                      <a14:backgroundMark x1="27344" y1="85419" x2="29219" y2="87600"/>
                      <a14:backgroundMark x1="26484" y1="85304" x2="27031" y2="86108"/>
                      <a14:backgroundMark x1="21094" y1="70723" x2="23750" y2="79793"/>
                      <a14:backgroundMark x1="19609" y1="60620" x2="18672" y2="53502"/>
                      <a14:backgroundMark x1="40859" y1="22388" x2="53281" y2="21125"/>
                      <a14:backgroundMark x1="53281" y1="21125" x2="56797" y2="24569"/>
                      <a14:backgroundMark x1="56797" y1="24569" x2="56953" y2="24799"/>
                      <a14:backgroundMark x1="40781" y1="23651" x2="44375" y2="21125"/>
                      <a14:backgroundMark x1="44375" y1="21125" x2="48750" y2="21470"/>
                      <a14:backgroundMark x1="48750" y1="21470" x2="51406" y2="21125"/>
                      <a14:backgroundMark x1="38359" y1="24799" x2="42031" y2="21929"/>
                      <a14:backgroundMark x1="42031" y1="21929" x2="50703" y2="20321"/>
                      <a14:backgroundMark x1="50703" y1="20321" x2="53984" y2="23307"/>
                      <a14:backgroundMark x1="56406" y1="83123" x2="58438" y2="77727"/>
                      <a14:backgroundMark x1="58438" y1="77727" x2="62109" y2="75545"/>
                      <a14:backgroundMark x1="62109" y1="75545" x2="65234" y2="71642"/>
                      <a14:backgroundMark x1="65234" y1="71642" x2="65234" y2="71642"/>
                      <a14:backgroundMark x1="65547" y1="71297" x2="65547" y2="71297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6456" t="10011" r="19831"/>
        <a:stretch/>
      </xdr:blipFill>
      <xdr:spPr bwMode="auto">
        <a:xfrm rot="18480000">
          <a:off x="19340308" y="15858274"/>
          <a:ext cx="4102508" cy="39151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515296</xdr:colOff>
      <xdr:row>82</xdr:row>
      <xdr:rowOff>186914</xdr:rowOff>
    </xdr:from>
    <xdr:to>
      <xdr:col>17</xdr:col>
      <xdr:colOff>462683</xdr:colOff>
      <xdr:row>105</xdr:row>
      <xdr:rowOff>53414</xdr:rowOff>
    </xdr:to>
    <xdr:pic>
      <xdr:nvPicPr>
        <xdr:cNvPr id="33" name="Picture 32" descr="Ferrari F12 Berlinetta Steering Wheel">
          <a:extLst>
            <a:ext uri="{FF2B5EF4-FFF2-40B4-BE49-F238E27FC236}">
              <a16:creationId xmlns:a16="http://schemas.microsoft.com/office/drawing/2014/main" id="{13E88A24-EDB2-417C-9EA7-5F83C2BAF8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91926" y="15973566"/>
          <a:ext cx="6267018" cy="424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ferrari.com/en-EN/auto/ff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the-blueprints.com/modules/vectordrawings/preview/04100-mid.jpg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BFF7C-31CB-4C30-BEAD-BC0B8D962EE7}">
  <dimension ref="B1:L63"/>
  <sheetViews>
    <sheetView zoomScale="99" zoomScaleNormal="130" workbookViewId="0">
      <selection activeCell="H51" sqref="H51"/>
    </sheetView>
  </sheetViews>
  <sheetFormatPr defaultRowHeight="15" x14ac:dyDescent="0.25"/>
  <cols>
    <col min="2" max="2" width="23.140625" bestFit="1" customWidth="1"/>
    <col min="3" max="3" width="20.28515625" customWidth="1"/>
    <col min="5" max="5" width="15.7109375" bestFit="1" customWidth="1"/>
    <col min="6" max="6" width="12.28515625" bestFit="1" customWidth="1"/>
  </cols>
  <sheetData>
    <row r="1" spans="2:10" x14ac:dyDescent="0.25">
      <c r="J1" s="3" t="s">
        <v>19</v>
      </c>
    </row>
    <row r="2" spans="2:10" x14ac:dyDescent="0.25">
      <c r="B2" t="s">
        <v>0</v>
      </c>
      <c r="C2">
        <v>1880</v>
      </c>
      <c r="D2" t="s">
        <v>1</v>
      </c>
    </row>
    <row r="3" spans="2:10" x14ac:dyDescent="0.25">
      <c r="B3" t="s">
        <v>2</v>
      </c>
      <c r="C3">
        <v>2.99</v>
      </c>
      <c r="D3" t="s">
        <v>5</v>
      </c>
    </row>
    <row r="4" spans="2:10" x14ac:dyDescent="0.25">
      <c r="B4" t="s">
        <v>8</v>
      </c>
      <c r="C4">
        <v>91</v>
      </c>
      <c r="D4" t="s">
        <v>9</v>
      </c>
    </row>
    <row r="5" spans="2:10" ht="17.25" x14ac:dyDescent="0.25">
      <c r="B5" t="s">
        <v>31</v>
      </c>
      <c r="C5">
        <v>748</v>
      </c>
      <c r="D5" t="s">
        <v>49</v>
      </c>
    </row>
    <row r="6" spans="2:10" x14ac:dyDescent="0.25">
      <c r="B6" t="s">
        <v>32</v>
      </c>
      <c r="C6">
        <f>C4/1000*C5</f>
        <v>68.067999999999998</v>
      </c>
      <c r="D6" t="s">
        <v>1</v>
      </c>
    </row>
    <row r="7" spans="2:10" x14ac:dyDescent="0.25">
      <c r="B7" t="s">
        <v>65</v>
      </c>
      <c r="C7">
        <v>683</v>
      </c>
      <c r="D7" t="s">
        <v>66</v>
      </c>
    </row>
    <row r="8" spans="2:10" x14ac:dyDescent="0.25">
      <c r="B8" t="s">
        <v>67</v>
      </c>
      <c r="C8">
        <v>11.5</v>
      </c>
      <c r="D8" t="s">
        <v>68</v>
      </c>
    </row>
    <row r="9" spans="2:10" x14ac:dyDescent="0.25">
      <c r="B9" t="s">
        <v>169</v>
      </c>
      <c r="C9">
        <f>(100-47)/100</f>
        <v>0.53</v>
      </c>
      <c r="D9" t="s">
        <v>171</v>
      </c>
    </row>
    <row r="13" spans="2:10" x14ac:dyDescent="0.25">
      <c r="B13" s="1" t="s">
        <v>6</v>
      </c>
      <c r="C13">
        <v>47</v>
      </c>
      <c r="E13" t="s">
        <v>7</v>
      </c>
      <c r="F13">
        <v>53</v>
      </c>
    </row>
    <row r="14" spans="2:10" x14ac:dyDescent="0.25">
      <c r="B14" t="s">
        <v>3</v>
      </c>
      <c r="C14">
        <v>1.6759999999999999</v>
      </c>
      <c r="D14" t="s">
        <v>5</v>
      </c>
      <c r="E14" t="s">
        <v>4</v>
      </c>
      <c r="F14">
        <v>1.66</v>
      </c>
      <c r="G14" t="s">
        <v>5</v>
      </c>
    </row>
    <row r="15" spans="2:10" x14ac:dyDescent="0.25">
      <c r="B15" t="s">
        <v>10</v>
      </c>
      <c r="C15" t="s">
        <v>12</v>
      </c>
      <c r="E15" t="s">
        <v>11</v>
      </c>
      <c r="F15" t="s">
        <v>18</v>
      </c>
    </row>
    <row r="16" spans="2:10" x14ac:dyDescent="0.25">
      <c r="B16" t="s">
        <v>13</v>
      </c>
      <c r="C16">
        <v>20</v>
      </c>
      <c r="D16" t="s">
        <v>17</v>
      </c>
      <c r="E16" t="s">
        <v>13</v>
      </c>
      <c r="F16">
        <v>20</v>
      </c>
      <c r="G16" t="s">
        <v>17</v>
      </c>
    </row>
    <row r="17" spans="2:7" x14ac:dyDescent="0.25">
      <c r="B17" t="s">
        <v>13</v>
      </c>
      <c r="C17" s="2">
        <f>C16/39.37</f>
        <v>0.50800101600203207</v>
      </c>
      <c r="D17" t="s">
        <v>5</v>
      </c>
      <c r="E17" t="s">
        <v>13</v>
      </c>
      <c r="F17" s="2">
        <f>F16/39.37</f>
        <v>0.50800101600203207</v>
      </c>
      <c r="G17" t="s">
        <v>5</v>
      </c>
    </row>
    <row r="18" spans="2:7" x14ac:dyDescent="0.25">
      <c r="B18" t="s">
        <v>14</v>
      </c>
      <c r="C18">
        <f>0.245</f>
        <v>0.245</v>
      </c>
      <c r="D18" t="s">
        <v>5</v>
      </c>
      <c r="E18" t="s">
        <v>14</v>
      </c>
      <c r="F18">
        <v>0.29499999999999998</v>
      </c>
      <c r="G18" t="s">
        <v>5</v>
      </c>
    </row>
    <row r="19" spans="2:7" x14ac:dyDescent="0.25">
      <c r="B19" t="s">
        <v>15</v>
      </c>
      <c r="C19">
        <v>35</v>
      </c>
      <c r="E19" t="s">
        <v>15</v>
      </c>
      <c r="F19">
        <v>35</v>
      </c>
    </row>
    <row r="20" spans="2:7" x14ac:dyDescent="0.25">
      <c r="B20" t="s">
        <v>16</v>
      </c>
      <c r="C20" s="2">
        <f>(C17+2*C18*(C19/100))/2</f>
        <v>0.33975050800101603</v>
      </c>
      <c r="D20" t="s">
        <v>5</v>
      </c>
      <c r="E20" t="s">
        <v>16</v>
      </c>
      <c r="F20" s="2">
        <f>(F17+2*F18*(F19/100))/2</f>
        <v>0.35725050800101604</v>
      </c>
      <c r="G20" t="s">
        <v>5</v>
      </c>
    </row>
    <row r="23" spans="2:7" x14ac:dyDescent="0.25">
      <c r="B23" t="s">
        <v>20</v>
      </c>
    </row>
    <row r="24" spans="2:7" x14ac:dyDescent="0.25">
      <c r="B24">
        <v>1</v>
      </c>
      <c r="C24" t="s">
        <v>21</v>
      </c>
      <c r="E24" s="3"/>
      <c r="F24" t="s">
        <v>23</v>
      </c>
    </row>
    <row r="25" spans="2:7" x14ac:dyDescent="0.25">
      <c r="B25">
        <v>2</v>
      </c>
      <c r="C25" t="s">
        <v>22</v>
      </c>
    </row>
    <row r="27" spans="2:7" x14ac:dyDescent="0.25">
      <c r="B27" t="s">
        <v>24</v>
      </c>
      <c r="C27">
        <v>90</v>
      </c>
      <c r="D27" t="s">
        <v>25</v>
      </c>
    </row>
    <row r="28" spans="2:7" x14ac:dyDescent="0.25">
      <c r="B28" t="s">
        <v>24</v>
      </c>
      <c r="C28" s="4">
        <f>C27/2.205</f>
        <v>40.816326530612244</v>
      </c>
      <c r="D28" t="s">
        <v>1</v>
      </c>
    </row>
    <row r="31" spans="2:7" x14ac:dyDescent="0.25">
      <c r="B31" t="s">
        <v>30</v>
      </c>
      <c r="C31" t="s">
        <v>29</v>
      </c>
      <c r="E31" t="s">
        <v>30</v>
      </c>
      <c r="F31" t="s">
        <v>26</v>
      </c>
    </row>
    <row r="32" spans="2:7" x14ac:dyDescent="0.25">
      <c r="B32">
        <v>1</v>
      </c>
      <c r="C32" s="4">
        <f>(F33*F39*1.06)/C39</f>
        <v>2.3214000000000001</v>
      </c>
      <c r="E32">
        <v>1</v>
      </c>
      <c r="F32">
        <v>3.4</v>
      </c>
    </row>
    <row r="33" spans="2:6" x14ac:dyDescent="0.25">
      <c r="B33">
        <v>2</v>
      </c>
      <c r="C33" s="4">
        <f>(F35*1.06*F39)/C39</f>
        <v>1.3674000000000002</v>
      </c>
      <c r="E33">
        <v>2</v>
      </c>
      <c r="F33">
        <v>2.19</v>
      </c>
    </row>
    <row r="34" spans="2:6" x14ac:dyDescent="0.25">
      <c r="E34">
        <v>3</v>
      </c>
      <c r="F34">
        <v>1.63</v>
      </c>
    </row>
    <row r="35" spans="2:6" x14ac:dyDescent="0.25">
      <c r="E35">
        <v>4</v>
      </c>
      <c r="F35">
        <v>1.29</v>
      </c>
    </row>
    <row r="36" spans="2:6" x14ac:dyDescent="0.25">
      <c r="E36">
        <v>5</v>
      </c>
      <c r="F36">
        <v>1.03</v>
      </c>
    </row>
    <row r="37" spans="2:6" x14ac:dyDescent="0.25">
      <c r="E37">
        <v>6</v>
      </c>
      <c r="F37">
        <v>0.84</v>
      </c>
    </row>
    <row r="38" spans="2:6" x14ac:dyDescent="0.25">
      <c r="E38">
        <v>7</v>
      </c>
      <c r="F38">
        <v>0.63</v>
      </c>
    </row>
    <row r="39" spans="2:6" x14ac:dyDescent="0.25">
      <c r="B39" t="s">
        <v>27</v>
      </c>
      <c r="C39">
        <f>F39</f>
        <v>4.38</v>
      </c>
      <c r="E39" t="s">
        <v>28</v>
      </c>
      <c r="F39">
        <v>4.38</v>
      </c>
    </row>
    <row r="40" spans="2:6" x14ac:dyDescent="0.25">
      <c r="E40" s="6"/>
    </row>
    <row r="41" spans="2:6" x14ac:dyDescent="0.25">
      <c r="B41" t="s">
        <v>59</v>
      </c>
      <c r="C41">
        <v>90</v>
      </c>
      <c r="D41" t="s">
        <v>60</v>
      </c>
      <c r="E41" s="5"/>
    </row>
    <row r="42" spans="2:6" x14ac:dyDescent="0.25">
      <c r="E42" s="7"/>
    </row>
    <row r="43" spans="2:6" x14ac:dyDescent="0.25">
      <c r="E43" s="5"/>
    </row>
    <row r="44" spans="2:6" x14ac:dyDescent="0.25">
      <c r="E44" s="6"/>
    </row>
    <row r="45" spans="2:6" x14ac:dyDescent="0.25">
      <c r="E45" s="5"/>
    </row>
    <row r="46" spans="2:6" x14ac:dyDescent="0.25">
      <c r="E46" s="7"/>
    </row>
    <row r="47" spans="2:6" x14ac:dyDescent="0.25">
      <c r="E47" s="8"/>
    </row>
    <row r="63" spans="12:12" x14ac:dyDescent="0.25">
      <c r="L63" s="3"/>
    </row>
  </sheetData>
  <hyperlinks>
    <hyperlink ref="J1" r:id="rId1" location="specifications " xr:uid="{A4025F27-E1C7-4B5C-BE28-F3DD5AB923D1}"/>
  </hyperlinks>
  <pageMargins left="0.7" right="0.7" top="0.75" bottom="0.75" header="0.3" footer="0.3"/>
  <pageSetup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18424-E9FB-4217-8468-42E38216E0B1}">
  <dimension ref="B5:AG56"/>
  <sheetViews>
    <sheetView zoomScale="85" zoomScaleNormal="85" workbookViewId="0">
      <selection activeCell="B33" sqref="B33"/>
    </sheetView>
  </sheetViews>
  <sheetFormatPr defaultRowHeight="15" x14ac:dyDescent="0.25"/>
  <cols>
    <col min="2" max="2" width="18.42578125" bestFit="1" customWidth="1"/>
    <col min="20" max="20" width="12.5703125" bestFit="1" customWidth="1"/>
    <col min="21" max="21" width="10.85546875" bestFit="1" customWidth="1"/>
    <col min="29" max="29" width="11.140625" bestFit="1" customWidth="1"/>
    <col min="30" max="30" width="19.7109375" bestFit="1" customWidth="1"/>
    <col min="31" max="31" width="18.85546875" bestFit="1" customWidth="1"/>
    <col min="32" max="32" width="17.28515625" bestFit="1" customWidth="1"/>
    <col min="33" max="33" width="12.42578125" bestFit="1" customWidth="1"/>
    <col min="41" max="41" width="18.7109375" bestFit="1" customWidth="1"/>
    <col min="58" max="58" width="10" bestFit="1" customWidth="1"/>
  </cols>
  <sheetData>
    <row r="5" spans="2:28" x14ac:dyDescent="0.25">
      <c r="B5" t="s">
        <v>169</v>
      </c>
      <c r="C5">
        <f>'Input and Reseach'!$C$9</f>
        <v>0.53</v>
      </c>
    </row>
    <row r="6" spans="2:28" x14ac:dyDescent="0.25">
      <c r="B6" t="s">
        <v>48</v>
      </c>
      <c r="C6">
        <f>'Input and Reseach'!$C$3</f>
        <v>2.99</v>
      </c>
      <c r="D6" t="s">
        <v>5</v>
      </c>
    </row>
    <row r="7" spans="2:28" x14ac:dyDescent="0.25">
      <c r="B7" t="s">
        <v>33</v>
      </c>
      <c r="C7">
        <f>C6*C5</f>
        <v>1.5847000000000002</v>
      </c>
      <c r="D7" t="s">
        <v>5</v>
      </c>
    </row>
    <row r="9" spans="2:28" ht="17.25" x14ac:dyDescent="0.25">
      <c r="B9" t="s">
        <v>46</v>
      </c>
      <c r="C9">
        <f>Y48</f>
        <v>3785.2180465000001</v>
      </c>
      <c r="D9" t="s">
        <v>47</v>
      </c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</row>
    <row r="10" spans="2:28" x14ac:dyDescent="0.25"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</row>
    <row r="11" spans="2:28" x14ac:dyDescent="0.25">
      <c r="B11" t="s">
        <v>50</v>
      </c>
      <c r="C11">
        <f>C9/(W48*C17*C18)</f>
        <v>0.90410099775990993</v>
      </c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</row>
    <row r="12" spans="2:28" x14ac:dyDescent="0.25"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</row>
    <row r="13" spans="2:28" x14ac:dyDescent="0.25">
      <c r="B13" t="s">
        <v>54</v>
      </c>
      <c r="C13">
        <v>2.99</v>
      </c>
      <c r="D13" t="s">
        <v>5</v>
      </c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</row>
    <row r="14" spans="2:28" ht="17.25" x14ac:dyDescent="0.25">
      <c r="B14" t="s">
        <v>55</v>
      </c>
      <c r="C14">
        <f>C9</f>
        <v>3785.2180465000001</v>
      </c>
      <c r="D14" t="s">
        <v>47</v>
      </c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</row>
    <row r="15" spans="2:28" x14ac:dyDescent="0.25">
      <c r="B15" t="s">
        <v>45</v>
      </c>
      <c r="C15">
        <v>1880</v>
      </c>
      <c r="D15" t="s">
        <v>37</v>
      </c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</row>
    <row r="16" spans="2:28" x14ac:dyDescent="0.25">
      <c r="B16" t="s">
        <v>56</v>
      </c>
      <c r="C16">
        <v>0.53</v>
      </c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</row>
    <row r="17" spans="2:33" x14ac:dyDescent="0.25">
      <c r="B17" t="s">
        <v>51</v>
      </c>
      <c r="C17">
        <f>C16*C13</f>
        <v>1.5847000000000002</v>
      </c>
      <c r="D17" t="s">
        <v>5</v>
      </c>
      <c r="Q17" s="9" t="s">
        <v>38</v>
      </c>
      <c r="R17" s="9"/>
      <c r="S17" s="9"/>
      <c r="T17" s="9"/>
      <c r="U17" s="9"/>
      <c r="V17" s="9"/>
      <c r="W17" s="9"/>
      <c r="X17" s="9"/>
      <c r="Y17" s="9"/>
      <c r="Z17" s="9"/>
      <c r="AA17" s="9"/>
      <c r="AB17" s="9" t="s">
        <v>39</v>
      </c>
    </row>
    <row r="18" spans="2:33" x14ac:dyDescent="0.25">
      <c r="B18" t="s">
        <v>52</v>
      </c>
      <c r="C18">
        <f>C13-C17</f>
        <v>1.4053</v>
      </c>
      <c r="D18" t="s">
        <v>5</v>
      </c>
      <c r="I18" t="s">
        <v>23</v>
      </c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</row>
    <row r="19" spans="2:33" x14ac:dyDescent="0.25">
      <c r="B19" t="s">
        <v>53</v>
      </c>
      <c r="C19">
        <f>C14/(C15*C17*C18)</f>
        <v>0.90410099775990993</v>
      </c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</row>
    <row r="20" spans="2:33" x14ac:dyDescent="0.25"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</row>
    <row r="21" spans="2:33" x14ac:dyDescent="0.25"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2" spans="2:33" x14ac:dyDescent="0.25">
      <c r="B22" t="s">
        <v>62</v>
      </c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</row>
    <row r="23" spans="2:33" ht="17.25" x14ac:dyDescent="0.25">
      <c r="B23" t="s">
        <v>61</v>
      </c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</row>
    <row r="24" spans="2:33" ht="17.25" x14ac:dyDescent="0.25">
      <c r="B24" t="s">
        <v>196</v>
      </c>
      <c r="C24">
        <f>C9/C15</f>
        <v>2.0134138545212767</v>
      </c>
      <c r="D24" t="s">
        <v>57</v>
      </c>
      <c r="Q24" s="9"/>
      <c r="R24" s="9"/>
      <c r="S24" s="9"/>
      <c r="T24" s="9"/>
      <c r="U24" s="9" t="s">
        <v>36</v>
      </c>
      <c r="V24" s="9"/>
      <c r="W24" s="9" t="s">
        <v>35</v>
      </c>
      <c r="X24" s="9"/>
      <c r="Y24" s="9">
        <v>1.41</v>
      </c>
      <c r="Z24" s="9"/>
      <c r="AA24" s="9"/>
      <c r="AB24" s="9"/>
    </row>
    <row r="25" spans="2:33" x14ac:dyDescent="0.25">
      <c r="B25" t="s">
        <v>197</v>
      </c>
      <c r="C25">
        <f>C24/(C17)</f>
        <v>1.2705331321520013</v>
      </c>
      <c r="D25" t="s">
        <v>58</v>
      </c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</row>
    <row r="26" spans="2:33" x14ac:dyDescent="0.25">
      <c r="H26" s="3" t="s">
        <v>34</v>
      </c>
    </row>
    <row r="27" spans="2:33" x14ac:dyDescent="0.25">
      <c r="B27" t="s">
        <v>53</v>
      </c>
      <c r="C27">
        <v>0.95</v>
      </c>
    </row>
    <row r="28" spans="2:33" ht="17.25" x14ac:dyDescent="0.25">
      <c r="B28" t="s">
        <v>55</v>
      </c>
      <c r="C28">
        <f>C27*(C15*C17*C18)</f>
        <v>3977.3843332599999</v>
      </c>
      <c r="D28" t="s">
        <v>47</v>
      </c>
      <c r="U28">
        <v>1.58</v>
      </c>
      <c r="W28">
        <f>SUM(W30:W46)</f>
        <v>1855</v>
      </c>
    </row>
    <row r="29" spans="2:33" ht="15.75" thickBot="1" x14ac:dyDescent="0.3">
      <c r="T29" t="s">
        <v>64</v>
      </c>
      <c r="U29" t="s">
        <v>63</v>
      </c>
      <c r="W29" t="s">
        <v>45</v>
      </c>
      <c r="Y29" t="s">
        <v>94</v>
      </c>
      <c r="AD29" t="s">
        <v>23</v>
      </c>
    </row>
    <row r="30" spans="2:33" ht="15.75" thickBot="1" x14ac:dyDescent="0.3">
      <c r="S30" t="s">
        <v>110</v>
      </c>
      <c r="T30">
        <v>0</v>
      </c>
      <c r="U30">
        <f>T30-$U$28</f>
        <v>-1.58</v>
      </c>
      <c r="V30" t="s">
        <v>5</v>
      </c>
      <c r="W30">
        <f>2*40</f>
        <v>80</v>
      </c>
      <c r="X30" t="s">
        <v>1</v>
      </c>
      <c r="Y30">
        <f>W30*U30^2</f>
        <v>199.71200000000005</v>
      </c>
      <c r="AC30" s="9"/>
      <c r="AD30" s="11" t="s">
        <v>106</v>
      </c>
      <c r="AE30" s="11" t="s">
        <v>107</v>
      </c>
      <c r="AF30" s="11" t="s">
        <v>112</v>
      </c>
      <c r="AG30" s="11" t="s">
        <v>46</v>
      </c>
    </row>
    <row r="31" spans="2:33" ht="18" thickBot="1" x14ac:dyDescent="0.3">
      <c r="S31" t="s">
        <v>40</v>
      </c>
      <c r="T31">
        <v>0</v>
      </c>
      <c r="U31">
        <f t="shared" ref="U31:U46" si="0">T31-$U$28</f>
        <v>-1.58</v>
      </c>
      <c r="V31" t="s">
        <v>5</v>
      </c>
      <c r="W31">
        <v>60</v>
      </c>
      <c r="X31" t="s">
        <v>1</v>
      </c>
      <c r="Y31">
        <f t="shared" ref="Y31:Y45" si="1">W31*U31^2</f>
        <v>149.78400000000002</v>
      </c>
      <c r="AC31" s="21"/>
      <c r="AD31" s="21" t="s">
        <v>5</v>
      </c>
      <c r="AE31" s="21" t="s">
        <v>5</v>
      </c>
      <c r="AF31" s="21" t="s">
        <v>1</v>
      </c>
      <c r="AG31" s="21" t="s">
        <v>47</v>
      </c>
    </row>
    <row r="32" spans="2:33" ht="15.75" thickBot="1" x14ac:dyDescent="0.3">
      <c r="S32" t="s">
        <v>41</v>
      </c>
      <c r="T32">
        <v>0.45</v>
      </c>
      <c r="U32">
        <f t="shared" si="0"/>
        <v>-1.1300000000000001</v>
      </c>
      <c r="V32" t="s">
        <v>5</v>
      </c>
      <c r="W32">
        <v>400</v>
      </c>
      <c r="X32" t="s">
        <v>1</v>
      </c>
      <c r="Y32">
        <f t="shared" si="1"/>
        <v>510.76000000000016</v>
      </c>
      <c r="AC32" s="21" t="str">
        <f>S30</f>
        <v>F Wheel</v>
      </c>
      <c r="AD32" s="14">
        <f>T30</f>
        <v>0</v>
      </c>
      <c r="AE32" s="12">
        <f>U30</f>
        <v>-1.58</v>
      </c>
      <c r="AF32" s="12">
        <f>W30</f>
        <v>80</v>
      </c>
      <c r="AG32" s="12">
        <f>Y30</f>
        <v>199.71200000000005</v>
      </c>
    </row>
    <row r="33" spans="2:33" ht="15.75" thickBot="1" x14ac:dyDescent="0.3">
      <c r="S33" t="s">
        <v>42</v>
      </c>
      <c r="T33">
        <v>1.93</v>
      </c>
      <c r="U33">
        <f t="shared" si="0"/>
        <v>0.34999999999999987</v>
      </c>
      <c r="V33" t="s">
        <v>5</v>
      </c>
      <c r="W33">
        <v>140</v>
      </c>
      <c r="X33" t="s">
        <v>1</v>
      </c>
      <c r="Y33">
        <f t="shared" si="1"/>
        <v>17.149999999999984</v>
      </c>
      <c r="AC33" s="21" t="str">
        <f t="shared" ref="AC33:AC48" si="2">S31</f>
        <v>4RM</v>
      </c>
      <c r="AD33" s="14">
        <f t="shared" ref="AD33:AD48" si="3">T31</f>
        <v>0</v>
      </c>
      <c r="AE33" s="13">
        <f t="shared" ref="AE33:AE48" si="4">U31</f>
        <v>-1.58</v>
      </c>
      <c r="AF33" s="13">
        <f t="shared" ref="AF33:AF48" si="5">W31</f>
        <v>60</v>
      </c>
      <c r="AG33" s="12">
        <f t="shared" ref="AG33:AG48" si="6">Y31</f>
        <v>149.78400000000002</v>
      </c>
    </row>
    <row r="34" spans="2:33" ht="15.75" thickBot="1" x14ac:dyDescent="0.3">
      <c r="S34" t="s">
        <v>43</v>
      </c>
      <c r="T34">
        <v>2.8</v>
      </c>
      <c r="U34">
        <f t="shared" si="0"/>
        <v>1.2199999999999998</v>
      </c>
      <c r="V34" t="s">
        <v>5</v>
      </c>
      <c r="W34">
        <v>70</v>
      </c>
      <c r="X34" t="s">
        <v>1</v>
      </c>
      <c r="Y34">
        <f t="shared" si="1"/>
        <v>104.18799999999996</v>
      </c>
      <c r="AC34" s="21" t="str">
        <f t="shared" si="2"/>
        <v>Engine</v>
      </c>
      <c r="AD34" s="14">
        <f t="shared" si="3"/>
        <v>0.45</v>
      </c>
      <c r="AE34" s="13">
        <f t="shared" si="4"/>
        <v>-1.1300000000000001</v>
      </c>
      <c r="AF34" s="13">
        <f t="shared" si="5"/>
        <v>400</v>
      </c>
      <c r="AG34" s="12">
        <f t="shared" si="6"/>
        <v>510.76000000000016</v>
      </c>
    </row>
    <row r="35" spans="2:33" ht="15.75" thickBot="1" x14ac:dyDescent="0.3">
      <c r="S35" t="s">
        <v>111</v>
      </c>
      <c r="T35">
        <v>2.99</v>
      </c>
      <c r="U35">
        <f t="shared" si="0"/>
        <v>1.4100000000000001</v>
      </c>
      <c r="V35" t="s">
        <v>5</v>
      </c>
      <c r="W35">
        <f>2*40</f>
        <v>80</v>
      </c>
      <c r="X35" t="s">
        <v>1</v>
      </c>
      <c r="Y35">
        <f t="shared" si="1"/>
        <v>159.04800000000003</v>
      </c>
      <c r="AC35" s="21" t="str">
        <f t="shared" si="2"/>
        <v>Occupant</v>
      </c>
      <c r="AD35" s="14">
        <f t="shared" si="3"/>
        <v>1.93</v>
      </c>
      <c r="AE35" s="13">
        <f t="shared" si="4"/>
        <v>0.34999999999999987</v>
      </c>
      <c r="AF35" s="13">
        <f t="shared" si="5"/>
        <v>140</v>
      </c>
      <c r="AG35" s="12">
        <f t="shared" si="6"/>
        <v>17.149999999999984</v>
      </c>
    </row>
    <row r="36" spans="2:33" ht="15.75" thickBot="1" x14ac:dyDescent="0.3">
      <c r="S36" t="s">
        <v>44</v>
      </c>
      <c r="T36">
        <v>3.1</v>
      </c>
      <c r="U36">
        <f t="shared" si="0"/>
        <v>1.52</v>
      </c>
      <c r="V36" t="s">
        <v>5</v>
      </c>
      <c r="W36">
        <v>250</v>
      </c>
      <c r="X36" t="s">
        <v>1</v>
      </c>
      <c r="Y36">
        <f t="shared" si="1"/>
        <v>577.6</v>
      </c>
      <c r="AC36" s="21" t="str">
        <f t="shared" si="2"/>
        <v>Fuel Tank</v>
      </c>
      <c r="AD36" s="14">
        <f t="shared" si="3"/>
        <v>2.8</v>
      </c>
      <c r="AE36" s="13">
        <f t="shared" si="4"/>
        <v>1.2199999999999998</v>
      </c>
      <c r="AF36" s="13">
        <f t="shared" si="5"/>
        <v>70</v>
      </c>
      <c r="AG36" s="12">
        <f t="shared" si="6"/>
        <v>104.18799999999996</v>
      </c>
    </row>
    <row r="37" spans="2:33" ht="15.75" thickBot="1" x14ac:dyDescent="0.3">
      <c r="S37" t="s">
        <v>98</v>
      </c>
      <c r="T37">
        <v>-0.89900000000000002</v>
      </c>
      <c r="U37">
        <f t="shared" si="0"/>
        <v>-2.4790000000000001</v>
      </c>
      <c r="V37" t="s">
        <v>5</v>
      </c>
      <c r="W37">
        <v>40</v>
      </c>
      <c r="X37" t="s">
        <v>1</v>
      </c>
      <c r="Y37">
        <f t="shared" si="1"/>
        <v>245.81764000000004</v>
      </c>
      <c r="AC37" s="21" t="str">
        <f t="shared" si="2"/>
        <v xml:space="preserve">R Wheel </v>
      </c>
      <c r="AD37" s="14">
        <f t="shared" si="3"/>
        <v>2.99</v>
      </c>
      <c r="AE37" s="13">
        <f t="shared" si="4"/>
        <v>1.4100000000000001</v>
      </c>
      <c r="AF37" s="13">
        <f t="shared" si="5"/>
        <v>80</v>
      </c>
      <c r="AG37" s="12">
        <f t="shared" si="6"/>
        <v>159.04800000000003</v>
      </c>
    </row>
    <row r="38" spans="2:33" ht="15.75" thickBot="1" x14ac:dyDescent="0.3">
      <c r="S38" t="s">
        <v>99</v>
      </c>
      <c r="T38">
        <v>4</v>
      </c>
      <c r="U38">
        <f t="shared" si="0"/>
        <v>2.42</v>
      </c>
      <c r="V38" t="s">
        <v>5</v>
      </c>
      <c r="W38">
        <v>30</v>
      </c>
      <c r="X38" t="s">
        <v>1</v>
      </c>
      <c r="Y38">
        <f t="shared" si="1"/>
        <v>175.69200000000001</v>
      </c>
      <c r="AC38" s="21" t="str">
        <f t="shared" si="2"/>
        <v>Trans Diff</v>
      </c>
      <c r="AD38" s="14">
        <f t="shared" si="3"/>
        <v>3.1</v>
      </c>
      <c r="AE38" s="13">
        <f t="shared" si="4"/>
        <v>1.52</v>
      </c>
      <c r="AF38" s="13">
        <f t="shared" si="5"/>
        <v>250</v>
      </c>
      <c r="AG38" s="12">
        <f t="shared" si="6"/>
        <v>577.6</v>
      </c>
    </row>
    <row r="39" spans="2:33" ht="15.75" thickBot="1" x14ac:dyDescent="0.3">
      <c r="S39" t="s">
        <v>100</v>
      </c>
      <c r="T39">
        <v>1.5</v>
      </c>
      <c r="U39">
        <f t="shared" si="0"/>
        <v>-8.0000000000000071E-2</v>
      </c>
      <c r="V39" t="s">
        <v>5</v>
      </c>
      <c r="W39">
        <v>20</v>
      </c>
      <c r="X39" t="s">
        <v>1</v>
      </c>
      <c r="Y39">
        <f t="shared" si="1"/>
        <v>0.12800000000000022</v>
      </c>
      <c r="AC39" s="21" t="str">
        <f t="shared" si="2"/>
        <v>F Bumper</v>
      </c>
      <c r="AD39" s="14">
        <f t="shared" si="3"/>
        <v>-0.89900000000000002</v>
      </c>
      <c r="AE39" s="14">
        <f t="shared" si="4"/>
        <v>-2.4790000000000001</v>
      </c>
      <c r="AF39" s="13">
        <f t="shared" si="5"/>
        <v>40</v>
      </c>
      <c r="AG39" s="12">
        <f t="shared" si="6"/>
        <v>245.81764000000004</v>
      </c>
    </row>
    <row r="40" spans="2:33" ht="15.75" thickBot="1" x14ac:dyDescent="0.3">
      <c r="S40" t="s">
        <v>101</v>
      </c>
      <c r="T40">
        <f>2.99+0.7</f>
        <v>3.6900000000000004</v>
      </c>
      <c r="U40">
        <f t="shared" si="0"/>
        <v>2.1100000000000003</v>
      </c>
      <c r="V40" t="s">
        <v>5</v>
      </c>
      <c r="W40">
        <v>40</v>
      </c>
      <c r="X40" t="s">
        <v>1</v>
      </c>
      <c r="Y40">
        <f t="shared" si="1"/>
        <v>178.08400000000006</v>
      </c>
      <c r="AC40" s="21" t="str">
        <f t="shared" si="2"/>
        <v>R Bumper</v>
      </c>
      <c r="AD40" s="14">
        <f t="shared" si="3"/>
        <v>4</v>
      </c>
      <c r="AE40" s="13">
        <f t="shared" si="4"/>
        <v>2.42</v>
      </c>
      <c r="AF40" s="13">
        <f t="shared" si="5"/>
        <v>30</v>
      </c>
      <c r="AG40" s="12">
        <f t="shared" si="6"/>
        <v>175.69200000000001</v>
      </c>
    </row>
    <row r="41" spans="2:33" ht="15.75" thickBot="1" x14ac:dyDescent="0.3">
      <c r="S41" t="s">
        <v>102</v>
      </c>
      <c r="T41">
        <v>0.2</v>
      </c>
      <c r="U41">
        <f t="shared" si="0"/>
        <v>-1.3800000000000001</v>
      </c>
      <c r="V41" t="s">
        <v>5</v>
      </c>
      <c r="W41">
        <v>15</v>
      </c>
      <c r="X41" t="s">
        <v>1</v>
      </c>
      <c r="Y41">
        <f t="shared" si="1"/>
        <v>28.566000000000006</v>
      </c>
      <c r="AC41" s="21" t="str">
        <f t="shared" si="2"/>
        <v>Doors</v>
      </c>
      <c r="AD41" s="14">
        <f t="shared" si="3"/>
        <v>1.5</v>
      </c>
      <c r="AE41" s="13">
        <f t="shared" si="4"/>
        <v>-8.0000000000000071E-2</v>
      </c>
      <c r="AF41" s="13">
        <f t="shared" si="5"/>
        <v>20</v>
      </c>
      <c r="AG41" s="12">
        <f t="shared" si="6"/>
        <v>0.12800000000000022</v>
      </c>
    </row>
    <row r="42" spans="2:33" ht="15.75" thickBot="1" x14ac:dyDescent="0.3">
      <c r="B42" s="46" t="s">
        <v>145</v>
      </c>
      <c r="C42" s="46"/>
      <c r="D42" s="46"/>
      <c r="I42" t="s">
        <v>23</v>
      </c>
      <c r="S42" t="s">
        <v>103</v>
      </c>
      <c r="T42">
        <v>0.6</v>
      </c>
      <c r="U42">
        <f t="shared" si="0"/>
        <v>-0.98000000000000009</v>
      </c>
      <c r="V42" t="s">
        <v>5</v>
      </c>
      <c r="W42">
        <f>2*15</f>
        <v>30</v>
      </c>
      <c r="X42" t="s">
        <v>1</v>
      </c>
      <c r="Y42">
        <f t="shared" si="1"/>
        <v>28.812000000000005</v>
      </c>
      <c r="AC42" s="21" t="str">
        <f t="shared" si="2"/>
        <v>Boot</v>
      </c>
      <c r="AD42" s="14">
        <f t="shared" si="3"/>
        <v>3.6900000000000004</v>
      </c>
      <c r="AE42" s="13">
        <f t="shared" si="4"/>
        <v>2.1100000000000003</v>
      </c>
      <c r="AF42" s="13">
        <f t="shared" si="5"/>
        <v>40</v>
      </c>
      <c r="AG42" s="12">
        <f t="shared" si="6"/>
        <v>178.08400000000006</v>
      </c>
    </row>
    <row r="43" spans="2:33" ht="18" thickBot="1" x14ac:dyDescent="0.3">
      <c r="B43" t="s">
        <v>55</v>
      </c>
      <c r="C43">
        <v>2272</v>
      </c>
      <c r="D43" t="s">
        <v>47</v>
      </c>
      <c r="S43" t="s">
        <v>104</v>
      </c>
      <c r="T43">
        <v>2.5</v>
      </c>
      <c r="U43">
        <f t="shared" si="0"/>
        <v>0.91999999999999993</v>
      </c>
      <c r="V43" t="s">
        <v>5</v>
      </c>
      <c r="W43">
        <v>10</v>
      </c>
      <c r="X43" t="s">
        <v>1</v>
      </c>
      <c r="Y43">
        <f t="shared" si="1"/>
        <v>8.4639999999999986</v>
      </c>
      <c r="AC43" s="21" t="str">
        <f t="shared" si="2"/>
        <v>Bonnet</v>
      </c>
      <c r="AD43" s="14">
        <f t="shared" si="3"/>
        <v>0.2</v>
      </c>
      <c r="AE43" s="13">
        <f t="shared" si="4"/>
        <v>-1.3800000000000001</v>
      </c>
      <c r="AF43" s="13">
        <f t="shared" si="5"/>
        <v>15</v>
      </c>
      <c r="AG43" s="12">
        <f t="shared" si="6"/>
        <v>28.566000000000006</v>
      </c>
    </row>
    <row r="44" spans="2:33" ht="15.75" thickBot="1" x14ac:dyDescent="0.3">
      <c r="B44" t="s">
        <v>45</v>
      </c>
      <c r="C44">
        <v>1490</v>
      </c>
      <c r="D44" t="s">
        <v>37</v>
      </c>
      <c r="S44" t="s">
        <v>105</v>
      </c>
      <c r="T44">
        <v>2.99</v>
      </c>
      <c r="U44">
        <f t="shared" si="0"/>
        <v>1.4100000000000001</v>
      </c>
      <c r="V44" t="s">
        <v>5</v>
      </c>
      <c r="W44">
        <f>2*30</f>
        <v>60</v>
      </c>
      <c r="X44" t="s">
        <v>1</v>
      </c>
      <c r="Y44">
        <f t="shared" si="1"/>
        <v>119.28600000000003</v>
      </c>
      <c r="AC44" s="21" t="str">
        <f t="shared" si="2"/>
        <v>Wings</v>
      </c>
      <c r="AD44" s="14">
        <f t="shared" si="3"/>
        <v>0.6</v>
      </c>
      <c r="AE44" s="13">
        <f t="shared" si="4"/>
        <v>-0.98000000000000009</v>
      </c>
      <c r="AF44" s="13">
        <f t="shared" si="5"/>
        <v>30</v>
      </c>
      <c r="AG44" s="12">
        <f t="shared" si="6"/>
        <v>28.812000000000005</v>
      </c>
    </row>
    <row r="45" spans="2:33" ht="15.75" thickBot="1" x14ac:dyDescent="0.3">
      <c r="B45" t="s">
        <v>147</v>
      </c>
      <c r="C45">
        <v>0.51</v>
      </c>
      <c r="D45" t="s">
        <v>109</v>
      </c>
      <c r="S45" t="s">
        <v>114</v>
      </c>
      <c r="T45">
        <v>1.2</v>
      </c>
      <c r="U45">
        <f t="shared" si="0"/>
        <v>-0.38000000000000012</v>
      </c>
      <c r="V45" t="s">
        <v>5</v>
      </c>
      <c r="W45">
        <v>20</v>
      </c>
      <c r="X45" t="s">
        <v>1</v>
      </c>
      <c r="Y45">
        <f t="shared" si="1"/>
        <v>2.8880000000000017</v>
      </c>
      <c r="AC45" s="21" t="str">
        <f t="shared" si="2"/>
        <v>Roof</v>
      </c>
      <c r="AD45" s="14">
        <f t="shared" si="3"/>
        <v>2.5</v>
      </c>
      <c r="AE45" s="13">
        <f t="shared" si="4"/>
        <v>0.91999999999999993</v>
      </c>
      <c r="AF45" s="13">
        <f t="shared" si="5"/>
        <v>10</v>
      </c>
      <c r="AG45" s="12">
        <f t="shared" si="6"/>
        <v>8.4639999999999986</v>
      </c>
    </row>
    <row r="46" spans="2:33" ht="15.75" thickBot="1" x14ac:dyDescent="0.3">
      <c r="B46" t="s">
        <v>146</v>
      </c>
      <c r="C46" s="4">
        <v>2.4460000000000002</v>
      </c>
      <c r="D46" t="s">
        <v>5</v>
      </c>
      <c r="S46" t="s">
        <v>168</v>
      </c>
      <c r="T46">
        <v>1.58</v>
      </c>
      <c r="U46">
        <f t="shared" si="0"/>
        <v>0</v>
      </c>
      <c r="W46">
        <v>510</v>
      </c>
      <c r="X46" t="s">
        <v>1</v>
      </c>
      <c r="Y46">
        <f>T56</f>
        <v>1193.3425824999999</v>
      </c>
      <c r="AC46" s="21" t="str">
        <f t="shared" si="2"/>
        <v>Rear 3/4</v>
      </c>
      <c r="AD46" s="14">
        <f t="shared" si="3"/>
        <v>2.99</v>
      </c>
      <c r="AE46" s="13">
        <f t="shared" si="4"/>
        <v>1.4100000000000001</v>
      </c>
      <c r="AF46" s="13">
        <f t="shared" si="5"/>
        <v>60</v>
      </c>
      <c r="AG46" s="12">
        <f t="shared" si="6"/>
        <v>119.28600000000003</v>
      </c>
    </row>
    <row r="47" spans="2:33" ht="15.75" thickBot="1" x14ac:dyDescent="0.3">
      <c r="B47" t="s">
        <v>51</v>
      </c>
      <c r="C47" s="4">
        <f>C46*C45</f>
        <v>1.24746</v>
      </c>
      <c r="D47" t="s">
        <v>5</v>
      </c>
      <c r="S47" t="s">
        <v>113</v>
      </c>
      <c r="T47" s="4">
        <f>U28-U47</f>
        <v>-0.27359999999999807</v>
      </c>
      <c r="U47" s="4">
        <f>(U30*W30+U31*W31+U32*W32+U33*W33+U34*W34+U35*W35+U36*W36+U37*W37+U38*W38+U39*W39+U40*W40+U41*W41+U42*W42+U43*W43+U44*W44+U45*W45+U46*W46)/W47</f>
        <v>1.8535999999999981</v>
      </c>
      <c r="V47" t="s">
        <v>5</v>
      </c>
      <c r="W47">
        <f>'Input and Reseach'!C2-W28</f>
        <v>25</v>
      </c>
      <c r="X47" t="s">
        <v>1</v>
      </c>
      <c r="Y47">
        <f>IF(W47&lt;=0,0,W47*U47^2)</f>
        <v>85.895823999999834</v>
      </c>
      <c r="AC47" s="21" t="str">
        <f t="shared" si="2"/>
        <v>Dash ECUs</v>
      </c>
      <c r="AD47" s="14">
        <f t="shared" si="3"/>
        <v>1.2</v>
      </c>
      <c r="AE47" s="13">
        <f t="shared" si="4"/>
        <v>-0.38000000000000012</v>
      </c>
      <c r="AF47" s="13">
        <f t="shared" si="5"/>
        <v>20</v>
      </c>
      <c r="AG47" s="12">
        <f t="shared" si="6"/>
        <v>2.8880000000000017</v>
      </c>
    </row>
    <row r="48" spans="2:33" ht="15.75" thickBot="1" x14ac:dyDescent="0.3">
      <c r="B48" t="s">
        <v>52</v>
      </c>
      <c r="C48" s="4">
        <f>C46*(1-C45)</f>
        <v>1.1985400000000002</v>
      </c>
      <c r="D48" t="s">
        <v>5</v>
      </c>
      <c r="S48" t="s">
        <v>108</v>
      </c>
      <c r="W48">
        <f>SUM(W30:W47)</f>
        <v>1880</v>
      </c>
      <c r="X48" t="s">
        <v>1</v>
      </c>
      <c r="Y48">
        <f>SUM(Y30:Y47)</f>
        <v>3785.2180465000001</v>
      </c>
      <c r="AC48" s="21" t="str">
        <f t="shared" si="2"/>
        <v xml:space="preserve">Chassis </v>
      </c>
      <c r="AD48" s="14">
        <f t="shared" si="3"/>
        <v>1.58</v>
      </c>
      <c r="AE48" s="13">
        <f t="shared" si="4"/>
        <v>0</v>
      </c>
      <c r="AF48" s="13">
        <f t="shared" si="5"/>
        <v>510</v>
      </c>
      <c r="AG48" s="12">
        <f t="shared" si="6"/>
        <v>1193.3425824999999</v>
      </c>
    </row>
    <row r="49" spans="2:33" ht="15.75" thickBot="1" x14ac:dyDescent="0.3">
      <c r="B49" t="s">
        <v>53</v>
      </c>
      <c r="C49" s="2">
        <f>C43/(C44*C47*C48)</f>
        <v>1.0198654914906304</v>
      </c>
      <c r="D49" t="s">
        <v>109</v>
      </c>
      <c r="AC49" s="21" t="str">
        <f>S47</f>
        <v>Balance</v>
      </c>
      <c r="AD49" s="16">
        <f>T47</f>
        <v>-0.27359999999999807</v>
      </c>
      <c r="AE49" s="16">
        <f>U47</f>
        <v>1.8535999999999981</v>
      </c>
      <c r="AF49" s="17">
        <f>W47</f>
        <v>25</v>
      </c>
      <c r="AG49" s="15">
        <f>Y47</f>
        <v>85.895823999999834</v>
      </c>
    </row>
    <row r="50" spans="2:33" ht="15.75" thickBot="1" x14ac:dyDescent="0.3">
      <c r="W50" t="s">
        <v>23</v>
      </c>
      <c r="AC50" s="21" t="s">
        <v>108</v>
      </c>
      <c r="AD50" s="18" t="s">
        <v>109</v>
      </c>
      <c r="AE50" s="19" t="s">
        <v>109</v>
      </c>
      <c r="AF50" s="20">
        <f>SUM(AF32:AF49)</f>
        <v>1880</v>
      </c>
      <c r="AG50" s="22">
        <f>SUM(AG32:AG49)</f>
        <v>3785.2180465000001</v>
      </c>
    </row>
    <row r="52" spans="2:33" x14ac:dyDescent="0.25">
      <c r="S52" t="s">
        <v>164</v>
      </c>
    </row>
    <row r="53" spans="2:33" x14ac:dyDescent="0.25">
      <c r="R53" s="46" t="s">
        <v>165</v>
      </c>
      <c r="S53" s="46"/>
      <c r="T53">
        <v>4.907</v>
      </c>
      <c r="U53" t="s">
        <v>5</v>
      </c>
    </row>
    <row r="54" spans="2:33" x14ac:dyDescent="0.25">
      <c r="R54" s="46" t="s">
        <v>166</v>
      </c>
      <c r="S54" s="46"/>
      <c r="T54">
        <v>2</v>
      </c>
      <c r="U54" t="s">
        <v>5</v>
      </c>
    </row>
    <row r="55" spans="2:33" x14ac:dyDescent="0.25">
      <c r="R55" s="46" t="s">
        <v>45</v>
      </c>
      <c r="S55" s="46"/>
      <c r="T55">
        <f>W46</f>
        <v>510</v>
      </c>
      <c r="U55" t="s">
        <v>1</v>
      </c>
    </row>
    <row r="56" spans="2:33" x14ac:dyDescent="0.25">
      <c r="R56" s="46" t="s">
        <v>55</v>
      </c>
      <c r="S56" s="46"/>
      <c r="T56">
        <f>((T55)/12)*(T53^2+T54^2)</f>
        <v>1193.3425824999999</v>
      </c>
      <c r="U56" t="s">
        <v>167</v>
      </c>
    </row>
  </sheetData>
  <mergeCells count="5">
    <mergeCell ref="R54:S54"/>
    <mergeCell ref="R55:S55"/>
    <mergeCell ref="R56:S56"/>
    <mergeCell ref="B42:D42"/>
    <mergeCell ref="R53:S53"/>
  </mergeCells>
  <hyperlinks>
    <hyperlink ref="H26" r:id="rId1" xr:uid="{9A791E6C-722D-4D74-B9F3-B8F5088A0C32}"/>
  </hyperlinks>
  <pageMargins left="0.7" right="0.7" top="0.75" bottom="0.75" header="0.3" footer="0.3"/>
  <pageSetup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F5EFF-3E5E-4FEE-A450-8BCBC1353050}">
  <dimension ref="B3:O60"/>
  <sheetViews>
    <sheetView topLeftCell="A2" zoomScale="163" zoomScaleNormal="115" workbookViewId="0">
      <selection activeCell="F21" sqref="F21"/>
    </sheetView>
  </sheetViews>
  <sheetFormatPr defaultRowHeight="15" x14ac:dyDescent="0.25"/>
  <cols>
    <col min="2" max="2" width="27.85546875" bestFit="1" customWidth="1"/>
    <col min="8" max="8" width="22.28515625" bestFit="1" customWidth="1"/>
  </cols>
  <sheetData>
    <row r="3" spans="2:15" x14ac:dyDescent="0.25">
      <c r="B3" s="59" t="s">
        <v>212</v>
      </c>
      <c r="C3" s="59"/>
      <c r="D3" s="59"/>
    </row>
    <row r="4" spans="2:15" x14ac:dyDescent="0.25">
      <c r="B4" s="13" t="s">
        <v>161</v>
      </c>
      <c r="C4" s="13">
        <f>'Input and Reseach'!C7</f>
        <v>683</v>
      </c>
      <c r="D4" s="13" t="s">
        <v>66</v>
      </c>
    </row>
    <row r="5" spans="2:15" x14ac:dyDescent="0.25">
      <c r="B5" s="13" t="s">
        <v>150</v>
      </c>
      <c r="C5" s="13">
        <v>0.1</v>
      </c>
      <c r="D5" s="13"/>
    </row>
    <row r="6" spans="2:15" x14ac:dyDescent="0.25">
      <c r="B6" s="13" t="s">
        <v>198</v>
      </c>
      <c r="C6" s="13">
        <v>0.05</v>
      </c>
      <c r="D6" s="13" t="s">
        <v>5</v>
      </c>
    </row>
    <row r="7" spans="2:15" x14ac:dyDescent="0.25">
      <c r="B7" s="13" t="s">
        <v>158</v>
      </c>
      <c r="C7" s="13">
        <f>50*100000</f>
        <v>5000000</v>
      </c>
      <c r="D7" s="13" t="s">
        <v>157</v>
      </c>
    </row>
    <row r="8" spans="2:15" x14ac:dyDescent="0.25">
      <c r="B8" s="13" t="s">
        <v>151</v>
      </c>
      <c r="C8" s="13">
        <f>2*PI()*C7*C6*(0.2-C6)</f>
        <v>235619.44901923454</v>
      </c>
      <c r="D8" s="13" t="s">
        <v>155</v>
      </c>
    </row>
    <row r="9" spans="2:15" x14ac:dyDescent="0.25">
      <c r="B9" t="s">
        <v>23</v>
      </c>
    </row>
    <row r="10" spans="2:15" x14ac:dyDescent="0.25">
      <c r="B10" s="60" t="s">
        <v>149</v>
      </c>
      <c r="C10" s="61"/>
      <c r="D10" s="62"/>
    </row>
    <row r="11" spans="2:15" x14ac:dyDescent="0.25">
      <c r="B11" s="13" t="s">
        <v>65</v>
      </c>
      <c r="C11" s="12">
        <f>C4*I23</f>
        <v>184.41000000000003</v>
      </c>
      <c r="D11" s="13" t="s">
        <v>66</v>
      </c>
    </row>
    <row r="12" spans="2:15" x14ac:dyDescent="0.25">
      <c r="B12" s="13" t="s">
        <v>152</v>
      </c>
      <c r="C12" s="13">
        <v>2</v>
      </c>
      <c r="D12" s="13"/>
      <c r="E12" t="s">
        <v>23</v>
      </c>
    </row>
    <row r="13" spans="2:15" x14ac:dyDescent="0.25">
      <c r="B13" s="13" t="s">
        <v>154</v>
      </c>
      <c r="C13" s="40">
        <f>SQRT((C11/C12)/(PI()*$C$5*$C$7*$C$6)+$C$6^2)</f>
        <v>6.0613451660692097E-2</v>
      </c>
      <c r="D13" s="13" t="s">
        <v>5</v>
      </c>
      <c r="F13" t="s">
        <v>170</v>
      </c>
    </row>
    <row r="14" spans="2:15" x14ac:dyDescent="0.25">
      <c r="B14" s="13" t="s">
        <v>156</v>
      </c>
      <c r="C14" s="12">
        <f>C13*2*1000</f>
        <v>121.2269033213842</v>
      </c>
      <c r="D14" s="13" t="s">
        <v>160</v>
      </c>
      <c r="H14" s="9"/>
      <c r="I14" s="9"/>
      <c r="J14" s="9"/>
      <c r="K14" s="9"/>
      <c r="L14" s="9"/>
      <c r="M14" s="9"/>
      <c r="N14" s="9"/>
      <c r="O14" s="9"/>
    </row>
    <row r="15" spans="2:15" x14ac:dyDescent="0.25">
      <c r="C15" s="10"/>
      <c r="H15" s="9"/>
      <c r="I15" s="9"/>
      <c r="J15" s="9"/>
      <c r="K15" s="9"/>
      <c r="L15" s="9"/>
      <c r="M15" s="9"/>
      <c r="N15" s="9"/>
      <c r="O15" s="9"/>
    </row>
    <row r="16" spans="2:15" x14ac:dyDescent="0.25">
      <c r="B16" s="60" t="s">
        <v>153</v>
      </c>
      <c r="C16" s="61"/>
      <c r="D16" s="62"/>
      <c r="H16" s="9"/>
      <c r="I16" s="9"/>
      <c r="J16" s="9"/>
      <c r="K16" s="9"/>
      <c r="L16" s="9"/>
      <c r="M16" s="9"/>
      <c r="N16" s="9"/>
      <c r="O16" s="9"/>
    </row>
    <row r="17" spans="2:15" x14ac:dyDescent="0.25">
      <c r="B17" s="13" t="s">
        <v>65</v>
      </c>
      <c r="C17" s="12">
        <f>C4</f>
        <v>683</v>
      </c>
      <c r="D17" s="13" t="s">
        <v>66</v>
      </c>
      <c r="H17" s="9"/>
      <c r="I17" s="9"/>
      <c r="J17" s="9"/>
      <c r="K17" s="9"/>
      <c r="L17" s="9"/>
      <c r="M17" s="9"/>
      <c r="N17" s="9"/>
      <c r="O17" s="9"/>
    </row>
    <row r="18" spans="2:15" x14ac:dyDescent="0.25">
      <c r="B18" s="13" t="s">
        <v>152</v>
      </c>
      <c r="C18" s="13">
        <v>3</v>
      </c>
      <c r="D18" s="13"/>
      <c r="H18" s="9"/>
      <c r="I18" s="9"/>
      <c r="J18" s="9"/>
      <c r="K18" s="9"/>
      <c r="L18" s="9"/>
      <c r="M18" s="9"/>
      <c r="N18" s="9"/>
      <c r="O18" s="9"/>
    </row>
    <row r="19" spans="2:15" x14ac:dyDescent="0.25">
      <c r="B19" s="13" t="s">
        <v>154</v>
      </c>
      <c r="C19" s="40">
        <f>SQRT((C17/C18)/(PI()*$C$5*$C$7*$C$6)+$C$6^2)</f>
        <v>7.3476132384471537E-2</v>
      </c>
      <c r="D19" s="13" t="s">
        <v>5</v>
      </c>
      <c r="H19" s="9"/>
      <c r="I19" s="9"/>
      <c r="J19" s="9"/>
      <c r="K19" s="9"/>
      <c r="L19" s="9"/>
      <c r="M19" s="9"/>
      <c r="N19" s="9"/>
      <c r="O19" s="9"/>
    </row>
    <row r="20" spans="2:15" x14ac:dyDescent="0.25">
      <c r="B20" s="13" t="s">
        <v>156</v>
      </c>
      <c r="C20" s="12">
        <f>C19*2*1000</f>
        <v>146.95226476894308</v>
      </c>
      <c r="D20" s="13" t="s">
        <v>160</v>
      </c>
      <c r="H20" s="9"/>
      <c r="I20" s="9"/>
      <c r="J20" s="9"/>
      <c r="K20" s="9"/>
      <c r="L20" s="9"/>
      <c r="M20" s="9"/>
      <c r="N20" s="9"/>
      <c r="O20" s="9"/>
    </row>
    <row r="21" spans="2:15" x14ac:dyDescent="0.25">
      <c r="C21" s="10"/>
      <c r="H21" s="9"/>
      <c r="I21" s="9"/>
      <c r="J21" s="9"/>
      <c r="K21" s="9"/>
      <c r="L21" s="9"/>
      <c r="M21" s="9"/>
      <c r="N21" s="9"/>
      <c r="O21" s="9"/>
    </row>
    <row r="22" spans="2:15" x14ac:dyDescent="0.25">
      <c r="B22" s="60" t="s">
        <v>148</v>
      </c>
      <c r="C22" s="61"/>
      <c r="D22" s="62"/>
      <c r="H22" s="36"/>
      <c r="I22" s="36" t="s">
        <v>6</v>
      </c>
      <c r="J22" s="36"/>
      <c r="K22" s="47"/>
      <c r="L22" s="48"/>
      <c r="M22" s="49"/>
      <c r="N22" s="36" t="s">
        <v>171</v>
      </c>
      <c r="O22" s="36"/>
    </row>
    <row r="23" spans="2:15" x14ac:dyDescent="0.25">
      <c r="B23" s="13" t="s">
        <v>159</v>
      </c>
      <c r="C23" s="12">
        <f>'Input and Reseach'!C32*'Input and Reseach'!C39</f>
        <v>10.167732000000001</v>
      </c>
      <c r="D23" s="13"/>
      <c r="H23" s="36" t="s">
        <v>174</v>
      </c>
      <c r="I23" s="37">
        <v>0.27</v>
      </c>
      <c r="J23" s="36"/>
      <c r="K23" s="50"/>
      <c r="L23" s="51"/>
      <c r="M23" s="52"/>
      <c r="N23" s="37">
        <f>1-I23</f>
        <v>0.73</v>
      </c>
      <c r="O23" s="36"/>
    </row>
    <row r="24" spans="2:15" x14ac:dyDescent="0.25">
      <c r="B24" s="13" t="s">
        <v>163</v>
      </c>
      <c r="C24" s="41">
        <f>0.95*0.95</f>
        <v>0.90249999999999997</v>
      </c>
      <c r="D24" s="13"/>
      <c r="H24" s="36" t="s">
        <v>65</v>
      </c>
      <c r="I24" s="36">
        <f>C4*I23</f>
        <v>184.41000000000003</v>
      </c>
      <c r="J24" s="36" t="s">
        <v>66</v>
      </c>
      <c r="K24" s="50"/>
      <c r="L24" s="51"/>
      <c r="M24" s="52"/>
      <c r="N24" s="36">
        <f>C4*N23</f>
        <v>498.59</v>
      </c>
      <c r="O24" s="36" t="s">
        <v>66</v>
      </c>
    </row>
    <row r="25" spans="2:15" x14ac:dyDescent="0.25">
      <c r="B25" s="13" t="s">
        <v>65</v>
      </c>
      <c r="C25" s="12">
        <f>C11*C23</f>
        <v>1875.0314581200005</v>
      </c>
      <c r="D25" s="13" t="s">
        <v>66</v>
      </c>
      <c r="H25" s="36" t="s">
        <v>30</v>
      </c>
      <c r="I25" s="36">
        <v>1</v>
      </c>
      <c r="J25" s="36"/>
      <c r="K25" s="50"/>
      <c r="L25" s="51"/>
      <c r="M25" s="52"/>
      <c r="N25" s="36">
        <v>1</v>
      </c>
      <c r="O25" s="36"/>
    </row>
    <row r="26" spans="2:15" x14ac:dyDescent="0.25">
      <c r="B26" s="13" t="s">
        <v>152</v>
      </c>
      <c r="C26" s="13">
        <v>8</v>
      </c>
      <c r="D26" s="13"/>
      <c r="H26" s="36" t="s">
        <v>172</v>
      </c>
      <c r="I26" s="36">
        <f>I24*('Input and Reseach'!C39*'Input and Reseach'!C32)</f>
        <v>1875.0314581200005</v>
      </c>
      <c r="J26" s="36" t="s">
        <v>66</v>
      </c>
      <c r="K26" s="50"/>
      <c r="L26" s="51"/>
      <c r="M26" s="52"/>
      <c r="N26" s="36">
        <f>N24*'Input and Reseach'!F32*'Input and Reseach'!F39</f>
        <v>7425.0022799999997</v>
      </c>
      <c r="O26" s="36" t="s">
        <v>66</v>
      </c>
    </row>
    <row r="27" spans="2:15" x14ac:dyDescent="0.25">
      <c r="B27" s="13" t="s">
        <v>154</v>
      </c>
      <c r="C27" s="40">
        <f>SQRT((C25/C26)/(PI()*$C$5*$C$7*$C$6)+$C$6^2)</f>
        <v>7.4055420126591831E-2</v>
      </c>
      <c r="D27" s="13" t="s">
        <v>5</v>
      </c>
      <c r="H27" s="36" t="s">
        <v>173</v>
      </c>
      <c r="I27" s="38">
        <f>I26/SUM(I26,N26)</f>
        <v>0.20161555440755183</v>
      </c>
      <c r="J27" s="36"/>
      <c r="K27" s="53"/>
      <c r="L27" s="54"/>
      <c r="M27" s="55"/>
      <c r="N27" s="38">
        <f>N26/SUM(I26,N26)</f>
        <v>0.79838444559244814</v>
      </c>
      <c r="O27" s="36"/>
    </row>
    <row r="28" spans="2:15" ht="15.75" thickBot="1" x14ac:dyDescent="0.3">
      <c r="B28" s="13" t="s">
        <v>156</v>
      </c>
      <c r="C28" s="12">
        <f>C27*2*1000</f>
        <v>148.11084025318365</v>
      </c>
      <c r="D28" s="13" t="s">
        <v>160</v>
      </c>
    </row>
    <row r="29" spans="2:15" ht="15.75" thickBot="1" x14ac:dyDescent="0.3">
      <c r="H29" s="44" t="s">
        <v>208</v>
      </c>
      <c r="I29" s="20" t="s">
        <v>209</v>
      </c>
      <c r="J29" s="45" t="s">
        <v>210</v>
      </c>
    </row>
    <row r="30" spans="2:15" x14ac:dyDescent="0.25">
      <c r="B30" t="s">
        <v>162</v>
      </c>
      <c r="C30" s="10">
        <f>C25/'Input and Reseach'!C20/2</f>
        <v>2759.4240684908605</v>
      </c>
      <c r="D30" t="s">
        <v>81</v>
      </c>
      <c r="H30" s="43" t="s">
        <v>201</v>
      </c>
      <c r="I30" s="43">
        <v>0.39800000000000002</v>
      </c>
      <c r="J30" s="43" t="s">
        <v>5</v>
      </c>
      <c r="K30" s="46"/>
      <c r="L30" s="46"/>
      <c r="M30" s="46"/>
    </row>
    <row r="31" spans="2:15" x14ac:dyDescent="0.25">
      <c r="H31" s="13" t="s">
        <v>199</v>
      </c>
      <c r="I31" s="13">
        <v>5.19</v>
      </c>
      <c r="J31" s="13" t="s">
        <v>202</v>
      </c>
    </row>
    <row r="32" spans="2:15" x14ac:dyDescent="0.25">
      <c r="H32" s="13" t="s">
        <v>200</v>
      </c>
      <c r="I32" s="13">
        <v>6.25</v>
      </c>
      <c r="J32" s="13" t="s">
        <v>202</v>
      </c>
    </row>
    <row r="33" spans="8:11" x14ac:dyDescent="0.25">
      <c r="H33" s="13" t="s">
        <v>203</v>
      </c>
      <c r="I33" s="13">
        <f>AVERAGE(I31,I32)</f>
        <v>5.7200000000000006</v>
      </c>
      <c r="J33" s="13" t="s">
        <v>202</v>
      </c>
    </row>
    <row r="34" spans="8:11" x14ac:dyDescent="0.25">
      <c r="H34" s="13" t="s">
        <v>204</v>
      </c>
      <c r="I34" s="13">
        <v>1.3</v>
      </c>
      <c r="J34" s="13" t="s">
        <v>202</v>
      </c>
      <c r="K34" t="s">
        <v>207</v>
      </c>
    </row>
    <row r="35" spans="8:11" x14ac:dyDescent="0.25">
      <c r="H35" s="13" t="s">
        <v>205</v>
      </c>
      <c r="I35" s="42">
        <f>I30/I31*I34</f>
        <v>9.9691714836223508E-2</v>
      </c>
      <c r="J35" s="13" t="s">
        <v>5</v>
      </c>
    </row>
    <row r="36" spans="8:11" x14ac:dyDescent="0.25">
      <c r="H36" s="13" t="s">
        <v>206</v>
      </c>
      <c r="I36" s="13">
        <f>I35/2</f>
        <v>4.9845857418111754E-2</v>
      </c>
      <c r="J36" s="13" t="s">
        <v>5</v>
      </c>
    </row>
    <row r="60" spans="3:3" x14ac:dyDescent="0.25">
      <c r="C60" t="s">
        <v>211</v>
      </c>
    </row>
  </sheetData>
  <mergeCells count="6">
    <mergeCell ref="K22:M27"/>
    <mergeCell ref="K30:M30"/>
    <mergeCell ref="B3:D3"/>
    <mergeCell ref="B10:D10"/>
    <mergeCell ref="B16:D16"/>
    <mergeCell ref="B22:D2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C4FD9-BB86-4270-A5F4-ECDC7D6DC591}">
  <dimension ref="B3:AK103"/>
  <sheetViews>
    <sheetView topLeftCell="A56" zoomScale="64" zoomScaleNormal="55" workbookViewId="0">
      <selection activeCell="T122" sqref="T122"/>
    </sheetView>
  </sheetViews>
  <sheetFormatPr defaultRowHeight="15" x14ac:dyDescent="0.25"/>
  <cols>
    <col min="2" max="2" width="22.42578125" bestFit="1" customWidth="1"/>
    <col min="16" max="16" width="10.5703125" bestFit="1" customWidth="1"/>
    <col min="17" max="17" width="10.7109375" bestFit="1" customWidth="1"/>
    <col min="18" max="18" width="21" customWidth="1"/>
    <col min="19" max="19" width="12.28515625" customWidth="1"/>
    <col min="20" max="20" width="9.7109375" customWidth="1"/>
    <col min="21" max="21" width="7.5703125" customWidth="1"/>
    <col min="22" max="22" width="16.28515625" bestFit="1" customWidth="1"/>
    <col min="23" max="23" width="17.7109375" bestFit="1" customWidth="1"/>
  </cols>
  <sheetData>
    <row r="3" spans="2:23" x14ac:dyDescent="0.25">
      <c r="O3" s="9"/>
      <c r="P3" s="9"/>
      <c r="Q3" s="9"/>
      <c r="R3" s="9"/>
      <c r="S3" s="9"/>
      <c r="T3" s="9"/>
      <c r="U3" s="9"/>
      <c r="V3" s="9"/>
      <c r="W3" s="9"/>
    </row>
    <row r="4" spans="2:23" x14ac:dyDescent="0.25">
      <c r="B4" t="s">
        <v>70</v>
      </c>
      <c r="C4" t="s">
        <v>69</v>
      </c>
      <c r="O4" s="9"/>
      <c r="P4" s="9"/>
      <c r="Q4" s="9"/>
      <c r="R4" s="9"/>
      <c r="S4" s="9"/>
      <c r="T4" s="9"/>
      <c r="U4" s="9"/>
      <c r="V4" s="9"/>
      <c r="W4" s="9"/>
    </row>
    <row r="5" spans="2:23" x14ac:dyDescent="0.25">
      <c r="B5" t="s">
        <v>73</v>
      </c>
      <c r="C5">
        <f>DEGREES(ATAN(15/100))</f>
        <v>8.5307656099481335</v>
      </c>
      <c r="D5" t="s">
        <v>80</v>
      </c>
      <c r="O5" s="9"/>
      <c r="P5" s="9"/>
      <c r="Q5" s="9"/>
      <c r="R5" s="9"/>
      <c r="S5" s="9"/>
      <c r="T5" s="9"/>
      <c r="U5" s="9"/>
      <c r="V5" s="9"/>
      <c r="W5" s="9"/>
    </row>
    <row r="6" spans="2:23" x14ac:dyDescent="0.25">
      <c r="B6" t="s">
        <v>45</v>
      </c>
      <c r="C6">
        <f>'Input and Reseach'!C2</f>
        <v>1880</v>
      </c>
      <c r="D6" t="s">
        <v>1</v>
      </c>
      <c r="O6" s="9"/>
      <c r="P6" s="9"/>
      <c r="Q6" s="9"/>
      <c r="R6" s="9"/>
      <c r="S6" s="9"/>
      <c r="T6" s="9"/>
      <c r="U6" s="9"/>
      <c r="V6" s="9"/>
      <c r="W6" s="9"/>
    </row>
    <row r="7" spans="2:23" x14ac:dyDescent="0.25">
      <c r="B7" t="s">
        <v>79</v>
      </c>
      <c r="C7">
        <f>'Input and Reseach'!C3</f>
        <v>2.99</v>
      </c>
      <c r="D7" t="s">
        <v>5</v>
      </c>
      <c r="O7" s="9"/>
      <c r="P7" s="9"/>
      <c r="Q7" s="9"/>
      <c r="R7" s="9"/>
      <c r="S7" s="9"/>
      <c r="T7" s="9"/>
      <c r="U7" s="9"/>
      <c r="V7" s="9"/>
      <c r="W7" s="23"/>
    </row>
    <row r="8" spans="2:23" x14ac:dyDescent="0.25">
      <c r="O8" s="9"/>
      <c r="P8" s="9"/>
      <c r="Q8" s="9"/>
      <c r="R8" s="9"/>
      <c r="S8" s="9"/>
      <c r="T8" s="9"/>
      <c r="U8" s="9"/>
      <c r="V8" s="23"/>
      <c r="W8" s="23"/>
    </row>
    <row r="9" spans="2:23" x14ac:dyDescent="0.25">
      <c r="B9" t="s">
        <v>71</v>
      </c>
      <c r="C9">
        <v>1</v>
      </c>
      <c r="F9" t="s">
        <v>72</v>
      </c>
      <c r="G9">
        <v>0.1</v>
      </c>
      <c r="O9" s="9"/>
      <c r="P9" s="9"/>
      <c r="Q9" s="9"/>
      <c r="R9" s="9"/>
      <c r="S9" s="9"/>
      <c r="T9" s="9"/>
      <c r="U9" s="9"/>
      <c r="V9" s="23"/>
      <c r="W9" s="23">
        <v>15</v>
      </c>
    </row>
    <row r="10" spans="2:23" x14ac:dyDescent="0.25">
      <c r="B10" t="s">
        <v>74</v>
      </c>
      <c r="C10">
        <f>'Input and Reseach'!C2*('Input and Reseach'!C13/100)</f>
        <v>883.59999999999991</v>
      </c>
      <c r="D10" t="s">
        <v>1</v>
      </c>
      <c r="F10" t="s">
        <v>75</v>
      </c>
      <c r="G10">
        <f>'Input and Reseach'!C2*('Input and Reseach'!F13/100)</f>
        <v>996.40000000000009</v>
      </c>
      <c r="H10" t="s">
        <v>1</v>
      </c>
      <c r="O10" s="9"/>
      <c r="P10" s="9"/>
      <c r="Q10" s="9"/>
      <c r="R10" s="9"/>
      <c r="S10" s="9"/>
      <c r="T10" s="9"/>
      <c r="U10" s="9"/>
      <c r="V10" s="23"/>
      <c r="W10" s="23"/>
    </row>
    <row r="11" spans="2:23" x14ac:dyDescent="0.25">
      <c r="B11" t="s">
        <v>76</v>
      </c>
      <c r="C11">
        <v>0.5</v>
      </c>
      <c r="D11" t="s">
        <v>5</v>
      </c>
      <c r="O11" s="9"/>
      <c r="P11" s="9"/>
      <c r="Q11" s="23"/>
      <c r="R11" s="23"/>
      <c r="S11" s="23"/>
      <c r="T11" s="23"/>
      <c r="U11" s="23"/>
      <c r="V11" s="23"/>
      <c r="W11" s="23"/>
    </row>
    <row r="12" spans="2:23" x14ac:dyDescent="0.25">
      <c r="B12" t="s">
        <v>77</v>
      </c>
      <c r="C12">
        <f>'Input and Reseach'!C20</f>
        <v>0.33975050800101603</v>
      </c>
      <c r="D12" t="s">
        <v>5</v>
      </c>
      <c r="F12" t="s">
        <v>78</v>
      </c>
      <c r="G12">
        <f>'Input and Reseach'!F20</f>
        <v>0.35725050800101604</v>
      </c>
      <c r="H12" t="s">
        <v>5</v>
      </c>
      <c r="O12" s="23"/>
      <c r="P12" s="23"/>
      <c r="Q12" s="23"/>
      <c r="R12" s="23"/>
      <c r="S12" s="23">
        <v>100</v>
      </c>
      <c r="T12" s="23"/>
      <c r="U12" s="23"/>
      <c r="V12" s="23"/>
      <c r="W12" s="23"/>
    </row>
    <row r="13" spans="2:23" x14ac:dyDescent="0.25">
      <c r="B13" t="s">
        <v>3</v>
      </c>
      <c r="C13">
        <f>'Input and Reseach'!C14</f>
        <v>1.6759999999999999</v>
      </c>
      <c r="D13" t="s">
        <v>5</v>
      </c>
      <c r="F13" t="s">
        <v>4</v>
      </c>
      <c r="G13">
        <f>'Input and Reseach'!F14</f>
        <v>1.66</v>
      </c>
      <c r="H13" t="s">
        <v>5</v>
      </c>
    </row>
    <row r="15" spans="2:23" x14ac:dyDescent="0.25">
      <c r="B15" t="s">
        <v>91</v>
      </c>
      <c r="C15">
        <f>C6*9.81*SIN(RADIANS(C5))</f>
        <v>2735.813305301916</v>
      </c>
      <c r="D15" t="s">
        <v>81</v>
      </c>
    </row>
    <row r="16" spans="2:23" x14ac:dyDescent="0.25">
      <c r="B16" t="s">
        <v>82</v>
      </c>
      <c r="C16">
        <f>(C15*C11)/C7</f>
        <v>457.49386376286219</v>
      </c>
      <c r="D16" t="s">
        <v>81</v>
      </c>
    </row>
    <row r="17" spans="2:13" x14ac:dyDescent="0.25">
      <c r="B17" t="s">
        <v>83</v>
      </c>
      <c r="C17">
        <f>(C6*COS(RADIANS(C5))*9.81)/2</f>
        <v>9119.3776843397191</v>
      </c>
      <c r="D17" t="s">
        <v>81</v>
      </c>
    </row>
    <row r="18" spans="2:13" x14ac:dyDescent="0.25">
      <c r="B18" t="s">
        <v>85</v>
      </c>
      <c r="C18">
        <f>C17-C16</f>
        <v>8661.883820576857</v>
      </c>
      <c r="D18" t="s">
        <v>81</v>
      </c>
      <c r="F18" t="s">
        <v>84</v>
      </c>
      <c r="G18">
        <f>C17+C16</f>
        <v>9576.8715481025811</v>
      </c>
      <c r="H18" t="s">
        <v>81</v>
      </c>
    </row>
    <row r="19" spans="2:13" x14ac:dyDescent="0.25">
      <c r="B19" t="s">
        <v>86</v>
      </c>
      <c r="C19">
        <f>C18/2</f>
        <v>4330.9419102884285</v>
      </c>
      <c r="D19" t="s">
        <v>81</v>
      </c>
      <c r="F19" t="s">
        <v>86</v>
      </c>
      <c r="G19">
        <f>G18/2</f>
        <v>4788.4357740512905</v>
      </c>
      <c r="H19" t="s">
        <v>81</v>
      </c>
    </row>
    <row r="23" spans="2:13" x14ac:dyDescent="0.25">
      <c r="E23" s="9"/>
      <c r="F23" s="9"/>
      <c r="G23" s="9"/>
      <c r="H23" s="9" t="s">
        <v>129</v>
      </c>
      <c r="I23" s="9"/>
      <c r="J23" s="9"/>
      <c r="K23" s="9"/>
      <c r="L23" s="9"/>
      <c r="M23" s="9"/>
    </row>
    <row r="24" spans="2:13" x14ac:dyDescent="0.25">
      <c r="E24" s="9"/>
      <c r="G24" s="25" t="s">
        <v>128</v>
      </c>
      <c r="H24" s="9">
        <f>C13</f>
        <v>1.6759999999999999</v>
      </c>
      <c r="I24" s="9" t="str">
        <f>D13</f>
        <v>m</v>
      </c>
      <c r="J24" s="25" t="s">
        <v>127</v>
      </c>
      <c r="K24" s="9"/>
      <c r="L24" s="9"/>
      <c r="M24" s="9"/>
    </row>
    <row r="25" spans="2:13" x14ac:dyDescent="0.25">
      <c r="E25" s="9"/>
      <c r="F25" s="9"/>
      <c r="G25" s="9"/>
      <c r="H25" s="9"/>
      <c r="I25" s="9"/>
      <c r="J25" s="9"/>
      <c r="K25" s="9"/>
      <c r="L25" s="9"/>
      <c r="M25" s="9"/>
    </row>
    <row r="26" spans="2:13" x14ac:dyDescent="0.25">
      <c r="E26" s="9"/>
      <c r="F26" s="9"/>
      <c r="G26" s="9"/>
      <c r="H26" s="9"/>
      <c r="I26" s="9"/>
      <c r="J26" s="9"/>
      <c r="K26" s="9"/>
      <c r="L26" s="9"/>
      <c r="M26" s="9"/>
    </row>
    <row r="27" spans="2:13" x14ac:dyDescent="0.25">
      <c r="B27" t="s">
        <v>87</v>
      </c>
      <c r="E27" s="9"/>
      <c r="F27" s="9"/>
      <c r="G27" s="9"/>
      <c r="H27" s="9"/>
      <c r="I27" s="9"/>
      <c r="J27" s="9"/>
      <c r="K27" s="9"/>
      <c r="L27" s="9"/>
      <c r="M27" s="9"/>
    </row>
    <row r="28" spans="2:13" x14ac:dyDescent="0.25">
      <c r="E28" s="9"/>
      <c r="F28" s="9"/>
      <c r="G28" s="9"/>
      <c r="H28" s="9"/>
      <c r="I28" s="9"/>
      <c r="J28" s="9"/>
      <c r="K28" s="9"/>
      <c r="L28" s="9"/>
      <c r="M28" s="9"/>
    </row>
    <row r="29" spans="2:13" x14ac:dyDescent="0.25">
      <c r="E29" s="9"/>
      <c r="F29" s="9"/>
      <c r="G29" s="9"/>
      <c r="H29" s="9"/>
      <c r="I29" s="9"/>
      <c r="J29" s="9"/>
      <c r="K29" s="9"/>
      <c r="L29" s="9"/>
      <c r="M29" s="9"/>
    </row>
    <row r="30" spans="2:13" x14ac:dyDescent="0.25">
      <c r="E30" s="9"/>
      <c r="F30" s="9"/>
      <c r="G30" s="9"/>
      <c r="H30" s="9"/>
      <c r="I30" s="9"/>
      <c r="J30" s="9"/>
      <c r="K30" s="9"/>
      <c r="L30" s="9"/>
      <c r="M30" s="9"/>
    </row>
    <row r="31" spans="2:13" x14ac:dyDescent="0.25">
      <c r="E31" s="9" t="s">
        <v>134</v>
      </c>
      <c r="F31" s="9"/>
      <c r="G31" s="9"/>
      <c r="H31" s="9"/>
      <c r="I31" s="9"/>
      <c r="J31" s="9"/>
      <c r="K31" s="9" t="s">
        <v>131</v>
      </c>
      <c r="L31" s="9"/>
      <c r="M31" s="9"/>
    </row>
    <row r="32" spans="2:13" x14ac:dyDescent="0.25">
      <c r="E32" s="24">
        <f>C19*C9</f>
        <v>4330.9419102884285</v>
      </c>
      <c r="F32" s="9" t="s">
        <v>81</v>
      </c>
      <c r="G32" s="9"/>
      <c r="H32" s="9"/>
      <c r="I32" s="9"/>
      <c r="J32" s="9"/>
      <c r="K32" s="24">
        <f>C19*G9</f>
        <v>433.09419102884289</v>
      </c>
      <c r="L32" s="9" t="s">
        <v>81</v>
      </c>
    </row>
    <row r="33" spans="5:12" x14ac:dyDescent="0.25">
      <c r="E33" s="9"/>
      <c r="F33" s="9"/>
      <c r="G33" s="9"/>
      <c r="H33" s="9"/>
      <c r="I33" s="9"/>
      <c r="J33" s="9"/>
      <c r="K33" s="9"/>
      <c r="L33" s="9"/>
    </row>
    <row r="34" spans="5:12" x14ac:dyDescent="0.25">
      <c r="E34" s="9"/>
      <c r="F34" s="9"/>
      <c r="G34" s="9"/>
      <c r="H34" s="9"/>
      <c r="I34" s="9"/>
      <c r="J34" s="9"/>
      <c r="K34" s="9"/>
      <c r="L34" s="9"/>
    </row>
    <row r="35" spans="5:12" x14ac:dyDescent="0.25">
      <c r="E35" s="9"/>
      <c r="F35" s="9"/>
      <c r="G35" s="9"/>
      <c r="H35" s="9"/>
      <c r="I35" s="9"/>
      <c r="J35" s="9"/>
      <c r="K35" s="9"/>
      <c r="L35" s="9"/>
    </row>
    <row r="36" spans="5:12" x14ac:dyDescent="0.25">
      <c r="E36" s="9"/>
      <c r="F36" s="9"/>
      <c r="G36" s="9"/>
      <c r="H36" s="9"/>
      <c r="I36" s="9"/>
      <c r="J36" s="9"/>
      <c r="K36" s="26" t="s">
        <v>135</v>
      </c>
      <c r="L36" s="26"/>
    </row>
    <row r="37" spans="5:12" x14ac:dyDescent="0.25">
      <c r="E37" s="9"/>
      <c r="F37" s="9"/>
      <c r="G37" s="9"/>
      <c r="H37" s="9"/>
      <c r="I37" s="9"/>
      <c r="J37" s="9"/>
      <c r="K37" s="9">
        <v>1.58</v>
      </c>
      <c r="L37" s="9" t="s">
        <v>5</v>
      </c>
    </row>
    <row r="38" spans="5:12" x14ac:dyDescent="0.25">
      <c r="E38" s="9"/>
      <c r="F38" s="9"/>
      <c r="G38" s="9"/>
      <c r="H38" s="9"/>
      <c r="I38" s="9"/>
      <c r="J38" s="9"/>
      <c r="K38" s="9"/>
      <c r="L38" s="9"/>
    </row>
    <row r="39" spans="5:12" x14ac:dyDescent="0.25">
      <c r="E39" s="9"/>
      <c r="F39" s="9"/>
      <c r="G39" s="9"/>
      <c r="H39" s="9"/>
      <c r="I39" s="9"/>
      <c r="J39" s="9"/>
      <c r="K39" s="9"/>
      <c r="L39" s="9"/>
    </row>
    <row r="40" spans="5:12" x14ac:dyDescent="0.25">
      <c r="E40" s="9"/>
      <c r="F40" s="9"/>
      <c r="G40" s="9"/>
      <c r="H40" s="9"/>
      <c r="I40" s="9"/>
      <c r="J40" s="9"/>
      <c r="K40" s="9"/>
      <c r="L40" s="9"/>
    </row>
    <row r="41" spans="5:12" x14ac:dyDescent="0.25">
      <c r="E41" s="9"/>
      <c r="F41" s="9"/>
      <c r="G41" s="9"/>
      <c r="H41" s="9"/>
      <c r="I41" s="9"/>
      <c r="J41" s="9"/>
      <c r="K41" s="57" t="s">
        <v>2</v>
      </c>
      <c r="L41" s="57"/>
    </row>
    <row r="42" spans="5:12" x14ac:dyDescent="0.25">
      <c r="E42" s="9"/>
      <c r="F42" s="9"/>
      <c r="G42" s="9"/>
      <c r="H42" s="9"/>
      <c r="I42" s="9"/>
      <c r="J42" s="9"/>
      <c r="K42" s="9">
        <f>C7</f>
        <v>2.99</v>
      </c>
      <c r="L42" s="9" t="s">
        <v>5</v>
      </c>
    </row>
    <row r="43" spans="5:12" x14ac:dyDescent="0.25">
      <c r="E43" s="9"/>
      <c r="F43" s="9"/>
      <c r="G43" s="9"/>
      <c r="H43" s="9"/>
      <c r="I43" s="9"/>
      <c r="J43" s="9"/>
      <c r="K43" s="9"/>
      <c r="L43" s="9"/>
    </row>
    <row r="44" spans="5:12" x14ac:dyDescent="0.25">
      <c r="E44" s="9"/>
      <c r="F44" s="9"/>
      <c r="G44" s="9"/>
      <c r="H44" s="9"/>
      <c r="I44" s="9"/>
      <c r="J44" s="9"/>
      <c r="K44" s="9"/>
      <c r="L44" s="9"/>
    </row>
    <row r="45" spans="5:12" x14ac:dyDescent="0.25">
      <c r="E45" s="9"/>
      <c r="F45" s="9"/>
      <c r="G45" s="9"/>
      <c r="H45" s="9"/>
      <c r="I45" s="9"/>
      <c r="J45" s="9"/>
      <c r="K45" s="9"/>
      <c r="L45" s="9"/>
    </row>
    <row r="46" spans="5:12" x14ac:dyDescent="0.25">
      <c r="E46" s="9"/>
      <c r="F46" s="9"/>
      <c r="G46" s="9"/>
      <c r="H46" s="9"/>
      <c r="I46" s="9"/>
      <c r="J46" s="9"/>
      <c r="K46" s="9"/>
      <c r="L46" s="9"/>
    </row>
    <row r="47" spans="5:12" x14ac:dyDescent="0.25">
      <c r="E47" s="9"/>
      <c r="F47" s="9"/>
      <c r="G47" s="9"/>
      <c r="H47" s="9"/>
      <c r="I47" s="9"/>
      <c r="J47" s="9"/>
      <c r="K47" s="9"/>
      <c r="L47" s="9"/>
    </row>
    <row r="48" spans="5:12" x14ac:dyDescent="0.25">
      <c r="E48" s="9" t="s">
        <v>133</v>
      </c>
      <c r="F48" s="9"/>
      <c r="G48" s="9"/>
      <c r="H48" s="9"/>
      <c r="I48" s="9"/>
      <c r="J48" s="9"/>
      <c r="K48" s="9" t="s">
        <v>132</v>
      </c>
      <c r="L48" s="9"/>
    </row>
    <row r="49" spans="2:23" x14ac:dyDescent="0.25">
      <c r="E49" s="24">
        <f>G19*C9</f>
        <v>4788.4357740512905</v>
      </c>
      <c r="F49" s="9" t="s">
        <v>81</v>
      </c>
      <c r="G49" s="9"/>
      <c r="H49" s="9"/>
      <c r="I49" s="9"/>
      <c r="J49" s="9"/>
      <c r="K49" s="24">
        <f>G19*G9</f>
        <v>478.84357740512905</v>
      </c>
      <c r="L49" s="9" t="s">
        <v>81</v>
      </c>
    </row>
    <row r="50" spans="2:23" x14ac:dyDescent="0.25">
      <c r="E50" s="9"/>
      <c r="F50" s="9"/>
      <c r="G50" s="9"/>
      <c r="H50" s="9"/>
      <c r="I50" s="9"/>
      <c r="J50" s="9"/>
      <c r="K50" s="9"/>
      <c r="L50" s="9"/>
      <c r="M50" s="9"/>
    </row>
    <row r="51" spans="2:23" x14ac:dyDescent="0.25">
      <c r="E51" s="9"/>
      <c r="F51" s="9"/>
      <c r="G51" s="9"/>
      <c r="H51" s="9"/>
      <c r="I51" s="9"/>
      <c r="J51" s="9"/>
      <c r="K51" s="9"/>
      <c r="L51" s="9"/>
      <c r="M51" s="9"/>
    </row>
    <row r="52" spans="2:23" x14ac:dyDescent="0.25">
      <c r="C52" t="s">
        <v>23</v>
      </c>
      <c r="E52" s="9"/>
      <c r="F52" s="9"/>
      <c r="G52" s="9"/>
      <c r="H52" s="9"/>
      <c r="I52" s="9"/>
      <c r="J52" s="9"/>
      <c r="K52" s="9"/>
      <c r="L52" s="9"/>
      <c r="M52" s="9"/>
    </row>
    <row r="53" spans="2:23" x14ac:dyDescent="0.25">
      <c r="E53" s="9"/>
      <c r="F53" s="9"/>
      <c r="G53" s="9"/>
      <c r="H53" s="9"/>
      <c r="I53" s="9"/>
      <c r="J53" s="9"/>
      <c r="K53" s="9"/>
      <c r="L53" s="9"/>
      <c r="M53" s="9"/>
    </row>
    <row r="54" spans="2:23" x14ac:dyDescent="0.25">
      <c r="B54" t="s">
        <v>88</v>
      </c>
      <c r="C54" s="10">
        <f>SUM(E32,K32,K49,E49)-C72</f>
        <v>7774.130166463151</v>
      </c>
      <c r="D54" t="s">
        <v>81</v>
      </c>
      <c r="E54" s="9"/>
      <c r="F54" s="9"/>
      <c r="G54" s="9"/>
      <c r="H54" s="9"/>
      <c r="I54" s="9"/>
      <c r="J54" s="9"/>
      <c r="K54" s="9"/>
      <c r="L54" s="9"/>
      <c r="M54" s="9"/>
    </row>
    <row r="55" spans="2:23" ht="17.25" x14ac:dyDescent="0.25">
      <c r="B55" t="s">
        <v>89</v>
      </c>
      <c r="C55">
        <f>(C54-C15)/C6</f>
        <v>2.6799557772134226</v>
      </c>
      <c r="D55" t="s">
        <v>90</v>
      </c>
      <c r="E55" s="9"/>
      <c r="F55" s="9"/>
      <c r="G55" s="9"/>
      <c r="H55" s="9"/>
      <c r="I55" s="9"/>
      <c r="J55" s="9"/>
      <c r="K55" s="9"/>
      <c r="L55" s="9"/>
      <c r="M55" s="9"/>
    </row>
    <row r="56" spans="2:23" x14ac:dyDescent="0.25">
      <c r="E56" s="9"/>
      <c r="F56" s="9"/>
      <c r="G56" s="9"/>
      <c r="H56" s="9"/>
      <c r="I56" s="9"/>
      <c r="J56" s="9"/>
      <c r="K56" s="9"/>
      <c r="L56" s="9"/>
      <c r="M56" s="9"/>
    </row>
    <row r="57" spans="2:23" x14ac:dyDescent="0.25">
      <c r="B57" t="s">
        <v>92</v>
      </c>
      <c r="C57">
        <f>(100/3.6)/C55</f>
        <v>10.36501348789445</v>
      </c>
      <c r="D57" t="s">
        <v>93</v>
      </c>
      <c r="E57" s="9"/>
      <c r="F57" s="9"/>
      <c r="G57" s="27" t="s">
        <v>130</v>
      </c>
      <c r="H57" s="9">
        <f>G13</f>
        <v>1.66</v>
      </c>
      <c r="I57" s="9" t="s">
        <v>5</v>
      </c>
      <c r="J57" s="9"/>
      <c r="K57" s="9"/>
      <c r="L57" s="9"/>
      <c r="M57" s="9"/>
    </row>
    <row r="58" spans="2:23" ht="15.75" thickBot="1" x14ac:dyDescent="0.3">
      <c r="E58" s="9"/>
      <c r="F58" s="9"/>
      <c r="G58" s="9"/>
      <c r="I58" s="9"/>
      <c r="J58" s="9"/>
      <c r="K58" s="9"/>
      <c r="L58" s="9"/>
      <c r="M58" s="9"/>
    </row>
    <row r="59" spans="2:23" ht="15.75" thickBot="1" x14ac:dyDescent="0.3">
      <c r="P59" s="9"/>
      <c r="Q59" s="21" t="s">
        <v>139</v>
      </c>
      <c r="R59" s="21" t="s">
        <v>140</v>
      </c>
      <c r="S59" s="21" t="s">
        <v>89</v>
      </c>
      <c r="T59" s="21" t="s">
        <v>141</v>
      </c>
      <c r="U59" s="21" t="s">
        <v>94</v>
      </c>
      <c r="V59" s="21" t="s">
        <v>95</v>
      </c>
      <c r="W59" s="21" t="s">
        <v>123</v>
      </c>
    </row>
    <row r="60" spans="2:23" ht="18" thickBot="1" x14ac:dyDescent="0.3">
      <c r="B60" t="s">
        <v>125</v>
      </c>
      <c r="F60" t="s">
        <v>126</v>
      </c>
      <c r="P60" s="11" t="s">
        <v>138</v>
      </c>
      <c r="Q60" s="21" t="str">
        <f>D62</f>
        <v>N</v>
      </c>
      <c r="R60" s="21" t="str">
        <f>D62</f>
        <v>N</v>
      </c>
      <c r="S60" s="21" t="s">
        <v>90</v>
      </c>
      <c r="T60" s="21" t="s">
        <v>93</v>
      </c>
      <c r="U60" s="21" t="s">
        <v>66</v>
      </c>
      <c r="V60" s="21" t="s">
        <v>97</v>
      </c>
      <c r="W60" s="21" t="s">
        <v>142</v>
      </c>
    </row>
    <row r="61" spans="2:23" ht="15.75" thickBot="1" x14ac:dyDescent="0.3">
      <c r="P61" s="11" t="s">
        <v>143</v>
      </c>
      <c r="Q61" s="32">
        <v>957.7</v>
      </c>
      <c r="R61" s="33">
        <f>957.7-C15</f>
        <v>-1778.1133053019159</v>
      </c>
      <c r="S61" s="34">
        <v>-0.95</v>
      </c>
      <c r="T61" s="33">
        <v>-29.37</v>
      </c>
      <c r="U61" s="33">
        <v>0</v>
      </c>
      <c r="V61" s="33">
        <v>0</v>
      </c>
      <c r="W61" s="33">
        <v>0</v>
      </c>
    </row>
    <row r="62" spans="2:23" ht="15.75" thickBot="1" x14ac:dyDescent="0.3">
      <c r="B62" t="s">
        <v>88</v>
      </c>
      <c r="C62" s="10">
        <f>E49+K49-C15</f>
        <v>2531.4660461545041</v>
      </c>
      <c r="D62" t="s">
        <v>81</v>
      </c>
      <c r="F62" s="56" t="s">
        <v>88</v>
      </c>
      <c r="G62" s="56"/>
      <c r="H62" s="10">
        <f>SUM(E49,K49,K32,E32)-H72-C15</f>
        <v>2976.0695167748659</v>
      </c>
      <c r="I62" t="s">
        <v>81</v>
      </c>
      <c r="P62" s="11" t="s">
        <v>144</v>
      </c>
      <c r="Q62" s="32">
        <v>1823.9</v>
      </c>
      <c r="R62" s="33">
        <f>1823.9-C15</f>
        <v>-911.9133053019159</v>
      </c>
      <c r="S62" s="34">
        <v>-0.49</v>
      </c>
      <c r="T62" s="33">
        <v>-57.3</v>
      </c>
      <c r="U62" s="33">
        <v>0</v>
      </c>
      <c r="V62" s="33">
        <v>0</v>
      </c>
      <c r="W62" s="33">
        <v>0</v>
      </c>
    </row>
    <row r="63" spans="2:23" ht="15.75" customHeight="1" thickBot="1" x14ac:dyDescent="0.3">
      <c r="B63" t="s">
        <v>89</v>
      </c>
      <c r="C63">
        <f>(C62)/C6</f>
        <v>1.3465244926353745</v>
      </c>
      <c r="D63" t="s">
        <v>90</v>
      </c>
      <c r="F63" s="56" t="s">
        <v>89</v>
      </c>
      <c r="G63" s="56"/>
      <c r="H63">
        <f>(H62)/C6</f>
        <v>1.5830157004121628</v>
      </c>
      <c r="I63" t="s">
        <v>90</v>
      </c>
      <c r="P63" s="11" t="s">
        <v>137</v>
      </c>
      <c r="Q63" s="32">
        <v>5267.27935145642</v>
      </c>
      <c r="R63" s="33">
        <v>2531.5</v>
      </c>
      <c r="S63" s="34">
        <v>1.3465244926353745</v>
      </c>
      <c r="T63" s="33">
        <v>20.62924063372364</v>
      </c>
      <c r="U63" s="33">
        <v>3576.9615232163137</v>
      </c>
      <c r="V63" s="33">
        <v>62.818702734787948</v>
      </c>
      <c r="W63" s="33">
        <v>27.123961120764072</v>
      </c>
    </row>
    <row r="64" spans="2:23" ht="15.75" thickBot="1" x14ac:dyDescent="0.3">
      <c r="B64" t="s">
        <v>92</v>
      </c>
      <c r="C64">
        <f>(100/3.6)/C63</f>
        <v>20.62924063372364</v>
      </c>
      <c r="D64" t="s">
        <v>93</v>
      </c>
      <c r="F64" s="56" t="s">
        <v>92</v>
      </c>
      <c r="G64" s="56"/>
      <c r="H64">
        <f>(100/3.6)/H63</f>
        <v>17.547379833658884</v>
      </c>
      <c r="I64" t="s">
        <v>93</v>
      </c>
      <c r="P64" s="11" t="s">
        <v>126</v>
      </c>
      <c r="Q64" s="32">
        <v>10031.315452773692</v>
      </c>
      <c r="R64" s="33">
        <f>H62</f>
        <v>2976.0695167748659</v>
      </c>
      <c r="S64" s="34">
        <f>H63</f>
        <v>1.5830157004121628</v>
      </c>
      <c r="T64" s="33">
        <f>H64</f>
        <v>17.547379833658884</v>
      </c>
      <c r="U64" s="33">
        <f>H68</f>
        <v>6845.004889865394</v>
      </c>
      <c r="V64" s="33">
        <f>H70</f>
        <v>103.61091121245609</v>
      </c>
      <c r="W64" s="33">
        <f>H81</f>
        <v>51.905407787893893</v>
      </c>
    </row>
    <row r="65" spans="2:23" x14ac:dyDescent="0.25">
      <c r="F65" s="35"/>
      <c r="G65" s="35"/>
    </row>
    <row r="66" spans="2:23" x14ac:dyDescent="0.25">
      <c r="B66" t="s">
        <v>116</v>
      </c>
      <c r="C66" s="10">
        <f>E49-K49</f>
        <v>4309.592196646161</v>
      </c>
      <c r="D66" t="s">
        <v>81</v>
      </c>
      <c r="F66" s="56" t="s">
        <v>116</v>
      </c>
      <c r="G66" s="56"/>
      <c r="H66" s="10">
        <f>E49+E32-K32-K49</f>
        <v>8207.4399159057484</v>
      </c>
      <c r="I66" t="s">
        <v>81</v>
      </c>
    </row>
    <row r="67" spans="2:23" x14ac:dyDescent="0.25">
      <c r="B67" t="s">
        <v>117</v>
      </c>
      <c r="C67">
        <f>H57</f>
        <v>1.66</v>
      </c>
      <c r="D67" t="s">
        <v>5</v>
      </c>
      <c r="F67" s="56" t="s">
        <v>115</v>
      </c>
      <c r="G67" s="56"/>
      <c r="H67">
        <f>AVERAGE(H57,H24)</f>
        <v>1.6679999999999999</v>
      </c>
      <c r="I67" t="s">
        <v>5</v>
      </c>
    </row>
    <row r="68" spans="2:23" x14ac:dyDescent="0.25">
      <c r="B68" t="s">
        <v>94</v>
      </c>
      <c r="C68">
        <f>C66*(C67/2)</f>
        <v>3576.9615232163137</v>
      </c>
      <c r="D68" t="s">
        <v>66</v>
      </c>
      <c r="F68" s="56" t="s">
        <v>94</v>
      </c>
      <c r="G68" s="56"/>
      <c r="H68">
        <f>H66*(H67/2)</f>
        <v>6845.004889865394</v>
      </c>
      <c r="I68" t="s">
        <v>66</v>
      </c>
    </row>
    <row r="69" spans="2:23" ht="17.25" x14ac:dyDescent="0.25">
      <c r="B69" t="s">
        <v>95</v>
      </c>
      <c r="C69">
        <f>C68/'Lumped Mass Model'!$C$9</f>
        <v>0.94498163098523458</v>
      </c>
      <c r="D69" t="s">
        <v>96</v>
      </c>
      <c r="F69" s="56" t="s">
        <v>95</v>
      </c>
      <c r="G69" s="56"/>
      <c r="H69">
        <f>H68/'Lumped Mass Model'!$C$9</f>
        <v>1.8083515416488687</v>
      </c>
      <c r="I69" t="s">
        <v>96</v>
      </c>
      <c r="Q69">
        <v>5267.27935145642</v>
      </c>
      <c r="R69">
        <v>5267.27935145642</v>
      </c>
      <c r="S69">
        <v>1.3465244926353745</v>
      </c>
      <c r="T69">
        <v>20.62924063372364</v>
      </c>
      <c r="U69">
        <v>3576.9615232163137</v>
      </c>
      <c r="V69">
        <v>62.818702734787948</v>
      </c>
      <c r="W69">
        <v>27.123961120764072</v>
      </c>
    </row>
    <row r="70" spans="2:23" ht="17.25" x14ac:dyDescent="0.25">
      <c r="B70" t="str">
        <f>B69</f>
        <v>Yaw Acceleration</v>
      </c>
      <c r="C70">
        <f>C69*360/(2*PI())</f>
        <v>54.143459172842924</v>
      </c>
      <c r="D70" t="s">
        <v>97</v>
      </c>
      <c r="F70" s="56" t="str">
        <f>F69</f>
        <v>Yaw Acceleration</v>
      </c>
      <c r="G70" s="56"/>
      <c r="H70">
        <f>H69*360/(2*PI())</f>
        <v>103.61091121245609</v>
      </c>
      <c r="I70" t="s">
        <v>97</v>
      </c>
    </row>
    <row r="71" spans="2:23" x14ac:dyDescent="0.25">
      <c r="F71" s="35"/>
      <c r="G71" s="35"/>
      <c r="H71" t="s">
        <v>23</v>
      </c>
    </row>
    <row r="72" spans="2:23" x14ac:dyDescent="0.25">
      <c r="B72" t="s">
        <v>118</v>
      </c>
      <c r="C72">
        <f>C68/'Lumped Mass Model'!C17</f>
        <v>2257.1852863105405</v>
      </c>
      <c r="D72" t="s">
        <v>81</v>
      </c>
      <c r="F72" s="56" t="s">
        <v>118</v>
      </c>
      <c r="G72" s="56"/>
      <c r="H72">
        <f>H68/'Lumped Mass Model'!C17</f>
        <v>4319.4326306969097</v>
      </c>
      <c r="I72" t="s">
        <v>81</v>
      </c>
    </row>
    <row r="73" spans="2:23" x14ac:dyDescent="0.25">
      <c r="B73" t="s">
        <v>121</v>
      </c>
      <c r="F73" s="56" t="s">
        <v>121</v>
      </c>
      <c r="G73" s="56"/>
    </row>
    <row r="74" spans="2:23" x14ac:dyDescent="0.25">
      <c r="B74" t="s">
        <v>119</v>
      </c>
      <c r="C74">
        <v>870</v>
      </c>
      <c r="D74" t="s">
        <v>120</v>
      </c>
      <c r="F74" s="56" t="s">
        <v>119</v>
      </c>
      <c r="G74" s="56"/>
      <c r="H74">
        <v>870</v>
      </c>
      <c r="I74" t="s">
        <v>120</v>
      </c>
    </row>
    <row r="75" spans="2:23" x14ac:dyDescent="0.25">
      <c r="B75" t="s">
        <v>122</v>
      </c>
      <c r="F75" s="56" t="s">
        <v>122</v>
      </c>
      <c r="G75" s="56"/>
    </row>
    <row r="76" spans="2:23" x14ac:dyDescent="0.25">
      <c r="B76" t="s">
        <v>119</v>
      </c>
      <c r="C76">
        <f>870*G9</f>
        <v>87</v>
      </c>
      <c r="D76" t="s">
        <v>120</v>
      </c>
      <c r="F76" s="56" t="s">
        <v>119</v>
      </c>
      <c r="G76" s="56"/>
      <c r="H76">
        <f>870*G9</f>
        <v>87</v>
      </c>
      <c r="I76" t="s">
        <v>120</v>
      </c>
    </row>
    <row r="77" spans="2:23" x14ac:dyDescent="0.25">
      <c r="B77" t="s">
        <v>108</v>
      </c>
      <c r="F77" s="56" t="s">
        <v>108</v>
      </c>
      <c r="G77" s="56"/>
    </row>
    <row r="78" spans="2:23" x14ac:dyDescent="0.25">
      <c r="B78" t="s">
        <v>119</v>
      </c>
      <c r="C78">
        <f>C74+C76</f>
        <v>957</v>
      </c>
      <c r="D78" t="s">
        <v>120</v>
      </c>
      <c r="F78" s="56" t="s">
        <v>119</v>
      </c>
      <c r="G78" s="56"/>
      <c r="H78">
        <f>SUM(H76,H74)</f>
        <v>957</v>
      </c>
      <c r="I78" t="s">
        <v>120</v>
      </c>
    </row>
    <row r="79" spans="2:23" x14ac:dyDescent="0.25">
      <c r="D79" t="s">
        <v>23</v>
      </c>
      <c r="F79" s="35"/>
      <c r="G79" s="35"/>
      <c r="I79" t="s">
        <v>23</v>
      </c>
    </row>
    <row r="80" spans="2:23" x14ac:dyDescent="0.25">
      <c r="B80" t="s">
        <v>124</v>
      </c>
      <c r="C80">
        <f>C72/C78</f>
        <v>2.3586053148490498</v>
      </c>
      <c r="D80" t="s">
        <v>80</v>
      </c>
      <c r="F80" s="56" t="s">
        <v>124</v>
      </c>
      <c r="G80" s="56"/>
      <c r="H80">
        <f>H72/H78</f>
        <v>4.5135137206864258</v>
      </c>
      <c r="I80" t="s">
        <v>80</v>
      </c>
    </row>
    <row r="81" spans="2:37" x14ac:dyDescent="0.25">
      <c r="B81" t="s">
        <v>123</v>
      </c>
      <c r="C81">
        <f>C80*'Input and Reseach'!C8</f>
        <v>27.123961120764072</v>
      </c>
      <c r="D81" t="s">
        <v>80</v>
      </c>
      <c r="F81" s="56" t="s">
        <v>123</v>
      </c>
      <c r="G81" s="56"/>
      <c r="H81">
        <f>H80*'Input and Reseach'!C8</f>
        <v>51.905407787893893</v>
      </c>
      <c r="I81" t="s">
        <v>80</v>
      </c>
    </row>
    <row r="82" spans="2:37" x14ac:dyDescent="0.25">
      <c r="B82" t="s">
        <v>136</v>
      </c>
      <c r="C82">
        <f>C81/360</f>
        <v>7.5344336446566865E-2</v>
      </c>
      <c r="F82" s="56" t="s">
        <v>136</v>
      </c>
      <c r="G82" s="56"/>
      <c r="H82">
        <f>H81/360</f>
        <v>0.14418168829970526</v>
      </c>
    </row>
    <row r="84" spans="2:37" x14ac:dyDescent="0.25">
      <c r="AG84" s="28"/>
      <c r="AH84" s="28"/>
      <c r="AI84" s="28"/>
    </row>
    <row r="85" spans="2:37" x14ac:dyDescent="0.25">
      <c r="T85" s="28"/>
      <c r="U85" s="28"/>
      <c r="V85" s="28"/>
      <c r="W85" s="28"/>
      <c r="X85" s="28"/>
      <c r="Y85" s="28"/>
      <c r="Z85" s="28"/>
      <c r="AF85" s="28"/>
      <c r="AG85" s="28"/>
      <c r="AH85" s="28"/>
      <c r="AI85" s="28"/>
      <c r="AJ85" s="28"/>
    </row>
    <row r="86" spans="2:37" x14ac:dyDescent="0.25">
      <c r="T86" s="28"/>
      <c r="U86" s="28"/>
      <c r="V86" s="28"/>
      <c r="W86" s="28"/>
      <c r="X86" s="28"/>
      <c r="Y86" s="28"/>
      <c r="Z86" s="28"/>
      <c r="AE86" s="28"/>
      <c r="AF86" s="28"/>
      <c r="AG86" s="28"/>
      <c r="AH86" s="28"/>
      <c r="AI86" s="28"/>
      <c r="AJ86" s="28"/>
      <c r="AK86" s="28"/>
    </row>
    <row r="87" spans="2:37" x14ac:dyDescent="0.25">
      <c r="T87" s="28"/>
      <c r="U87" s="28"/>
      <c r="V87" s="28"/>
      <c r="W87" s="28"/>
      <c r="X87" s="28"/>
      <c r="Y87" s="28"/>
      <c r="Z87" s="28"/>
      <c r="AE87" s="28"/>
      <c r="AF87" s="28"/>
      <c r="AG87" s="28"/>
      <c r="AH87" s="28"/>
      <c r="AI87" s="28"/>
      <c r="AJ87" s="28"/>
      <c r="AK87" s="28"/>
    </row>
    <row r="88" spans="2:37" x14ac:dyDescent="0.25">
      <c r="T88" s="28"/>
      <c r="U88" s="28"/>
      <c r="V88" s="28"/>
      <c r="W88" s="28"/>
      <c r="X88" s="28"/>
      <c r="Y88" s="28"/>
      <c r="Z88" s="28"/>
      <c r="AE88" s="28"/>
      <c r="AF88" s="28"/>
      <c r="AG88" s="28"/>
      <c r="AH88" s="28"/>
      <c r="AI88" s="28"/>
      <c r="AJ88" s="28"/>
      <c r="AK88" s="28"/>
    </row>
    <row r="89" spans="2:37" x14ac:dyDescent="0.25">
      <c r="O89" s="31"/>
      <c r="T89" s="28"/>
      <c r="U89" s="28"/>
      <c r="V89" s="28"/>
      <c r="W89" s="28"/>
      <c r="X89" s="28"/>
      <c r="Y89" s="28"/>
      <c r="Z89" s="28"/>
      <c r="AE89" s="28"/>
      <c r="AF89" s="28"/>
      <c r="AG89" s="28"/>
      <c r="AH89" s="28"/>
      <c r="AI89" s="28"/>
      <c r="AJ89" s="28"/>
      <c r="AK89" s="28"/>
    </row>
    <row r="90" spans="2:37" x14ac:dyDescent="0.25">
      <c r="T90" s="28"/>
      <c r="U90" s="28"/>
      <c r="V90" s="28"/>
      <c r="W90" s="28"/>
      <c r="X90" s="28"/>
      <c r="Y90" s="28"/>
      <c r="Z90" s="28"/>
      <c r="AE90" s="28"/>
      <c r="AF90" s="28"/>
      <c r="AG90" s="28"/>
      <c r="AH90" s="28"/>
      <c r="AI90" s="28"/>
      <c r="AJ90" s="28"/>
      <c r="AK90" s="28"/>
    </row>
    <row r="91" spans="2:37" x14ac:dyDescent="0.25">
      <c r="T91" s="28"/>
      <c r="U91" s="28"/>
      <c r="V91" s="28"/>
      <c r="W91" s="28"/>
      <c r="X91" s="28"/>
      <c r="Y91" s="28"/>
      <c r="Z91" s="28"/>
      <c r="AE91" s="28"/>
      <c r="AF91" s="28"/>
      <c r="AG91" s="28"/>
      <c r="AH91" s="28"/>
      <c r="AI91" s="28"/>
      <c r="AJ91" s="28"/>
      <c r="AK91" s="28"/>
    </row>
    <row r="92" spans="2:37" x14ac:dyDescent="0.25">
      <c r="T92" s="28"/>
      <c r="U92" s="28"/>
      <c r="V92" s="28"/>
      <c r="W92" s="28"/>
      <c r="X92" s="28"/>
      <c r="Y92" s="28"/>
      <c r="Z92" s="28"/>
      <c r="AA92" s="28"/>
      <c r="AE92" s="28"/>
      <c r="AF92" s="28"/>
      <c r="AG92" s="28"/>
      <c r="AH92" s="28"/>
      <c r="AI92" s="28"/>
      <c r="AJ92" s="28"/>
      <c r="AK92" s="28"/>
    </row>
    <row r="93" spans="2:37" x14ac:dyDescent="0.25">
      <c r="T93" s="28"/>
      <c r="U93" s="28"/>
      <c r="V93" s="28"/>
      <c r="W93" s="28"/>
      <c r="X93" s="28"/>
      <c r="Y93" s="28"/>
      <c r="Z93" s="28"/>
      <c r="AA93" s="28"/>
      <c r="AE93" s="28"/>
      <c r="AF93" s="28"/>
      <c r="AG93" s="28"/>
      <c r="AH93" s="28"/>
      <c r="AI93" s="28"/>
      <c r="AJ93" s="28"/>
      <c r="AK93" s="28"/>
    </row>
    <row r="94" spans="2:37" x14ac:dyDescent="0.25">
      <c r="T94" s="28"/>
      <c r="U94" s="28"/>
      <c r="V94" s="28"/>
      <c r="W94" s="28"/>
      <c r="X94" s="28"/>
      <c r="Y94" s="28"/>
      <c r="Z94" s="28"/>
      <c r="AA94" s="28"/>
      <c r="AE94" s="28"/>
      <c r="AF94" s="28"/>
      <c r="AG94" s="28"/>
      <c r="AH94" s="28"/>
      <c r="AI94" s="28"/>
      <c r="AJ94" s="28"/>
      <c r="AK94" s="28"/>
    </row>
    <row r="95" spans="2:37" x14ac:dyDescent="0.25">
      <c r="U95" s="30"/>
      <c r="V95" s="30"/>
      <c r="W95" s="30"/>
      <c r="X95" s="30"/>
      <c r="Y95" s="30"/>
      <c r="Z95" s="30"/>
      <c r="AE95" s="30"/>
      <c r="AF95" s="30"/>
      <c r="AG95" s="30"/>
      <c r="AH95" s="30"/>
      <c r="AI95" s="30"/>
      <c r="AJ95" s="30"/>
      <c r="AK95" s="30"/>
    </row>
    <row r="96" spans="2:37" x14ac:dyDescent="0.25">
      <c r="U96" s="30"/>
      <c r="V96" s="30"/>
      <c r="W96" s="30"/>
      <c r="X96" s="30"/>
      <c r="Y96" s="30"/>
      <c r="Z96" s="30"/>
      <c r="AE96" s="30"/>
      <c r="AF96" s="30"/>
      <c r="AG96" s="30"/>
      <c r="AH96" s="30"/>
      <c r="AI96" s="30"/>
      <c r="AJ96" s="30"/>
      <c r="AK96" s="30"/>
    </row>
    <row r="97" spans="21:37" x14ac:dyDescent="0.25">
      <c r="U97" s="30"/>
      <c r="V97" s="30"/>
      <c r="W97" s="30"/>
      <c r="X97" s="30"/>
      <c r="Y97" s="30"/>
      <c r="Z97" s="30"/>
      <c r="AE97" s="30"/>
      <c r="AF97" s="30"/>
      <c r="AG97" s="30"/>
      <c r="AH97" s="30"/>
      <c r="AI97" s="30"/>
      <c r="AJ97" s="30"/>
      <c r="AK97" s="30"/>
    </row>
    <row r="98" spans="21:37" x14ac:dyDescent="0.25">
      <c r="U98" s="30"/>
      <c r="V98" s="30"/>
      <c r="W98" s="30"/>
      <c r="X98" s="30"/>
      <c r="Y98" s="30"/>
      <c r="Z98" s="30"/>
      <c r="AE98" s="30"/>
      <c r="AF98" s="30"/>
      <c r="AG98" s="30"/>
      <c r="AH98" s="30"/>
      <c r="AI98" s="30"/>
      <c r="AJ98" s="30"/>
      <c r="AK98" s="30"/>
    </row>
    <row r="99" spans="21:37" x14ac:dyDescent="0.25">
      <c r="U99" s="30"/>
      <c r="V99" s="30"/>
      <c r="W99" s="30"/>
      <c r="X99" s="30"/>
      <c r="Y99" s="30"/>
      <c r="Z99" s="30"/>
      <c r="AE99" s="30"/>
      <c r="AF99" s="30"/>
      <c r="AG99" s="30"/>
      <c r="AH99" s="30"/>
      <c r="AI99" s="30"/>
      <c r="AJ99" s="30"/>
      <c r="AK99" s="30"/>
    </row>
    <row r="100" spans="21:37" x14ac:dyDescent="0.25">
      <c r="U100" s="30"/>
      <c r="V100" s="30"/>
      <c r="W100" s="30"/>
      <c r="X100" s="30"/>
      <c r="Y100" s="30"/>
      <c r="Z100" s="30"/>
      <c r="AE100" s="30"/>
      <c r="AF100" s="30"/>
      <c r="AG100" s="30"/>
      <c r="AH100" s="30"/>
      <c r="AI100" s="30"/>
      <c r="AJ100" s="30"/>
      <c r="AK100" s="29"/>
    </row>
    <row r="101" spans="21:37" x14ac:dyDescent="0.25">
      <c r="U101" s="28"/>
      <c r="V101" s="28"/>
      <c r="W101" s="28"/>
      <c r="X101" s="28"/>
      <c r="Y101" s="28"/>
      <c r="Z101" s="28"/>
      <c r="AF101" s="28"/>
      <c r="AG101" s="28"/>
      <c r="AH101" s="28"/>
      <c r="AI101" s="28"/>
      <c r="AJ101" s="28"/>
    </row>
    <row r="102" spans="21:37" x14ac:dyDescent="0.25">
      <c r="V102" s="28"/>
      <c r="W102" s="28"/>
      <c r="X102" s="28"/>
      <c r="Y102" s="28"/>
      <c r="AF102" s="28"/>
      <c r="AG102" s="28"/>
      <c r="AH102" s="28"/>
      <c r="AI102" s="28"/>
      <c r="AJ102" s="28"/>
    </row>
    <row r="103" spans="21:37" x14ac:dyDescent="0.25">
      <c r="AF103" s="28"/>
      <c r="AG103" s="28"/>
      <c r="AH103" s="28"/>
      <c r="AI103" s="28"/>
      <c r="AJ103" s="28"/>
    </row>
  </sheetData>
  <mergeCells count="19">
    <mergeCell ref="F82:G82"/>
    <mergeCell ref="F73:G73"/>
    <mergeCell ref="F74:G74"/>
    <mergeCell ref="F75:G75"/>
    <mergeCell ref="F76:G76"/>
    <mergeCell ref="F77:G77"/>
    <mergeCell ref="F78:G78"/>
    <mergeCell ref="K41:L41"/>
    <mergeCell ref="F62:G62"/>
    <mergeCell ref="F63:G63"/>
    <mergeCell ref="F64:G64"/>
    <mergeCell ref="F66:G66"/>
    <mergeCell ref="F72:G72"/>
    <mergeCell ref="F80:G80"/>
    <mergeCell ref="F81:G81"/>
    <mergeCell ref="F67:G67"/>
    <mergeCell ref="F68:G68"/>
    <mergeCell ref="F69:G69"/>
    <mergeCell ref="F70:G70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9F986-0F59-4463-A539-046366DFF55E}">
  <dimension ref="B6:K25"/>
  <sheetViews>
    <sheetView tabSelected="1" topLeftCell="A5" zoomScale="175" zoomScaleNormal="175" workbookViewId="0">
      <selection activeCell="E27" sqref="E27"/>
    </sheetView>
  </sheetViews>
  <sheetFormatPr defaultRowHeight="15" x14ac:dyDescent="0.25"/>
  <cols>
    <col min="3" max="3" width="21.5703125" bestFit="1" customWidth="1"/>
    <col min="4" max="4" width="5.5703125" bestFit="1" customWidth="1"/>
    <col min="5" max="5" width="9.42578125" customWidth="1"/>
    <col min="11" max="11" width="10.85546875" customWidth="1"/>
  </cols>
  <sheetData>
    <row r="6" spans="2:11" x14ac:dyDescent="0.25">
      <c r="C6" s="13" t="s">
        <v>213</v>
      </c>
      <c r="D6" s="39" t="s">
        <v>138</v>
      </c>
      <c r="E6" s="13"/>
      <c r="F6" s="9"/>
      <c r="G6" s="9"/>
      <c r="H6" s="9"/>
      <c r="I6" s="9"/>
      <c r="J6" s="9" t="s">
        <v>193</v>
      </c>
      <c r="K6" s="9"/>
    </row>
    <row r="7" spans="2:11" x14ac:dyDescent="0.25">
      <c r="B7" s="58" t="s">
        <v>195</v>
      </c>
      <c r="C7" s="13" t="s">
        <v>185</v>
      </c>
      <c r="D7" s="13" t="s">
        <v>66</v>
      </c>
      <c r="E7" s="12">
        <f>'Torque &amp; Clutch'!C25</f>
        <v>1875.0314581200005</v>
      </c>
      <c r="F7" s="9"/>
      <c r="G7" s="9"/>
      <c r="H7" s="9"/>
      <c r="I7" s="9"/>
      <c r="J7" s="9" t="s">
        <v>194</v>
      </c>
      <c r="K7" s="9"/>
    </row>
    <row r="8" spans="2:11" x14ac:dyDescent="0.25">
      <c r="B8" s="58"/>
      <c r="C8" s="13" t="s">
        <v>184</v>
      </c>
      <c r="D8" s="13" t="s">
        <v>81</v>
      </c>
      <c r="E8" s="12">
        <f>E7/'Input and Reseach'!C20*0.5</f>
        <v>2759.4240684908605</v>
      </c>
      <c r="F8" s="9"/>
      <c r="G8" s="9"/>
      <c r="H8" s="9"/>
      <c r="I8" s="9"/>
      <c r="J8" s="9" t="s">
        <v>192</v>
      </c>
      <c r="K8" s="9"/>
    </row>
    <row r="9" spans="2:11" x14ac:dyDescent="0.25">
      <c r="B9" s="58"/>
      <c r="C9" s="13" t="s">
        <v>186</v>
      </c>
      <c r="D9" s="13" t="s">
        <v>66</v>
      </c>
      <c r="E9" s="12">
        <f>'Torque &amp; Clutch'!C4*'Input and Reseach'!F32*'Input and Reseach'!F39</f>
        <v>10171.235999999999</v>
      </c>
      <c r="F9" s="9"/>
      <c r="G9" s="9"/>
      <c r="H9" s="9"/>
      <c r="I9" s="9"/>
      <c r="J9" s="9" t="s">
        <v>175</v>
      </c>
      <c r="K9" s="9"/>
    </row>
    <row r="10" spans="2:11" x14ac:dyDescent="0.25">
      <c r="B10" s="58"/>
      <c r="C10" s="13" t="s">
        <v>187</v>
      </c>
      <c r="D10" s="13" t="s">
        <v>81</v>
      </c>
      <c r="E10" s="12">
        <f>E9/'Input and Reseach'!F20*0.5</f>
        <v>14235.439519614443</v>
      </c>
      <c r="F10" s="9"/>
      <c r="G10" s="9"/>
      <c r="H10" s="9"/>
      <c r="I10" s="9"/>
      <c r="J10" s="9" t="s">
        <v>176</v>
      </c>
      <c r="K10" s="9"/>
    </row>
    <row r="11" spans="2:11" ht="17.25" x14ac:dyDescent="0.25">
      <c r="C11" s="13" t="s">
        <v>177</v>
      </c>
      <c r="D11" s="13" t="s">
        <v>90</v>
      </c>
      <c r="E11" s="12">
        <f>(2*E10)/'Input and Reseach'!$C$2</f>
        <v>15.144084595334514</v>
      </c>
      <c r="F11" s="9"/>
      <c r="G11" s="9"/>
      <c r="H11" s="9"/>
      <c r="I11" s="9"/>
      <c r="J11" s="9" t="s">
        <v>179</v>
      </c>
      <c r="K11" s="9"/>
    </row>
    <row r="12" spans="2:11" ht="17.25" x14ac:dyDescent="0.25">
      <c r="C12" s="13" t="s">
        <v>178</v>
      </c>
      <c r="D12" s="13" t="s">
        <v>90</v>
      </c>
      <c r="E12" s="12">
        <f>(2*E10+2*E8)/'Input and Reseach'!$C$2</f>
        <v>18.079642115005644</v>
      </c>
      <c r="F12" s="9"/>
      <c r="G12" s="9"/>
      <c r="H12" s="9"/>
      <c r="I12" s="9"/>
      <c r="J12" s="9"/>
      <c r="K12" s="9"/>
    </row>
    <row r="13" spans="2:11" x14ac:dyDescent="0.25">
      <c r="C13" s="9"/>
      <c r="D13" s="9"/>
      <c r="E13" s="9"/>
      <c r="F13" s="9"/>
      <c r="G13" s="9"/>
      <c r="H13" s="9"/>
      <c r="I13" s="9"/>
      <c r="J13" s="9"/>
      <c r="K13" s="9"/>
    </row>
    <row r="14" spans="2:11" x14ac:dyDescent="0.25">
      <c r="C14" s="39" t="s">
        <v>214</v>
      </c>
      <c r="D14" s="13" t="s">
        <v>109</v>
      </c>
      <c r="E14" s="13">
        <v>1</v>
      </c>
      <c r="F14" s="13">
        <v>0.7</v>
      </c>
      <c r="G14" s="13">
        <v>0.5</v>
      </c>
      <c r="H14" s="13">
        <v>0.1</v>
      </c>
      <c r="I14" s="9"/>
      <c r="J14" s="9"/>
      <c r="K14" s="9"/>
    </row>
    <row r="15" spans="2:11" x14ac:dyDescent="0.25">
      <c r="C15" s="39" t="s">
        <v>180</v>
      </c>
      <c r="D15" s="39" t="s">
        <v>81</v>
      </c>
      <c r="E15" s="12">
        <f>'Input and Reseach'!$C$2*('Input and Reseach'!$C$13/100)*9.81*E14*0.5</f>
        <v>4334.058</v>
      </c>
      <c r="F15" s="12">
        <f>'Input and Reseach'!$C$2*('Input and Reseach'!$C$13/100)*9.81*F14*0.5</f>
        <v>3033.8406</v>
      </c>
      <c r="G15" s="12">
        <f>'Input and Reseach'!$C$2*('Input and Reseach'!$C$13/100)*9.81*G14*0.5</f>
        <v>2167.029</v>
      </c>
      <c r="H15" s="12">
        <f>'Input and Reseach'!$C$2*('Input and Reseach'!$C$13/100)*9.81*H14*0.5</f>
        <v>433.4058</v>
      </c>
      <c r="I15" s="9"/>
      <c r="J15" s="9"/>
      <c r="K15" s="9"/>
    </row>
    <row r="16" spans="2:11" x14ac:dyDescent="0.25">
      <c r="C16" s="39" t="s">
        <v>181</v>
      </c>
      <c r="D16" s="13" t="s">
        <v>81</v>
      </c>
      <c r="E16" s="12">
        <f>'Input and Reseach'!$C$2*('Input and Reseach'!$F$13/100)*9.81*E14*0.5</f>
        <v>4887.3420000000006</v>
      </c>
      <c r="F16" s="12">
        <f>'Input and Reseach'!$C$2*('Input and Reseach'!$F$13/100)*9.81*F14*0.5</f>
        <v>3421.1394</v>
      </c>
      <c r="G16" s="12">
        <f>'Input and Reseach'!$C$2*('Input and Reseach'!$F$13/100)*9.81*G14*0.5</f>
        <v>2443.6710000000003</v>
      </c>
      <c r="H16" s="12">
        <f>'Input and Reseach'!$C$2*('Input and Reseach'!$F$13/100)*9.81*H14*0.5</f>
        <v>488.7342000000001</v>
      </c>
      <c r="I16" s="9"/>
      <c r="J16" s="9"/>
      <c r="K16" s="9"/>
    </row>
    <row r="17" spans="3:11" ht="17.25" x14ac:dyDescent="0.25">
      <c r="C17" s="39" t="s">
        <v>182</v>
      </c>
      <c r="D17" s="13" t="s">
        <v>90</v>
      </c>
      <c r="E17" s="12">
        <f>(2*E16)/'Input and Reseach'!$C$2</f>
        <v>5.1993000000000009</v>
      </c>
      <c r="F17" s="12">
        <f>(2*F16)/'Input and Reseach'!$C$2</f>
        <v>3.63951</v>
      </c>
      <c r="G17" s="12">
        <f>(2*G16)/'Input and Reseach'!$C$2</f>
        <v>2.5996500000000005</v>
      </c>
      <c r="H17" s="12">
        <f>(2*H16)/'Input and Reseach'!$C$2</f>
        <v>0.51993000000000011</v>
      </c>
      <c r="I17" s="9"/>
      <c r="J17" s="9"/>
      <c r="K17" s="9"/>
    </row>
    <row r="18" spans="3:11" ht="17.25" x14ac:dyDescent="0.25">
      <c r="C18" s="39" t="s">
        <v>183</v>
      </c>
      <c r="D18" s="13" t="s">
        <v>90</v>
      </c>
      <c r="E18" s="12">
        <f>(2*E16+2*E15)/'Input and Reseach'!$C$2</f>
        <v>9.8100000000000023</v>
      </c>
      <c r="F18" s="12">
        <f>(2*F16+2*F15)/'Input and Reseach'!$C$2</f>
        <v>6.8669999999999991</v>
      </c>
      <c r="G18" s="12">
        <f>(2*G16+2*G15)/'Input and Reseach'!$C$2</f>
        <v>4.9050000000000011</v>
      </c>
      <c r="H18" s="12">
        <f>(2*H16+2*H15)/'Input and Reseach'!$C$2</f>
        <v>0.98100000000000009</v>
      </c>
      <c r="I18" s="9"/>
      <c r="J18" s="9"/>
      <c r="K18" s="9"/>
    </row>
    <row r="19" spans="3:11" x14ac:dyDescent="0.25">
      <c r="C19" s="9"/>
      <c r="D19" s="9"/>
      <c r="E19" s="9"/>
      <c r="F19" s="9"/>
      <c r="G19" s="9"/>
      <c r="H19" s="9"/>
      <c r="I19" s="9"/>
      <c r="J19" s="9"/>
      <c r="K19" s="9"/>
    </row>
    <row r="20" spans="3:11" x14ac:dyDescent="0.25">
      <c r="C20" s="13" t="s">
        <v>188</v>
      </c>
      <c r="D20" s="13" t="s">
        <v>81</v>
      </c>
      <c r="E20" s="12">
        <f>IF(E15&lt;$E$8,E15,$E$8)</f>
        <v>2759.4240684908605</v>
      </c>
      <c r="F20" s="12">
        <f>IF(F15&lt;$E$8,F15,$E$8)</f>
        <v>2759.4240684908605</v>
      </c>
      <c r="G20" s="12">
        <f>IF(G15&lt;$E$8,G15,$E$8)</f>
        <v>2167.029</v>
      </c>
      <c r="H20" s="12">
        <f>IF(H15&lt;$E$8,H15,$E$8)</f>
        <v>433.4058</v>
      </c>
      <c r="I20" s="9"/>
      <c r="J20" s="9"/>
      <c r="K20" s="9"/>
    </row>
    <row r="21" spans="3:11" x14ac:dyDescent="0.25">
      <c r="C21" s="13" t="s">
        <v>189</v>
      </c>
      <c r="D21" s="13" t="s">
        <v>81</v>
      </c>
      <c r="E21" s="12">
        <f>IF(E16&lt;$E$10,E16,$E$10)</f>
        <v>4887.3420000000006</v>
      </c>
      <c r="F21" s="12">
        <f>IF(F16&lt;$E$10,F16,$E$10)</f>
        <v>3421.1394</v>
      </c>
      <c r="G21" s="12">
        <f>IF(G16&lt;$E$10,G16,$E$10)</f>
        <v>2443.6710000000003</v>
      </c>
      <c r="H21" s="12">
        <f>IF(H16&lt;$E$10,H16,$E$10)</f>
        <v>488.7342000000001</v>
      </c>
      <c r="I21" s="9"/>
      <c r="J21" s="9"/>
      <c r="K21" s="9"/>
    </row>
    <row r="22" spans="3:11" ht="17.25" x14ac:dyDescent="0.25">
      <c r="C22" s="39" t="s">
        <v>177</v>
      </c>
      <c r="D22" s="13" t="s">
        <v>90</v>
      </c>
      <c r="E22" s="12">
        <f>(2*E21)/'Input and Reseach'!$C$2</f>
        <v>5.1993000000000009</v>
      </c>
      <c r="F22" s="12">
        <f>(2*F21)/'Input and Reseach'!$C$2</f>
        <v>3.63951</v>
      </c>
      <c r="G22" s="12">
        <f>(2*G21)/'Input and Reseach'!$C$2</f>
        <v>2.5996500000000005</v>
      </c>
      <c r="H22" s="12">
        <f>(2*H21)/'Input and Reseach'!$C$2</f>
        <v>0.51993000000000011</v>
      </c>
      <c r="I22" s="9"/>
      <c r="J22" s="9"/>
      <c r="K22" s="9"/>
    </row>
    <row r="23" spans="3:11" ht="17.25" x14ac:dyDescent="0.25">
      <c r="C23" s="39" t="s">
        <v>178</v>
      </c>
      <c r="D23" s="13" t="s">
        <v>90</v>
      </c>
      <c r="E23" s="12">
        <f>(2*E21+2*E20)/'Input and Reseach'!$C$2</f>
        <v>8.1348575196711277</v>
      </c>
      <c r="F23" s="12">
        <f>(2*F21+2*F20)/'Input and Reseach'!$C$2</f>
        <v>6.5750675196711281</v>
      </c>
      <c r="G23" s="12">
        <f>(2*G21+2*G20)/'Input and Reseach'!$C$2</f>
        <v>4.9050000000000011</v>
      </c>
      <c r="H23" s="12">
        <f>(2*H21+2*H20)/'Input and Reseach'!$C$2</f>
        <v>0.98100000000000009</v>
      </c>
      <c r="I23" s="9"/>
      <c r="J23" s="9"/>
      <c r="K23" s="9"/>
    </row>
    <row r="24" spans="3:11" ht="15" customHeight="1" x14ac:dyDescent="0.25">
      <c r="C24" s="39" t="s">
        <v>190</v>
      </c>
      <c r="D24" s="13" t="s">
        <v>93</v>
      </c>
      <c r="E24" s="12">
        <f>100/3.6/E22</f>
        <v>5.3425995379719913</v>
      </c>
      <c r="F24" s="12">
        <f t="shared" ref="F24:H25" si="0">100/3.6/F22</f>
        <v>7.6322850542457026</v>
      </c>
      <c r="G24" s="12">
        <f t="shared" si="0"/>
        <v>10.685199075943983</v>
      </c>
      <c r="H24" s="12">
        <f t="shared" si="0"/>
        <v>53.425995379719907</v>
      </c>
      <c r="I24" s="9"/>
      <c r="K24" s="9"/>
    </row>
    <row r="25" spans="3:11" x14ac:dyDescent="0.25">
      <c r="C25" s="39" t="s">
        <v>191</v>
      </c>
      <c r="D25" s="13" t="s">
        <v>93</v>
      </c>
      <c r="E25" s="12">
        <f>100/3.6/E23</f>
        <v>3.4146606391823768</v>
      </c>
      <c r="F25" s="12">
        <f t="shared" si="0"/>
        <v>4.2247136922431432</v>
      </c>
      <c r="G25" s="12">
        <f t="shared" si="0"/>
        <v>5.6631555102503102</v>
      </c>
      <c r="H25" s="12">
        <f t="shared" si="0"/>
        <v>28.315777551251557</v>
      </c>
      <c r="I25" s="9"/>
      <c r="J25" s="9"/>
      <c r="K25" s="9"/>
    </row>
  </sheetData>
  <mergeCells count="1">
    <mergeCell ref="B7:B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Input and Reseach</vt:lpstr>
      <vt:lpstr>Lumped Mass Model</vt:lpstr>
      <vt:lpstr>Torque &amp; Clutch</vt:lpstr>
      <vt:lpstr>Split Mu</vt:lpstr>
      <vt:lpstr>Surface Acceleration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Wilcox</dc:creator>
  <cp:lastModifiedBy>Daniel Wilcox</cp:lastModifiedBy>
  <dcterms:created xsi:type="dcterms:W3CDTF">2021-03-22T11:44:58Z</dcterms:created>
  <dcterms:modified xsi:type="dcterms:W3CDTF">2021-05-09T08:29:20Z</dcterms:modified>
</cp:coreProperties>
</file>