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8800" windowHeight="12450" activeTab="6"/>
  </bookViews>
  <sheets>
    <sheet name="Payback" sheetId="1" r:id="rId1"/>
    <sheet name="NPV net present value" sheetId="2" r:id="rId2"/>
    <sheet name="IRR" sheetId="3" r:id="rId3"/>
    <sheet name="Assignment" sheetId="4" r:id="rId4"/>
    <sheet name="Profitability Index" sheetId="5" r:id="rId5"/>
    <sheet name="Sheet1" sheetId="6" r:id="rId6"/>
    <sheet name="Catia" sheetId="7" r:id="rId7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" i="7" l="1"/>
  <c r="B42" i="7" l="1"/>
  <c r="B48" i="7" s="1"/>
  <c r="K54" i="7" s="1"/>
  <c r="B45" i="7"/>
  <c r="B37" i="7"/>
  <c r="B38" i="7" s="1"/>
  <c r="P54" i="7"/>
  <c r="Q54" i="7" s="1"/>
  <c r="Q49" i="7"/>
  <c r="R49" i="7" s="1"/>
  <c r="Q50" i="7"/>
  <c r="R50" i="7" s="1"/>
  <c r="Q51" i="7"/>
  <c r="R51" i="7" s="1"/>
  <c r="Q52" i="7"/>
  <c r="R52" i="7" s="1"/>
  <c r="Q48" i="7"/>
  <c r="R48" i="7" s="1"/>
  <c r="B46" i="7" l="1"/>
  <c r="K52" i="7"/>
  <c r="C30" i="7"/>
  <c r="S52" i="3"/>
  <c r="C23" i="2"/>
  <c r="D22" i="2"/>
  <c r="B16" i="7"/>
  <c r="K11" i="7" l="1"/>
  <c r="K13" i="7" s="1"/>
  <c r="C7" i="1"/>
  <c r="C10" i="7" l="1"/>
  <c r="C13" i="7" s="1"/>
  <c r="D10" i="7"/>
  <c r="D16" i="7" s="1"/>
  <c r="G10" i="7"/>
  <c r="G16" i="7" s="1"/>
  <c r="F10" i="7"/>
  <c r="F16" i="7" s="1"/>
  <c r="E10" i="7"/>
  <c r="E16" i="7" s="1"/>
  <c r="D34" i="2"/>
  <c r="AA42" i="5"/>
  <c r="S42" i="5"/>
  <c r="M3" i="5"/>
  <c r="M5" i="5" s="1"/>
  <c r="W35" i="3"/>
  <c r="X35" i="3"/>
  <c r="Y35" i="3"/>
  <c r="Z35" i="3"/>
  <c r="V35" i="3"/>
  <c r="AB40" i="3"/>
  <c r="U40" i="3"/>
  <c r="S48" i="3"/>
  <c r="S44" i="3"/>
  <c r="AB38" i="3"/>
  <c r="U38" i="3"/>
  <c r="F70" i="3"/>
  <c r="E51" i="3"/>
  <c r="E49" i="3"/>
  <c r="E47" i="3"/>
  <c r="E45" i="3"/>
  <c r="E41" i="3"/>
  <c r="J38" i="3"/>
  <c r="C38" i="3"/>
  <c r="D22" i="3"/>
  <c r="D14" i="3"/>
  <c r="E14" i="3"/>
  <c r="F14" i="3"/>
  <c r="C14" i="3"/>
  <c r="C16" i="1"/>
  <c r="D12" i="3"/>
  <c r="E12" i="3"/>
  <c r="F12" i="3"/>
  <c r="C12" i="3"/>
  <c r="F13" i="3"/>
  <c r="E13" i="3"/>
  <c r="D13" i="3"/>
  <c r="C13" i="3"/>
  <c r="J44" i="2"/>
  <c r="J43" i="2"/>
  <c r="J42" i="2"/>
  <c r="C36" i="2"/>
  <c r="C48" i="2"/>
  <c r="E20" i="2"/>
  <c r="F20" i="2"/>
  <c r="G20" i="2"/>
  <c r="H20" i="2"/>
  <c r="D20" i="2"/>
  <c r="E32" i="2"/>
  <c r="F32" i="2"/>
  <c r="G32" i="2"/>
  <c r="H32" i="2"/>
  <c r="D32" i="2"/>
  <c r="M25" i="1"/>
  <c r="M23" i="1"/>
  <c r="N23" i="1" s="1"/>
  <c r="O23" i="1" s="1"/>
  <c r="P23" i="1" s="1"/>
  <c r="Q23" i="1" s="1"/>
  <c r="M16" i="1"/>
  <c r="M14" i="1"/>
  <c r="N14" i="1" s="1"/>
  <c r="O14" i="1" s="1"/>
  <c r="P14" i="1" s="1"/>
  <c r="Q14" i="1" s="1"/>
  <c r="M7" i="1"/>
  <c r="M5" i="1"/>
  <c r="N5" i="1" s="1"/>
  <c r="O5" i="1" s="1"/>
  <c r="P5" i="1" s="1"/>
  <c r="Q5" i="1" s="1"/>
  <c r="C5" i="1"/>
  <c r="D5" i="1"/>
  <c r="E5" i="1"/>
  <c r="F5" i="1"/>
  <c r="G5" i="1"/>
  <c r="D14" i="1"/>
  <c r="E14" i="1" s="1"/>
  <c r="F14" i="1" s="1"/>
  <c r="G14" i="1" s="1"/>
  <c r="C14" i="1"/>
  <c r="D23" i="1"/>
  <c r="E23" i="1" s="1"/>
  <c r="F23" i="1" s="1"/>
  <c r="G23" i="1" s="1"/>
  <c r="C23" i="1"/>
  <c r="C25" i="1"/>
  <c r="B18" i="7" l="1"/>
  <c r="C25" i="7" s="1"/>
  <c r="C26" i="7" s="1"/>
  <c r="C12" i="7"/>
  <c r="D12" i="7" s="1"/>
  <c r="E12" i="7" s="1"/>
  <c r="F12" i="7" s="1"/>
  <c r="G12" i="7" s="1"/>
  <c r="C16" i="7"/>
  <c r="C52" i="7"/>
  <c r="B23" i="7"/>
  <c r="S50" i="3"/>
  <c r="G52" i="7" l="1"/>
  <c r="C27" i="7" l="1"/>
  <c r="B32" i="7"/>
  <c r="G54" i="7" s="1"/>
  <c r="B31" i="7"/>
  <c r="C54" i="7" s="1"/>
</calcChain>
</file>

<file path=xl/sharedStrings.xml><?xml version="1.0" encoding="utf-8"?>
<sst xmlns="http://schemas.openxmlformats.org/spreadsheetml/2006/main" count="446" uniqueCount="223">
  <si>
    <t>Yea</t>
  </si>
  <si>
    <t>Investment</t>
  </si>
  <si>
    <t>Benefits</t>
  </si>
  <si>
    <t>Net Benefit</t>
  </si>
  <si>
    <t>Net Cash flow Per Year</t>
  </si>
  <si>
    <t>Payback Period</t>
  </si>
  <si>
    <t>blind spot - money coming in after payperiod</t>
  </si>
  <si>
    <t>Project A</t>
  </si>
  <si>
    <t>Yrl</t>
  </si>
  <si>
    <t>Yr2</t>
  </si>
  <si>
    <t>Yr3</t>
  </si>
  <si>
    <t>Yr4</t>
  </si>
  <si>
    <t>Yr5</t>
  </si>
  <si>
    <t>Present Value</t>
  </si>
  <si>
    <t>Calculate the Payback Period ?</t>
  </si>
  <si>
    <t>Payback</t>
  </si>
  <si>
    <t>2.5 Years</t>
  </si>
  <si>
    <t>Y r4</t>
  </si>
  <si>
    <t>Discount Rate ( WACC)</t>
  </si>
  <si>
    <t>Denominator</t>
  </si>
  <si>
    <t>Future Value</t>
  </si>
  <si>
    <t>NPV</t>
  </si>
  <si>
    <t>Perk"s</t>
  </si>
  <si>
    <t>lnterest rates</t>
  </si>
  <si>
    <t>ο.990</t>
  </si>
  <si>
    <t>ο.980</t>
  </si>
  <si>
    <t>0,961</t>
  </si>
  <si>
    <t>0,794</t>
  </si>
  <si>
    <t>0,681</t>
  </si>
  <si>
    <t>ο. 760</t>
  </si>
  <si>
    <t>0,544</t>
  </si>
  <si>
    <t>ο.905</t>
  </si>
  <si>
    <t>ο.744</t>
  </si>
  <si>
    <t>0_558</t>
  </si>
  <si>
    <t>0,508</t>
  </si>
  <si>
    <t>0,475</t>
  </si>
  <si>
    <t>0,429</t>
  </si>
  <si>
    <t>ΟΒ88</t>
  </si>
  <si>
    <t>0-319</t>
  </si>
  <si>
    <t>ο. 773</t>
  </si>
  <si>
    <t>ο. 758</t>
  </si>
  <si>
    <t>0,394</t>
  </si>
  <si>
    <t>0,339</t>
  </si>
  <si>
    <t>ο.700</t>
  </si>
  <si>
    <t>ο. 149</t>
  </si>
  <si>
    <t>PeriMs</t>
  </si>
  <si>
    <t>0,893</t>
  </si>
  <si>
    <t>0,855</t>
  </si>
  <si>
    <t>0,847</t>
  </si>
  <si>
    <t>0,840</t>
  </si>
  <si>
    <t>0.55-2</t>
  </si>
  <si>
    <t>0,432</t>
  </si>
  <si>
    <t>0,410</t>
  </si>
  <si>
    <t>0,390</t>
  </si>
  <si>
    <t>0,370</t>
  </si>
  <si>
    <t>α 335</t>
  </si>
  <si>
    <t>ο. 376</t>
  </si>
  <si>
    <t>α 194</t>
  </si>
  <si>
    <t>0,162</t>
  </si>
  <si>
    <t>ο. 160</t>
  </si>
  <si>
    <t>ο. 140</t>
  </si>
  <si>
    <t>ο. 108</t>
  </si>
  <si>
    <t>0,084</t>
  </si>
  <si>
    <t>0,163</t>
  </si>
  <si>
    <t>0,093</t>
  </si>
  <si>
    <t>0,081</t>
  </si>
  <si>
    <t>0,071</t>
  </si>
  <si>
    <t>0,062</t>
  </si>
  <si>
    <t>0,080</t>
  </si>
  <si>
    <t>0,060</t>
  </si>
  <si>
    <t>0_153</t>
  </si>
  <si>
    <t>ο 059</t>
  </si>
  <si>
    <t>0,051</t>
  </si>
  <si>
    <t>0,044</t>
  </si>
  <si>
    <t>0-038</t>
  </si>
  <si>
    <t>0.05 ι</t>
  </si>
  <si>
    <t>0.03'</t>
  </si>
  <si>
    <t>•Example</t>
  </si>
  <si>
    <t>Project B</t>
  </si>
  <si>
    <t>• Project Investment</t>
  </si>
  <si>
    <t>EIO,OOO</t>
  </si>
  <si>
    <t>• Net Cash Flow per year</t>
  </si>
  <si>
    <t>E 5,000</t>
  </si>
  <si>
    <t>E166,667</t>
  </si>
  <si>
    <t>• Payback Period</t>
  </si>
  <si>
    <t>2 years</t>
  </si>
  <si>
    <t>3 Years</t>
  </si>
  <si>
    <t>•The company has a WACC / Discount Rate of 15% for reviewing projects. •Each Project has a 5 year life span •Calculate the NPV</t>
  </si>
  <si>
    <t>Investment Yrl</t>
  </si>
  <si>
    <t>yr)</t>
  </si>
  <si>
    <t>Y e Yr4</t>
  </si>
  <si>
    <t>10,00</t>
  </si>
  <si>
    <t>Pa</t>
  </si>
  <si>
    <t>Ck</t>
  </si>
  <si>
    <t>2 year</t>
  </si>
  <si>
    <t>Discount Rate</t>
  </si>
  <si>
    <t>Denorninator</t>
  </si>
  <si>
    <t>future Value</t>
  </si>
  <si>
    <t>Investment WI</t>
  </si>
  <si>
    <t>Yr3 Yr4</t>
  </si>
  <si>
    <t>Discount Rate WAC_C</t>
  </si>
  <si>
    <t>g</t>
  </si>
  <si>
    <t>P— Value</t>
  </si>
  <si>
    <t>ı.ooo•l</t>
  </si>
  <si>
    <t>szxc</t>
  </si>
  <si>
    <t>500,</t>
  </si>
  <si>
    <t>Lte.557</t>
  </si>
  <si>
    <t>ğ m</t>
  </si>
  <si>
    <t>M—-ıuall</t>
  </si>
  <si>
    <t>waccı</t>
  </si>
  <si>
    <t>15,00%</t>
  </si>
  <si>
    <t>DA-owntR*te</t>
  </si>
  <si>
    <t>om</t>
  </si>
  <si>
    <t>masa</t>
  </si>
  <si>
    <t>O ASI</t>
  </si>
  <si>
    <t>m</t>
  </si>
  <si>
    <t>0,870</t>
  </si>
  <si>
    <t>0•,756</t>
  </si>
  <si>
    <t>n,</t>
  </si>
  <si>
    <t>0,49</t>
  </si>
  <si>
    <t>J</t>
  </si>
  <si>
    <t>N</t>
  </si>
  <si>
    <t>NPV Cal</t>
  </si>
  <si>
    <t>Pro•ect</t>
  </si>
  <si>
    <t>A</t>
  </si>
  <si>
    <t>B</t>
  </si>
  <si>
    <t>c</t>
  </si>
  <si>
    <r>
      <t>A</t>
    </r>
    <r>
      <rPr>
        <sz val="11"/>
        <color rgb="FFFF0000"/>
        <rFont val="Calibri"/>
        <family val="2"/>
        <scheme val="minor"/>
      </rPr>
      <t>-£168.75</t>
    </r>
    <r>
      <rPr>
        <sz val="11"/>
        <color theme="1"/>
        <rFont val="Calibri"/>
        <family val="2"/>
        <scheme val="minor"/>
      </rPr>
      <t>B</t>
    </r>
    <r>
      <rPr>
        <sz val="11"/>
        <color rgb="FFFF0000"/>
        <rFont val="Calibri"/>
        <family val="2"/>
        <scheme val="minor"/>
      </rPr>
      <t>-£5,278.38</t>
    </r>
    <r>
      <rPr>
        <sz val="11"/>
        <color theme="1"/>
        <rFont val="Calibri"/>
        <family val="2"/>
        <scheme val="minor"/>
      </rPr>
      <t>C£106,241.71</t>
    </r>
  </si>
  <si>
    <t>NPV (EXCEL)</t>
  </si>
  <si>
    <t>Net present value</t>
  </si>
  <si>
    <t>WACC</t>
  </si>
  <si>
    <t>E'OOO's</t>
  </si>
  <si>
    <t>D</t>
  </si>
  <si>
    <t>Cashflow Generated from Each Project</t>
  </si>
  <si>
    <t>Year</t>
  </si>
  <si>
    <t>PB</t>
  </si>
  <si>
    <t>Present Va ILE</t>
  </si>
  <si>
    <t>present Value</t>
  </si>
  <si>
    <t>Manua</t>
  </si>
  <si>
    <t>Calcula ted</t>
  </si>
  <si>
    <t>Manuali Cadulated</t>
  </si>
  <si>
    <t>DiscountRate WACO)</t>
  </si>
  <si>
    <t>Discount Rate WACO</t>
  </si>
  <si>
    <t>Denomina tor</t>
  </si>
  <si>
    <t>Future Va lue</t>
  </si>
  <si>
    <t>11,58.00</t>
  </si>
  <si>
    <t>Positive NPV</t>
  </si>
  <si>
    <t>% NPV Zero</t>
  </si>
  <si>
    <t>%</t>
  </si>
  <si>
    <t>IRR</t>
  </si>
  <si>
    <t>per 1%</t>
  </si>
  <si>
    <t>payback</t>
  </si>
  <si>
    <t>Pa back</t>
  </si>
  <si>
    <t>Discount Rate WACC</t>
  </si>
  <si>
    <t>NPV ( Excel Calculated)</t>
  </si>
  <si>
    <t>2.2 Years</t>
  </si>
  <si>
    <t>Manuall Calculated</t>
  </si>
  <si>
    <t>NPV Excel Calculez€l</t>
  </si>
  <si>
    <t>PI</t>
  </si>
  <si>
    <t>BCR</t>
  </si>
  <si>
    <t>IRR Excel Calculated</t>
  </si>
  <si>
    <t>Friday 10th</t>
  </si>
  <si>
    <t>Project</t>
  </si>
  <si>
    <t>WACC / Discount Rate</t>
  </si>
  <si>
    <t>( Manually Calculated )</t>
  </si>
  <si>
    <t>N PV</t>
  </si>
  <si>
    <t>CBR</t>
  </si>
  <si>
    <t>nvestment 1</t>
  </si>
  <si>
    <t>(100,000) 30,000</t>
  </si>
  <si>
    <t>Manually Calculated 0.846154</t>
  </si>
  <si>
    <t>Manually Calculated )</t>
  </si>
  <si>
    <t>( Manually Calculated)</t>
  </si>
  <si>
    <t>Discounted Payback Period</t>
  </si>
  <si>
    <t>p</t>
  </si>
  <si>
    <t>@±iÉEl@EiEOOl@18</t>
  </si>
  <si>
    <t>IRR ( Excel Calculated)</t>
  </si>
  <si>
    <t>Optimum NPV</t>
  </si>
  <si>
    <t>E</t>
  </si>
  <si>
    <t>Total NPV</t>
  </si>
  <si>
    <t>1. INVESTMENT DETAIL</t>
  </si>
  <si>
    <t>Kestrel House  - Footprint Optimisation</t>
  </si>
  <si>
    <t>Payback (Yrs)</t>
  </si>
  <si>
    <t>CAPITAL EXPENDITURE APPROVAL</t>
  </si>
  <si>
    <t>Summary</t>
  </si>
  <si>
    <t xml:space="preserve">Current parts per month </t>
  </si>
  <si>
    <t xml:space="preserve">Extra parts per month </t>
  </si>
  <si>
    <t>Extra parts per year</t>
  </si>
  <si>
    <t xml:space="preserve">Profit per single part </t>
  </si>
  <si>
    <t xml:space="preserve">Profit per part total year </t>
  </si>
  <si>
    <t>Project Title: Catia Composer</t>
  </si>
  <si>
    <t>Discount Rate (WACC)</t>
  </si>
  <si>
    <t xml:space="preserve">Positive NPV </t>
  </si>
  <si>
    <t>NPV Excel</t>
  </si>
  <si>
    <t xml:space="preserve">strengths </t>
  </si>
  <si>
    <t>takes into account value of money coming in later than now, positive outcome, excel can be used to validate this</t>
  </si>
  <si>
    <t>weaknesses</t>
  </si>
  <si>
    <t>can not account for what capatail the business can afford, doesn’t provide a clear guide on the sizes of project, monthly number may provide a different point of guidance.</t>
  </si>
  <si>
    <t>NPV (Net present value)</t>
  </si>
  <si>
    <t xml:space="preserve">IRR (Internal rate of return) </t>
  </si>
  <si>
    <t>Movement</t>
  </si>
  <si>
    <t>Movement per %</t>
  </si>
  <si>
    <t>IRR (rough Calc)</t>
  </si>
  <si>
    <t xml:space="preserve">IRR Excel </t>
  </si>
  <si>
    <t>Movement + Movement per %</t>
  </si>
  <si>
    <t>as NPV it takes into account the value of money now and what it will be worth later, excel support the process for with outgoings and incomes</t>
  </si>
  <si>
    <t xml:space="preserve">does not account for size of projects, and long handed </t>
  </si>
  <si>
    <t>PI (profitability index)</t>
  </si>
  <si>
    <t>does not account for size of projects, how do you define your companies cost of capital</t>
  </si>
  <si>
    <t>Capital rationing - undestanding how to pick the best bang for your buck in a set period</t>
  </si>
  <si>
    <t>BCR (benefit-cost ratio)</t>
  </si>
  <si>
    <t>PI (profitability index) future cash flow</t>
  </si>
  <si>
    <t>Greater than 1 (every £1 = £1.74)</t>
  </si>
  <si>
    <t>BCR (benefit-cost ratio) future cash flow  (initial investment excludes year zero)</t>
  </si>
  <si>
    <t>ARR</t>
  </si>
  <si>
    <t>Total cash flow</t>
  </si>
  <si>
    <t>Residual</t>
  </si>
  <si>
    <t>Depreciation</t>
  </si>
  <si>
    <t>Net income / profit</t>
  </si>
  <si>
    <t>Initial investment</t>
  </si>
  <si>
    <t>Avg investment</t>
  </si>
  <si>
    <t>Total net income</t>
  </si>
  <si>
    <t>Average net income</t>
  </si>
  <si>
    <t>Average investment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</si>
</sst>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6" formatCode="&quot;£&quot;#,##0;[Red]\-&quot;£&quot;#,##0"/>
    <numFmt numFmtId="8" formatCode="&quot;£&quot;#,##0.00;[Red]\-&quot;£&quot;#,##0.00"/>
    <numFmt numFmtId="42" formatCode="_-&quot;£&quot;* #,##0_-;\-&quot;£&quot;* #,##0_-;_-&quot;£&quot;* &quot;-&quot;_-;_-@_-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[$€-2]\ #,##0;[Red]\-[$€-2]\ #,##0"/>
    <numFmt numFmtId="165" formatCode="[$€-2]\ #,##0.00;[Red]\-[$€-2]\ #,##0.00"/>
    <numFmt numFmtId="166" formatCode="0.0"/>
    <numFmt numFmtId="167" formatCode="#,##0;\(#,##0\);&quot;-&quot;"/>
    <numFmt numFmtId="168" formatCode="#,##0.0%;\(#,##0.0%\);&quot;-&quot;"/>
    <numFmt numFmtId="169" formatCode="0.0%"/>
    <numFmt numFmtId="170" formatCode="#,##0.0;\(#,##0.0\);&quot;-&quot;"/>
    <numFmt numFmtId="171" formatCode="#,##0.000;\(#,##0.000\);&quot;-&quot;"/>
    <numFmt numFmtId="172" formatCode="&quot;£&quot;#,##0"/>
    <numFmt numFmtId="173" formatCode="&quot;£&quot;#,##0.00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0"/>
      <name val="Arial Narrow"/>
      <family val="2"/>
    </font>
    <font>
      <sz val="10"/>
      <name val="Arial Narrow"/>
      <family val="2"/>
    </font>
    <font>
      <sz val="10"/>
      <color indexed="16"/>
      <name val="Arial Narrow"/>
      <family val="2"/>
    </font>
    <font>
      <b/>
      <sz val="10"/>
      <color indexed="16"/>
      <name val="Arial Narrow"/>
      <family val="2"/>
    </font>
    <font>
      <b/>
      <sz val="10"/>
      <color theme="0"/>
      <name val="Arial Narrow"/>
      <family val="2"/>
    </font>
    <font>
      <i/>
      <sz val="10"/>
      <color indexed="16"/>
      <name val="Arial Narrow"/>
      <family val="2"/>
    </font>
    <font>
      <sz val="10"/>
      <color theme="4"/>
      <name val="Arial Narrow"/>
      <family val="2"/>
    </font>
    <font>
      <b/>
      <sz val="10"/>
      <name val="Arial Narrow"/>
      <family val="2"/>
    </font>
    <font>
      <b/>
      <sz val="12"/>
      <color indexed="16"/>
      <name val="Arial Narrow"/>
      <family val="2"/>
    </font>
    <font>
      <sz val="12"/>
      <color indexed="16"/>
      <name val="Arial Narrow"/>
      <family val="2"/>
    </font>
    <font>
      <sz val="10"/>
      <color rgb="FF990000"/>
      <name val="Arial Narrow"/>
      <family val="2"/>
    </font>
    <font>
      <b/>
      <sz val="10"/>
      <color rgb="FF990000"/>
      <name val="Arial Narrow"/>
      <family val="2"/>
    </font>
    <font>
      <sz val="10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 style="thin">
        <color rgb="FF002060"/>
      </left>
      <right/>
      <top style="thin">
        <color indexed="16"/>
      </top>
      <bottom style="thin">
        <color indexed="16"/>
      </bottom>
      <diagonal/>
    </border>
    <border>
      <left/>
      <right style="thin">
        <color indexed="16"/>
      </right>
      <top style="thin">
        <color indexed="16"/>
      </top>
      <bottom style="thin">
        <color indexed="16"/>
      </bottom>
      <diagonal/>
    </border>
    <border>
      <left style="thin">
        <color indexed="16"/>
      </left>
      <right/>
      <top style="thin">
        <color indexed="16"/>
      </top>
      <bottom style="thin">
        <color indexed="16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3"/>
      </left>
      <right style="medium">
        <color indexed="64"/>
      </right>
      <top/>
      <bottom/>
      <diagonal/>
    </border>
    <border>
      <left style="thin">
        <color theme="3"/>
      </left>
      <right style="medium">
        <color indexed="64"/>
      </right>
      <top/>
      <bottom style="thin">
        <color rgb="FF002060"/>
      </bottom>
      <diagonal/>
    </border>
    <border>
      <left style="medium">
        <color indexed="64"/>
      </left>
      <right/>
      <top style="thin">
        <color rgb="FF002060"/>
      </top>
      <bottom/>
      <diagonal/>
    </border>
    <border>
      <left/>
      <right style="medium">
        <color indexed="64"/>
      </right>
      <top style="thin">
        <color rgb="FF00206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16"/>
      </top>
      <bottom style="thin">
        <color indexed="16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3" fontId="0" fillId="0" borderId="0" xfId="0" applyNumberForma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8" xfId="0" applyFont="1" applyBorder="1"/>
    <xf numFmtId="0" fontId="2" fillId="2" borderId="1" xfId="0" applyFont="1" applyFill="1" applyBorder="1"/>
    <xf numFmtId="9" fontId="0" fillId="0" borderId="0" xfId="0" applyNumberFormat="1"/>
    <xf numFmtId="4" fontId="0" fillId="0" borderId="0" xfId="0" applyNumberFormat="1"/>
    <xf numFmtId="10" fontId="0" fillId="0" borderId="0" xfId="0" applyNumberFormat="1"/>
    <xf numFmtId="164" fontId="0" fillId="0" borderId="0" xfId="0" applyNumberFormat="1"/>
    <xf numFmtId="0" fontId="0" fillId="0" borderId="0" xfId="0" applyAlignment="1">
      <alignment horizontal="right"/>
    </xf>
    <xf numFmtId="20" fontId="0" fillId="0" borderId="0" xfId="0" applyNumberFormat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/>
    <xf numFmtId="0" fontId="3" fillId="0" borderId="6" xfId="0" applyFont="1" applyBorder="1"/>
    <xf numFmtId="9" fontId="3" fillId="0" borderId="0" xfId="0" applyNumberFormat="1" applyFont="1"/>
    <xf numFmtId="3" fontId="3" fillId="0" borderId="0" xfId="0" applyNumberFormat="1" applyFont="1"/>
    <xf numFmtId="4" fontId="3" fillId="0" borderId="0" xfId="0" applyNumberFormat="1" applyFont="1"/>
    <xf numFmtId="4" fontId="3" fillId="0" borderId="6" xfId="0" applyNumberFormat="1" applyFont="1" applyBorder="1"/>
    <xf numFmtId="0" fontId="3" fillId="0" borderId="7" xfId="0" applyFont="1" applyBorder="1"/>
    <xf numFmtId="0" fontId="3" fillId="0" borderId="8" xfId="0" applyFont="1" applyBorder="1"/>
    <xf numFmtId="3" fontId="3" fillId="0" borderId="8" xfId="0" applyNumberFormat="1" applyFont="1" applyBorder="1"/>
    <xf numFmtId="0" fontId="3" fillId="0" borderId="9" xfId="0" applyFont="1" applyBorder="1"/>
    <xf numFmtId="4" fontId="0" fillId="0" borderId="6" xfId="0" applyNumberFormat="1" applyBorder="1"/>
    <xf numFmtId="8" fontId="0" fillId="0" borderId="0" xfId="0" applyNumberFormat="1"/>
    <xf numFmtId="4" fontId="3" fillId="0" borderId="8" xfId="0" applyNumberFormat="1" applyFont="1" applyBorder="1"/>
    <xf numFmtId="0" fontId="0" fillId="3" borderId="0" xfId="0" applyFill="1"/>
    <xf numFmtId="2" fontId="0" fillId="0" borderId="0" xfId="0" applyNumberFormat="1"/>
    <xf numFmtId="9" fontId="0" fillId="0" borderId="3" xfId="0" applyNumberFormat="1" applyBorder="1"/>
    <xf numFmtId="3" fontId="0" fillId="0" borderId="8" xfId="0" applyNumberFormat="1" applyBorder="1"/>
    <xf numFmtId="44" fontId="0" fillId="0" borderId="0" xfId="0" applyNumberFormat="1"/>
    <xf numFmtId="6" fontId="0" fillId="0" borderId="0" xfId="0" applyNumberFormat="1"/>
    <xf numFmtId="0" fontId="0" fillId="4" borderId="10" xfId="0" applyFill="1" applyBorder="1"/>
    <xf numFmtId="2" fontId="0" fillId="4" borderId="11" xfId="0" applyNumberFormat="1" applyFill="1" applyBorder="1"/>
    <xf numFmtId="43" fontId="0" fillId="0" borderId="0" xfId="0" applyNumberFormat="1"/>
    <xf numFmtId="42" fontId="0" fillId="0" borderId="0" xfId="0" applyNumberFormat="1"/>
    <xf numFmtId="3" fontId="0" fillId="3" borderId="0" xfId="0" applyNumberFormat="1" applyFill="1"/>
    <xf numFmtId="1" fontId="0" fillId="3" borderId="0" xfId="0" applyNumberFormat="1" applyFill="1"/>
    <xf numFmtId="9" fontId="0" fillId="3" borderId="0" xfId="0" applyNumberFormat="1" applyFill="1"/>
    <xf numFmtId="165" fontId="0" fillId="0" borderId="0" xfId="0" applyNumberFormat="1"/>
    <xf numFmtId="167" fontId="6" fillId="6" borderId="12" xfId="0" applyNumberFormat="1" applyFont="1" applyFill="1" applyBorder="1"/>
    <xf numFmtId="167" fontId="6" fillId="6" borderId="0" xfId="0" applyNumberFormat="1" applyFont="1" applyFill="1" applyBorder="1"/>
    <xf numFmtId="167" fontId="6" fillId="6" borderId="13" xfId="0" applyNumberFormat="1" applyFont="1" applyFill="1" applyBorder="1"/>
    <xf numFmtId="167" fontId="6" fillId="6" borderId="0" xfId="0" applyNumberFormat="1" applyFont="1" applyFill="1" applyBorder="1" applyAlignment="1">
      <alignment horizontal="center"/>
    </xf>
    <xf numFmtId="167" fontId="7" fillId="6" borderId="0" xfId="0" applyNumberFormat="1" applyFont="1" applyFill="1" applyBorder="1"/>
    <xf numFmtId="167" fontId="10" fillId="6" borderId="0" xfId="0" applyNumberFormat="1" applyFont="1" applyFill="1" applyBorder="1"/>
    <xf numFmtId="167" fontId="11" fillId="6" borderId="0" xfId="0" applyNumberFormat="1" applyFont="1" applyFill="1" applyBorder="1"/>
    <xf numFmtId="167" fontId="6" fillId="6" borderId="12" xfId="0" applyNumberFormat="1" applyFont="1" applyFill="1" applyBorder="1" applyProtection="1">
      <protection locked="0"/>
    </xf>
    <xf numFmtId="167" fontId="12" fillId="6" borderId="23" xfId="0" applyNumberFormat="1" applyFont="1" applyFill="1" applyBorder="1" applyAlignment="1">
      <alignment horizontal="right"/>
    </xf>
    <xf numFmtId="167" fontId="13" fillId="6" borderId="24" xfId="0" applyNumberFormat="1" applyFont="1" applyFill="1" applyBorder="1"/>
    <xf numFmtId="167" fontId="13" fillId="6" borderId="0" xfId="0" applyNumberFormat="1" applyFont="1" applyFill="1" applyBorder="1"/>
    <xf numFmtId="167" fontId="12" fillId="6" borderId="25" xfId="0" applyNumberFormat="1" applyFont="1" applyFill="1" applyBorder="1" applyAlignment="1">
      <alignment horizontal="right"/>
    </xf>
    <xf numFmtId="169" fontId="13" fillId="6" borderId="14" xfId="0" applyNumberFormat="1" applyFont="1" applyFill="1" applyBorder="1" applyAlignment="1">
      <alignment horizontal="center"/>
    </xf>
    <xf numFmtId="167" fontId="13" fillId="6" borderId="24" xfId="0" applyNumberFormat="1" applyFont="1" applyFill="1" applyBorder="1" applyProtection="1">
      <protection locked="0"/>
    </xf>
    <xf numFmtId="170" fontId="13" fillId="6" borderId="14" xfId="0" applyNumberFormat="1" applyFont="1" applyFill="1" applyBorder="1" applyAlignment="1" applyProtection="1">
      <alignment horizontal="center"/>
      <protection locked="0"/>
    </xf>
    <xf numFmtId="0" fontId="0" fillId="9" borderId="0" xfId="0" applyFill="1" applyBorder="1"/>
    <xf numFmtId="167" fontId="6" fillId="9" borderId="0" xfId="0" applyNumberFormat="1" applyFont="1" applyFill="1" applyBorder="1"/>
    <xf numFmtId="167" fontId="7" fillId="9" borderId="0" xfId="0" applyNumberFormat="1" applyFont="1" applyFill="1" applyBorder="1"/>
    <xf numFmtId="0" fontId="0" fillId="9" borderId="0" xfId="0" applyFill="1"/>
    <xf numFmtId="167" fontId="6" fillId="9" borderId="0" xfId="0" applyNumberFormat="1" applyFont="1" applyFill="1" applyBorder="1" applyProtection="1">
      <protection locked="0"/>
    </xf>
    <xf numFmtId="168" fontId="9" fillId="9" borderId="0" xfId="0" applyNumberFormat="1" applyFont="1" applyFill="1" applyBorder="1"/>
    <xf numFmtId="167" fontId="14" fillId="6" borderId="12" xfId="0" applyNumberFormat="1" applyFont="1" applyFill="1" applyBorder="1" applyAlignment="1">
      <alignment horizontal="left"/>
    </xf>
    <xf numFmtId="167" fontId="14" fillId="6" borderId="0" xfId="0" applyNumberFormat="1" applyFont="1" applyFill="1" applyBorder="1" applyAlignment="1">
      <alignment horizontal="left"/>
    </xf>
    <xf numFmtId="0" fontId="14" fillId="9" borderId="0" xfId="0" applyFont="1" applyFill="1" applyBorder="1" applyAlignment="1">
      <alignment horizontal="left"/>
    </xf>
    <xf numFmtId="167" fontId="14" fillId="9" borderId="0" xfId="0" applyNumberFormat="1" applyFont="1" applyFill="1" applyBorder="1" applyAlignment="1">
      <alignment horizontal="left"/>
    </xf>
    <xf numFmtId="0" fontId="14" fillId="9" borderId="0" xfId="0" applyFont="1" applyFill="1" applyBorder="1" applyAlignment="1">
      <alignment horizontal="center"/>
    </xf>
    <xf numFmtId="3" fontId="14" fillId="9" borderId="0" xfId="0" applyNumberFormat="1" applyFont="1" applyFill="1" applyBorder="1" applyAlignment="1">
      <alignment horizontal="center"/>
    </xf>
    <xf numFmtId="167" fontId="14" fillId="9" borderId="0" xfId="0" applyNumberFormat="1" applyFont="1" applyFill="1" applyBorder="1" applyAlignment="1">
      <alignment horizontal="center"/>
    </xf>
    <xf numFmtId="167" fontId="14" fillId="7" borderId="0" xfId="0" applyNumberFormat="1" applyFont="1" applyFill="1" applyBorder="1" applyAlignment="1">
      <alignment horizontal="center"/>
    </xf>
    <xf numFmtId="166" fontId="14" fillId="7" borderId="0" xfId="0" applyNumberFormat="1" applyFont="1" applyFill="1" applyBorder="1" applyAlignment="1">
      <alignment horizontal="center"/>
    </xf>
    <xf numFmtId="9" fontId="6" fillId="9" borderId="0" xfId="0" applyNumberFormat="1" applyFont="1" applyFill="1" applyBorder="1" applyAlignment="1">
      <alignment horizontal="center"/>
    </xf>
    <xf numFmtId="167" fontId="6" fillId="9" borderId="0" xfId="0" applyNumberFormat="1" applyFont="1" applyFill="1" applyBorder="1" applyAlignment="1">
      <alignment horizontal="center"/>
    </xf>
    <xf numFmtId="167" fontId="7" fillId="9" borderId="0" xfId="0" applyNumberFormat="1" applyFont="1" applyFill="1" applyBorder="1" applyAlignment="1">
      <alignment horizontal="center"/>
    </xf>
    <xf numFmtId="171" fontId="6" fillId="6" borderId="0" xfId="0" applyNumberFormat="1" applyFont="1" applyFill="1" applyBorder="1" applyAlignment="1">
      <alignment horizontal="center"/>
    </xf>
    <xf numFmtId="10" fontId="6" fillId="9" borderId="0" xfId="0" applyNumberFormat="1" applyFont="1" applyFill="1" applyBorder="1" applyAlignment="1">
      <alignment horizontal="center"/>
    </xf>
    <xf numFmtId="10" fontId="6" fillId="7" borderId="0" xfId="0" applyNumberFormat="1" applyFont="1" applyFill="1" applyBorder="1" applyAlignment="1">
      <alignment horizontal="center"/>
    </xf>
    <xf numFmtId="167" fontId="10" fillId="6" borderId="27" xfId="0" applyNumberFormat="1" applyFont="1" applyFill="1" applyBorder="1"/>
    <xf numFmtId="167" fontId="6" fillId="6" borderId="27" xfId="0" applyNumberFormat="1" applyFont="1" applyFill="1" applyBorder="1"/>
    <xf numFmtId="0" fontId="0" fillId="0" borderId="27" xfId="0" applyBorder="1"/>
    <xf numFmtId="0" fontId="0" fillId="9" borderId="27" xfId="0" applyFill="1" applyBorder="1"/>
    <xf numFmtId="167" fontId="6" fillId="7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9" fontId="14" fillId="9" borderId="0" xfId="0" applyNumberFormat="1" applyFont="1" applyFill="1" applyBorder="1" applyAlignment="1">
      <alignment horizontal="center"/>
    </xf>
    <xf numFmtId="167" fontId="5" fillId="9" borderId="0" xfId="0" applyNumberFormat="1" applyFont="1" applyFill="1" applyBorder="1"/>
    <xf numFmtId="0" fontId="14" fillId="9" borderId="27" xfId="0" applyFont="1" applyFill="1" applyBorder="1" applyAlignment="1">
      <alignment horizontal="left"/>
    </xf>
    <xf numFmtId="167" fontId="6" fillId="9" borderId="0" xfId="0" applyNumberFormat="1" applyFont="1" applyFill="1" applyBorder="1" applyAlignment="1" applyProtection="1">
      <alignment horizontal="left"/>
      <protection locked="0"/>
    </xf>
    <xf numFmtId="167" fontId="6" fillId="0" borderId="0" xfId="0" applyNumberFormat="1" applyFont="1" applyFill="1" applyBorder="1"/>
    <xf numFmtId="0" fontId="16" fillId="0" borderId="0" xfId="0" applyFont="1"/>
    <xf numFmtId="0" fontId="14" fillId="0" borderId="0" xfId="0" applyFont="1"/>
    <xf numFmtId="172" fontId="14" fillId="9" borderId="0" xfId="0" applyNumberFormat="1" applyFont="1" applyFill="1" applyBorder="1" applyAlignment="1">
      <alignment horizontal="left"/>
    </xf>
    <xf numFmtId="172" fontId="14" fillId="9" borderId="0" xfId="0" applyNumberFormat="1" applyFont="1" applyFill="1" applyBorder="1" applyAlignment="1">
      <alignment horizontal="center"/>
    </xf>
    <xf numFmtId="172" fontId="6" fillId="9" borderId="0" xfId="0" applyNumberFormat="1" applyFont="1" applyFill="1" applyBorder="1" applyAlignment="1" applyProtection="1">
      <alignment horizontal="left"/>
      <protection locked="0"/>
    </xf>
    <xf numFmtId="172" fontId="6" fillId="6" borderId="0" xfId="0" applyNumberFormat="1" applyFont="1" applyFill="1" applyBorder="1" applyAlignment="1">
      <alignment horizontal="center"/>
    </xf>
    <xf numFmtId="172" fontId="6" fillId="7" borderId="0" xfId="0" applyNumberFormat="1" applyFont="1" applyFill="1" applyBorder="1"/>
    <xf numFmtId="172" fontId="6" fillId="6" borderId="0" xfId="0" applyNumberFormat="1" applyFont="1" applyFill="1" applyBorder="1"/>
    <xf numFmtId="173" fontId="14" fillId="7" borderId="0" xfId="0" applyNumberFormat="1" applyFont="1" applyFill="1" applyBorder="1" applyAlignment="1">
      <alignment horizontal="center"/>
    </xf>
    <xf numFmtId="172" fontId="13" fillId="6" borderId="14" xfId="0" applyNumberFormat="1" applyFont="1" applyFill="1" applyBorder="1" applyAlignment="1">
      <alignment horizontal="center"/>
    </xf>
    <xf numFmtId="172" fontId="0" fillId="0" borderId="0" xfId="0" applyNumberFormat="1"/>
    <xf numFmtId="0" fontId="14" fillId="9" borderId="0" xfId="0" applyNumberFormat="1" applyFont="1" applyFill="1" applyBorder="1" applyAlignment="1">
      <alignment horizontal="left"/>
    </xf>
    <xf numFmtId="173" fontId="14" fillId="9" borderId="0" xfId="0" applyNumberFormat="1" applyFont="1" applyFill="1" applyBorder="1" applyAlignment="1">
      <alignment horizontal="center"/>
    </xf>
    <xf numFmtId="10" fontId="14" fillId="7" borderId="0" xfId="0" applyNumberFormat="1" applyFont="1" applyFill="1" applyBorder="1" applyAlignment="1">
      <alignment horizontal="center"/>
    </xf>
    <xf numFmtId="0" fontId="14" fillId="9" borderId="0" xfId="0" applyNumberFormat="1" applyFont="1" applyFill="1" applyBorder="1" applyAlignment="1">
      <alignment horizontal="left"/>
    </xf>
    <xf numFmtId="167" fontId="8" fillId="5" borderId="26" xfId="0" applyNumberFormat="1" applyFont="1" applyFill="1" applyBorder="1" applyAlignment="1">
      <alignment horizontal="left"/>
    </xf>
    <xf numFmtId="167" fontId="14" fillId="6" borderId="15" xfId="0" applyNumberFormat="1" applyFont="1" applyFill="1" applyBorder="1" applyAlignment="1">
      <alignment horizontal="left" vertical="center" wrapText="1"/>
    </xf>
    <xf numFmtId="167" fontId="14" fillId="6" borderId="19" xfId="0" applyNumberFormat="1" applyFont="1" applyFill="1" applyBorder="1" applyAlignment="1">
      <alignment horizontal="left" vertical="center" wrapText="1"/>
    </xf>
    <xf numFmtId="167" fontId="14" fillId="8" borderId="16" xfId="0" applyNumberFormat="1" applyFont="1" applyFill="1" applyBorder="1" applyAlignment="1">
      <alignment horizontal="left" vertical="center" wrapText="1"/>
    </xf>
    <xf numFmtId="167" fontId="14" fillId="8" borderId="17" xfId="0" applyNumberFormat="1" applyFont="1" applyFill="1" applyBorder="1" applyAlignment="1">
      <alignment horizontal="left" vertical="center" wrapText="1"/>
    </xf>
    <xf numFmtId="167" fontId="14" fillId="8" borderId="18" xfId="0" applyNumberFormat="1" applyFont="1" applyFill="1" applyBorder="1" applyAlignment="1">
      <alignment horizontal="left" vertical="center" wrapText="1"/>
    </xf>
    <xf numFmtId="167" fontId="14" fillId="8" borderId="20" xfId="0" applyNumberFormat="1" applyFont="1" applyFill="1" applyBorder="1" applyAlignment="1">
      <alignment horizontal="left" vertical="center" wrapText="1"/>
    </xf>
    <xf numFmtId="167" fontId="14" fillId="8" borderId="21" xfId="0" applyNumberFormat="1" applyFont="1" applyFill="1" applyBorder="1" applyAlignment="1">
      <alignment horizontal="left" vertical="center" wrapText="1"/>
    </xf>
    <xf numFmtId="167" fontId="14" fillId="8" borderId="22" xfId="0" applyNumberFormat="1" applyFont="1" applyFill="1" applyBorder="1" applyAlignment="1">
      <alignment horizontal="left" vertical="center" wrapText="1"/>
    </xf>
    <xf numFmtId="2" fontId="14" fillId="7" borderId="0" xfId="0" applyNumberFormat="1" applyFont="1" applyFill="1" applyBorder="1" applyAlignment="1">
      <alignment horizontal="center"/>
    </xf>
    <xf numFmtId="2" fontId="13" fillId="6" borderId="14" xfId="0" applyNumberFormat="1" applyFont="1" applyFill="1" applyBorder="1" applyAlignment="1">
      <alignment horizontal="center"/>
    </xf>
    <xf numFmtId="167" fontId="4" fillId="5" borderId="2" xfId="0" applyNumberFormat="1" applyFont="1" applyFill="1" applyBorder="1" applyAlignment="1">
      <alignment horizontal="center" vertical="center"/>
    </xf>
    <xf numFmtId="167" fontId="4" fillId="5" borderId="3" xfId="0" applyNumberFormat="1" applyFont="1" applyFill="1" applyBorder="1" applyAlignment="1">
      <alignment horizontal="center" vertical="center"/>
    </xf>
    <xf numFmtId="167" fontId="4" fillId="5" borderId="4" xfId="0" applyNumberFormat="1" applyFont="1" applyFill="1" applyBorder="1" applyAlignment="1">
      <alignment horizontal="center" vertical="center"/>
    </xf>
    <xf numFmtId="167" fontId="4" fillId="5" borderId="5" xfId="0" applyNumberFormat="1" applyFont="1" applyFill="1" applyBorder="1" applyAlignment="1">
      <alignment horizontal="center" vertical="center"/>
    </xf>
    <xf numFmtId="167" fontId="4" fillId="5" borderId="0" xfId="0" applyNumberFormat="1" applyFont="1" applyFill="1" applyBorder="1" applyAlignment="1">
      <alignment horizontal="center" vertical="center"/>
    </xf>
    <xf numFmtId="167" fontId="4" fillId="5" borderId="6" xfId="0" applyNumberFormat="1" applyFont="1" applyFill="1" applyBorder="1" applyAlignment="1">
      <alignment horizontal="center" vertical="center"/>
    </xf>
    <xf numFmtId="167" fontId="14" fillId="6" borderId="5" xfId="0" applyNumberFormat="1" applyFont="1" applyFill="1" applyBorder="1" applyAlignment="1">
      <alignment horizontal="left"/>
    </xf>
    <xf numFmtId="167" fontId="5" fillId="6" borderId="28" xfId="0" applyNumberFormat="1" applyFont="1" applyFill="1" applyBorder="1" applyAlignment="1">
      <alignment horizontal="center"/>
    </xf>
    <xf numFmtId="167" fontId="5" fillId="6" borderId="29" xfId="0" applyNumberFormat="1" applyFont="1" applyFill="1" applyBorder="1" applyAlignment="1">
      <alignment horizontal="center"/>
    </xf>
    <xf numFmtId="167" fontId="14" fillId="6" borderId="30" xfId="0" applyNumberFormat="1" applyFont="1" applyFill="1" applyBorder="1" applyAlignment="1">
      <alignment horizontal="left"/>
    </xf>
    <xf numFmtId="167" fontId="6" fillId="6" borderId="31" xfId="0" applyNumberFormat="1" applyFont="1" applyFill="1" applyBorder="1"/>
    <xf numFmtId="167" fontId="15" fillId="6" borderId="5" xfId="0" applyNumberFormat="1" applyFont="1" applyFill="1" applyBorder="1" applyAlignment="1">
      <alignment horizontal="left"/>
    </xf>
    <xf numFmtId="167" fontId="7" fillId="6" borderId="6" xfId="0" applyNumberFormat="1" applyFont="1" applyFill="1" applyBorder="1"/>
    <xf numFmtId="0" fontId="14" fillId="9" borderId="5" xfId="0" applyFont="1" applyFill="1" applyBorder="1" applyAlignment="1">
      <alignment horizontal="left"/>
    </xf>
    <xf numFmtId="0" fontId="14" fillId="7" borderId="5" xfId="0" applyFont="1" applyFill="1" applyBorder="1" applyAlignment="1">
      <alignment horizontal="left"/>
    </xf>
    <xf numFmtId="167" fontId="6" fillId="7" borderId="5" xfId="0" applyNumberFormat="1" applyFont="1" applyFill="1" applyBorder="1"/>
    <xf numFmtId="167" fontId="6" fillId="6" borderId="6" xfId="0" applyNumberFormat="1" applyFont="1" applyFill="1" applyBorder="1"/>
    <xf numFmtId="167" fontId="6" fillId="6" borderId="5" xfId="0" applyNumberFormat="1" applyFont="1" applyFill="1" applyBorder="1"/>
    <xf numFmtId="167" fontId="6" fillId="9" borderId="5" xfId="0" applyNumberFormat="1" applyFont="1" applyFill="1" applyBorder="1"/>
    <xf numFmtId="0" fontId="0" fillId="0" borderId="0" xfId="0" applyBorder="1"/>
    <xf numFmtId="0" fontId="14" fillId="9" borderId="32" xfId="0" applyFont="1" applyFill="1" applyBorder="1" applyAlignment="1">
      <alignment horizontal="left"/>
    </xf>
    <xf numFmtId="167" fontId="7" fillId="6" borderId="33" xfId="0" applyNumberFormat="1" applyFont="1" applyFill="1" applyBorder="1"/>
    <xf numFmtId="167" fontId="7" fillId="6" borderId="30" xfId="0" applyNumberFormat="1" applyFont="1" applyFill="1" applyBorder="1"/>
    <xf numFmtId="167" fontId="6" fillId="6" borderId="31" xfId="0" applyNumberFormat="1" applyFont="1" applyFill="1" applyBorder="1" applyProtection="1">
      <protection locked="0"/>
    </xf>
    <xf numFmtId="167" fontId="12" fillId="6" borderId="34" xfId="0" applyNumberFormat="1" applyFont="1" applyFill="1" applyBorder="1" applyAlignment="1" applyProtection="1">
      <alignment horizontal="left"/>
      <protection locked="0"/>
    </xf>
    <xf numFmtId="167" fontId="13" fillId="6" borderId="6" xfId="0" applyNumberFormat="1" applyFont="1" applyFill="1" applyBorder="1" applyProtection="1">
      <protection locked="0"/>
    </xf>
    <xf numFmtId="0" fontId="0" fillId="9" borderId="5" xfId="0" applyFill="1" applyBorder="1"/>
    <xf numFmtId="0" fontId="0" fillId="9" borderId="6" xfId="0" applyFill="1" applyBorder="1"/>
    <xf numFmtId="167" fontId="12" fillId="6" borderId="34" xfId="0" applyNumberFormat="1" applyFont="1" applyFill="1" applyBorder="1" applyAlignment="1">
      <alignment horizontal="left"/>
    </xf>
    <xf numFmtId="167" fontId="6" fillId="9" borderId="7" xfId="0" applyNumberFormat="1" applyFont="1" applyFill="1" applyBorder="1"/>
    <xf numFmtId="167" fontId="6" fillId="9" borderId="8" xfId="0" applyNumberFormat="1" applyFont="1" applyFill="1" applyBorder="1"/>
    <xf numFmtId="167" fontId="6" fillId="9" borderId="9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1</xdr:row>
      <xdr:rowOff>9525</xdr:rowOff>
    </xdr:from>
    <xdr:to>
      <xdr:col>4</xdr:col>
      <xdr:colOff>549495</xdr:colOff>
      <xdr:row>3</xdr:row>
      <xdr:rowOff>85748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AAF1578-0456-391B-7AF7-D323DE30EF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190500"/>
          <a:ext cx="4276945" cy="438173"/>
        </a:xfrm>
        <a:prstGeom prst="rect">
          <a:avLst/>
        </a:prstGeom>
      </xdr:spPr>
    </xdr:pic>
    <xdr:clientData/>
  </xdr:twoCellAnchor>
  <xdr:twoCellAnchor editAs="oneCell">
    <xdr:from>
      <xdr:col>35</xdr:col>
      <xdr:colOff>381000</xdr:colOff>
      <xdr:row>55</xdr:row>
      <xdr:rowOff>47625</xdr:rowOff>
    </xdr:from>
    <xdr:to>
      <xdr:col>42</xdr:col>
      <xdr:colOff>299685</xdr:colOff>
      <xdr:row>71</xdr:row>
      <xdr:rowOff>57299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489C081-E252-B99D-DD7A-3DF7B3A4C8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50250" y="10001250"/>
          <a:ext cx="3419651" cy="29052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101601</xdr:colOff>
      <xdr:row>0</xdr:row>
      <xdr:rowOff>57150</xdr:rowOff>
    </xdr:from>
    <xdr:to>
      <xdr:col>9</xdr:col>
      <xdr:colOff>393701</xdr:colOff>
      <xdr:row>29</xdr:row>
      <xdr:rowOff>272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2B1976A-9B81-A4D1-B98A-37C593047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601" y="57150"/>
          <a:ext cx="5778500" cy="5283472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254000</xdr:colOff>
      <xdr:row>0</xdr:row>
      <xdr:rowOff>31750</xdr:rowOff>
    </xdr:from>
    <xdr:to>
      <xdr:col>20</xdr:col>
      <xdr:colOff>63892</xdr:colOff>
      <xdr:row>12</xdr:row>
      <xdr:rowOff>140379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7B1E430-8661-A60C-FB3E-5093EC1B2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40400" y="31750"/>
          <a:ext cx="6515492" cy="231842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442386</xdr:colOff>
      <xdr:row>17</xdr:row>
      <xdr:rowOff>106136</xdr:rowOff>
    </xdr:from>
    <xdr:to>
      <xdr:col>23</xdr:col>
      <xdr:colOff>444535</xdr:colOff>
      <xdr:row>34</xdr:row>
      <xdr:rowOff>161937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D798B9-D61F-EA29-6D3D-6ED5D4FA2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64386" y="3164719"/>
          <a:ext cx="6570166" cy="311438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16</xdr:col>
      <xdr:colOff>72182</xdr:colOff>
      <xdr:row>32</xdr:row>
      <xdr:rowOff>139700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6C2DC36-46D6-3519-AF01-D2C502A44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23000" y="3314700"/>
          <a:ext cx="4498132" cy="2717800"/>
        </a:xfrm>
        <a:prstGeom prst="rect">
          <a:avLst/>
        </a:prstGeom>
      </xdr:spPr>
    </xdr:pic>
    <xdr:clientData/>
  </xdr:twoCellAnchor>
  <xdr:twoCellAnchor editAs="oneCell">
    <xdr:from>
      <xdr:col>7</xdr:col>
      <xdr:colOff>560917</xdr:colOff>
      <xdr:row>33</xdr:row>
      <xdr:rowOff>52917</xdr:rowOff>
    </xdr:from>
    <xdr:to>
      <xdr:col>16</xdr:col>
      <xdr:colOff>139939</xdr:colOff>
      <xdr:row>58</xdr:row>
      <xdr:rowOff>63732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0C13537-023D-2F5B-AAE3-A2ED2F4C3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40500" y="5990167"/>
          <a:ext cx="4648439" cy="4515082"/>
        </a:xfrm>
        <a:prstGeom prst="rect">
          <a:avLst/>
        </a:prstGeom>
      </xdr:spPr>
    </xdr:pic>
    <xdr:clientData/>
  </xdr:twoCellAnchor>
  <xdr:twoCellAnchor editAs="oneCell">
    <xdr:from>
      <xdr:col>33</xdr:col>
      <xdr:colOff>196304</xdr:colOff>
      <xdr:row>25</xdr:row>
      <xdr:rowOff>63500</xdr:rowOff>
    </xdr:from>
    <xdr:to>
      <xdr:col>48</xdr:col>
      <xdr:colOff>2405</xdr:colOff>
      <xdr:row>41</xdr:row>
      <xdr:rowOff>36075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EE008DE2-0C7A-25D6-D98B-68D78A270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664971" y="4561417"/>
          <a:ext cx="9013601" cy="285124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sqref="A1:H7"/>
    </sheetView>
  </sheetViews>
  <sheetFormatPr defaultRowHeight="14.5" x14ac:dyDescent="0.35"/>
  <cols>
    <col min="1" max="1" width="10.7265625" bestFit="1" customWidth="1"/>
    <col min="2" max="2" width="7.90625" bestFit="1" customWidth="1"/>
    <col min="3" max="3" width="11.81640625" bestFit="1" customWidth="1"/>
    <col min="4" max="4" width="7.90625" bestFit="1" customWidth="1"/>
    <col min="5" max="5" width="6.90625" bestFit="1" customWidth="1"/>
    <col min="6" max="7" width="7.26953125" bestFit="1" customWidth="1"/>
    <col min="8" max="8" width="20.453125" bestFit="1" customWidth="1"/>
    <col min="11" max="11" width="10.7265625" customWidth="1"/>
    <col min="12" max="12" width="9.36328125" bestFit="1" customWidth="1"/>
    <col min="13" max="17" width="7.90625" bestFit="1" customWidth="1"/>
    <col min="18" max="18" width="39" customWidth="1"/>
  </cols>
  <sheetData>
    <row r="1" spans="1:18" x14ac:dyDescent="0.35">
      <c r="A1" s="1" t="s">
        <v>0</v>
      </c>
      <c r="B1" s="2">
        <v>0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3"/>
      <c r="K1" s="1" t="s">
        <v>0</v>
      </c>
      <c r="L1" s="2">
        <v>0</v>
      </c>
      <c r="M1" s="2">
        <v>1</v>
      </c>
      <c r="N1" s="2">
        <v>2</v>
      </c>
      <c r="O1" s="2">
        <v>3</v>
      </c>
      <c r="P1" s="2">
        <v>4</v>
      </c>
      <c r="Q1" s="2">
        <v>5</v>
      </c>
      <c r="R1" s="3"/>
    </row>
    <row r="2" spans="1:18" x14ac:dyDescent="0.35">
      <c r="A2" s="4" t="s">
        <v>1</v>
      </c>
      <c r="B2" s="5">
        <v>300000</v>
      </c>
      <c r="H2" s="6"/>
      <c r="K2" s="4" t="s">
        <v>1</v>
      </c>
      <c r="L2" s="5">
        <v>150000</v>
      </c>
      <c r="R2" s="6"/>
    </row>
    <row r="3" spans="1:18" x14ac:dyDescent="0.35">
      <c r="A3" s="4" t="s">
        <v>2</v>
      </c>
      <c r="C3">
        <v>125000</v>
      </c>
      <c r="D3">
        <v>125000</v>
      </c>
      <c r="E3">
        <v>125000</v>
      </c>
      <c r="F3">
        <v>125000</v>
      </c>
      <c r="G3" s="5">
        <v>125000</v>
      </c>
      <c r="H3" s="6" t="s">
        <v>4</v>
      </c>
      <c r="K3" s="4" t="s">
        <v>2</v>
      </c>
      <c r="M3">
        <v>14400</v>
      </c>
      <c r="N3">
        <v>14400</v>
      </c>
      <c r="O3">
        <v>14400</v>
      </c>
      <c r="P3">
        <v>14400</v>
      </c>
      <c r="Q3">
        <v>14400</v>
      </c>
      <c r="R3" s="6" t="s">
        <v>4</v>
      </c>
    </row>
    <row r="4" spans="1:18" x14ac:dyDescent="0.35">
      <c r="A4" s="4"/>
      <c r="H4" s="6"/>
      <c r="K4" s="4"/>
      <c r="R4" s="6"/>
    </row>
    <row r="5" spans="1:18" x14ac:dyDescent="0.35">
      <c r="A5" s="4" t="s">
        <v>3</v>
      </c>
      <c r="B5" s="5">
        <v>-300000</v>
      </c>
      <c r="C5" s="5">
        <f>B5+C3</f>
        <v>-175000</v>
      </c>
      <c r="D5" s="5">
        <f t="shared" ref="D5:G5" si="0">C5+D3</f>
        <v>-50000</v>
      </c>
      <c r="E5" s="5">
        <f t="shared" si="0"/>
        <v>75000</v>
      </c>
      <c r="F5" s="5">
        <f t="shared" si="0"/>
        <v>200000</v>
      </c>
      <c r="G5" s="5">
        <f t="shared" si="0"/>
        <v>325000</v>
      </c>
      <c r="H5" s="6"/>
      <c r="K5" s="4" t="s">
        <v>3</v>
      </c>
      <c r="L5" s="5">
        <v>-150000</v>
      </c>
      <c r="M5" s="5">
        <f>L5+M3</f>
        <v>-135600</v>
      </c>
      <c r="N5" s="5">
        <f t="shared" ref="N5:Q5" si="1">M5+N3</f>
        <v>-121200</v>
      </c>
      <c r="O5" s="5">
        <f t="shared" si="1"/>
        <v>-106800</v>
      </c>
      <c r="P5" s="5">
        <f t="shared" si="1"/>
        <v>-92400</v>
      </c>
      <c r="Q5" s="5">
        <f t="shared" si="1"/>
        <v>-78000</v>
      </c>
      <c r="R5" s="6"/>
    </row>
    <row r="6" spans="1:18" x14ac:dyDescent="0.35">
      <c r="A6" s="4"/>
      <c r="H6" s="6"/>
      <c r="K6" s="4"/>
      <c r="R6" s="6"/>
    </row>
    <row r="7" spans="1:18" ht="15" thickBot="1" x14ac:dyDescent="0.4">
      <c r="A7" s="7"/>
      <c r="B7" s="8"/>
      <c r="C7" s="8">
        <f>B2/C3</f>
        <v>2.4</v>
      </c>
      <c r="D7" s="8"/>
      <c r="E7" s="8"/>
      <c r="F7" s="8"/>
      <c r="G7" s="8"/>
      <c r="H7" s="9" t="s">
        <v>5</v>
      </c>
      <c r="K7" s="7"/>
      <c r="L7" s="10"/>
      <c r="M7" s="8">
        <f>L2/M3</f>
        <v>10.416666666666666</v>
      </c>
      <c r="N7" s="8"/>
      <c r="O7" s="8"/>
      <c r="P7" s="8"/>
      <c r="Q7" s="8"/>
      <c r="R7" s="9" t="s">
        <v>5</v>
      </c>
    </row>
    <row r="9" spans="1:18" ht="15" thickBot="1" x14ac:dyDescent="0.4"/>
    <row r="10" spans="1:18" x14ac:dyDescent="0.35">
      <c r="A10" s="1" t="s">
        <v>0</v>
      </c>
      <c r="B10" s="2">
        <v>0</v>
      </c>
      <c r="C10" s="2">
        <v>1</v>
      </c>
      <c r="D10" s="2">
        <v>2</v>
      </c>
      <c r="E10" s="2">
        <v>3</v>
      </c>
      <c r="F10" s="2">
        <v>4</v>
      </c>
      <c r="G10" s="2">
        <v>5</v>
      </c>
      <c r="H10" s="3"/>
      <c r="K10" s="1" t="s">
        <v>0</v>
      </c>
      <c r="L10" s="2">
        <v>0</v>
      </c>
      <c r="M10" s="2">
        <v>1</v>
      </c>
      <c r="N10" s="2">
        <v>2</v>
      </c>
      <c r="O10" s="2">
        <v>3</v>
      </c>
      <c r="P10" s="2">
        <v>4</v>
      </c>
      <c r="Q10" s="2">
        <v>5</v>
      </c>
      <c r="R10" s="3"/>
    </row>
    <row r="11" spans="1:18" x14ac:dyDescent="0.35">
      <c r="A11" s="4" t="s">
        <v>1</v>
      </c>
      <c r="B11" s="5">
        <v>375000</v>
      </c>
      <c r="H11" s="6"/>
      <c r="K11" s="4" t="s">
        <v>1</v>
      </c>
      <c r="L11" s="5">
        <v>1000000</v>
      </c>
      <c r="R11" s="6"/>
    </row>
    <row r="12" spans="1:18" x14ac:dyDescent="0.35">
      <c r="A12" s="4" t="s">
        <v>2</v>
      </c>
      <c r="C12">
        <v>175000</v>
      </c>
      <c r="D12">
        <v>125000</v>
      </c>
      <c r="E12">
        <v>125000</v>
      </c>
      <c r="F12">
        <v>125000</v>
      </c>
      <c r="G12" s="5">
        <v>125000</v>
      </c>
      <c r="H12" s="6" t="s">
        <v>4</v>
      </c>
      <c r="K12" s="4" t="s">
        <v>2</v>
      </c>
      <c r="M12">
        <v>240000</v>
      </c>
      <c r="N12">
        <v>240000</v>
      </c>
      <c r="O12">
        <v>240000</v>
      </c>
      <c r="P12">
        <v>240000</v>
      </c>
      <c r="Q12">
        <v>240000</v>
      </c>
      <c r="R12" s="6" t="s">
        <v>4</v>
      </c>
    </row>
    <row r="13" spans="1:18" x14ac:dyDescent="0.35">
      <c r="A13" s="4"/>
      <c r="H13" s="6"/>
      <c r="K13" s="4"/>
      <c r="R13" s="6"/>
    </row>
    <row r="14" spans="1:18" x14ac:dyDescent="0.35">
      <c r="A14" s="4" t="s">
        <v>3</v>
      </c>
      <c r="B14" s="5">
        <v>-375000</v>
      </c>
      <c r="C14" s="5">
        <f>B14+C12</f>
        <v>-200000</v>
      </c>
      <c r="D14" s="5">
        <f t="shared" ref="D14:G14" si="2">C14+D12</f>
        <v>-75000</v>
      </c>
      <c r="E14" s="5">
        <f t="shared" si="2"/>
        <v>50000</v>
      </c>
      <c r="F14" s="5">
        <f t="shared" si="2"/>
        <v>175000</v>
      </c>
      <c r="G14" s="5">
        <f t="shared" si="2"/>
        <v>300000</v>
      </c>
      <c r="H14" s="6"/>
      <c r="K14" s="4" t="s">
        <v>3</v>
      </c>
      <c r="L14" s="5">
        <v>-1000000</v>
      </c>
      <c r="M14" s="5">
        <f>L14+M12</f>
        <v>-760000</v>
      </c>
      <c r="N14" s="5">
        <f t="shared" ref="N14:Q14" si="3">M14+N12</f>
        <v>-520000</v>
      </c>
      <c r="O14" s="5">
        <f t="shared" si="3"/>
        <v>-280000</v>
      </c>
      <c r="P14" s="5">
        <f t="shared" si="3"/>
        <v>-40000</v>
      </c>
      <c r="Q14" s="5">
        <f t="shared" si="3"/>
        <v>200000</v>
      </c>
      <c r="R14" s="6"/>
    </row>
    <row r="15" spans="1:18" x14ac:dyDescent="0.35">
      <c r="A15" s="4"/>
      <c r="H15" s="6"/>
      <c r="K15" s="4"/>
      <c r="R15" s="6"/>
    </row>
    <row r="16" spans="1:18" ht="15" thickBot="1" x14ac:dyDescent="0.4">
      <c r="A16" s="7"/>
      <c r="B16" s="8"/>
      <c r="C16" s="8">
        <f>B11/C12</f>
        <v>2.1428571428571428</v>
      </c>
      <c r="D16" s="8"/>
      <c r="E16" s="8"/>
      <c r="F16" s="8"/>
      <c r="G16" s="8"/>
      <c r="H16" s="9" t="s">
        <v>5</v>
      </c>
      <c r="K16" s="7"/>
      <c r="L16" s="8"/>
      <c r="M16" s="8">
        <f>L11/M12</f>
        <v>4.166666666666667</v>
      </c>
      <c r="N16" s="8"/>
      <c r="O16" s="8"/>
      <c r="P16" s="8"/>
      <c r="Q16" s="8"/>
      <c r="R16" s="9" t="s">
        <v>5</v>
      </c>
    </row>
    <row r="18" spans="1:18" ht="15" thickBot="1" x14ac:dyDescent="0.4"/>
    <row r="19" spans="1:18" x14ac:dyDescent="0.35">
      <c r="A19" s="1" t="s">
        <v>0</v>
      </c>
      <c r="B19" s="2">
        <v>0</v>
      </c>
      <c r="C19" s="2">
        <v>1</v>
      </c>
      <c r="D19" s="2">
        <v>2</v>
      </c>
      <c r="E19" s="2">
        <v>3</v>
      </c>
      <c r="F19" s="2">
        <v>4</v>
      </c>
      <c r="G19" s="2">
        <v>5</v>
      </c>
      <c r="H19" s="3"/>
      <c r="K19" s="1" t="s">
        <v>0</v>
      </c>
      <c r="L19" s="2">
        <v>0</v>
      </c>
      <c r="M19" s="2">
        <v>1</v>
      </c>
      <c r="N19" s="2">
        <v>2</v>
      </c>
      <c r="O19" s="2">
        <v>3</v>
      </c>
      <c r="P19" s="2">
        <v>4</v>
      </c>
      <c r="Q19" s="2">
        <v>5</v>
      </c>
      <c r="R19" s="3"/>
    </row>
    <row r="20" spans="1:18" x14ac:dyDescent="0.35">
      <c r="A20" s="4" t="s">
        <v>1</v>
      </c>
      <c r="B20" s="5">
        <v>400000</v>
      </c>
      <c r="H20" s="6"/>
      <c r="K20" s="4" t="s">
        <v>1</v>
      </c>
      <c r="L20" s="5">
        <v>50000</v>
      </c>
      <c r="R20" s="6"/>
    </row>
    <row r="21" spans="1:18" x14ac:dyDescent="0.35">
      <c r="A21" s="4" t="s">
        <v>2</v>
      </c>
      <c r="C21">
        <v>125000</v>
      </c>
      <c r="D21">
        <v>125000</v>
      </c>
      <c r="E21">
        <v>125000</v>
      </c>
      <c r="F21">
        <v>125000</v>
      </c>
      <c r="G21" s="5">
        <v>125000</v>
      </c>
      <c r="H21" s="6" t="s">
        <v>4</v>
      </c>
      <c r="K21" s="4" t="s">
        <v>2</v>
      </c>
      <c r="M21">
        <v>22500</v>
      </c>
      <c r="N21">
        <v>22500</v>
      </c>
      <c r="O21">
        <v>22500</v>
      </c>
      <c r="P21">
        <v>22500</v>
      </c>
      <c r="Q21">
        <v>22500</v>
      </c>
      <c r="R21" s="6" t="s">
        <v>4</v>
      </c>
    </row>
    <row r="22" spans="1:18" x14ac:dyDescent="0.35">
      <c r="A22" s="4"/>
      <c r="H22" s="6"/>
      <c r="K22" s="4"/>
      <c r="R22" s="6"/>
    </row>
    <row r="23" spans="1:18" x14ac:dyDescent="0.35">
      <c r="A23" s="4" t="s">
        <v>3</v>
      </c>
      <c r="B23" s="5">
        <v>-400000</v>
      </c>
      <c r="C23" s="5">
        <f>B23+C21</f>
        <v>-275000</v>
      </c>
      <c r="D23" s="5">
        <f t="shared" ref="D23:G23" si="4">C23+D21</f>
        <v>-150000</v>
      </c>
      <c r="E23" s="5">
        <f t="shared" si="4"/>
        <v>-25000</v>
      </c>
      <c r="F23" s="5">
        <f t="shared" si="4"/>
        <v>100000</v>
      </c>
      <c r="G23" s="5">
        <f t="shared" si="4"/>
        <v>225000</v>
      </c>
      <c r="H23" s="6"/>
      <c r="K23" s="4" t="s">
        <v>3</v>
      </c>
      <c r="L23" s="5">
        <v>-50000</v>
      </c>
      <c r="M23" s="5">
        <f>L23+M21</f>
        <v>-27500</v>
      </c>
      <c r="N23" s="5">
        <f t="shared" ref="N23:Q23" si="5">M23+N21</f>
        <v>-5000</v>
      </c>
      <c r="O23" s="5">
        <f t="shared" si="5"/>
        <v>17500</v>
      </c>
      <c r="P23" s="5">
        <f t="shared" si="5"/>
        <v>40000</v>
      </c>
      <c r="Q23" s="5">
        <f t="shared" si="5"/>
        <v>62500</v>
      </c>
      <c r="R23" s="6"/>
    </row>
    <row r="24" spans="1:18" x14ac:dyDescent="0.35">
      <c r="A24" s="4"/>
      <c r="H24" s="6"/>
      <c r="K24" s="4"/>
      <c r="R24" s="6"/>
    </row>
    <row r="25" spans="1:18" ht="15" thickBot="1" x14ac:dyDescent="0.4">
      <c r="A25" s="7"/>
      <c r="B25" s="8"/>
      <c r="C25" s="8">
        <f>B20/C21</f>
        <v>3.2</v>
      </c>
      <c r="D25" s="8"/>
      <c r="E25" s="8"/>
      <c r="F25" s="8"/>
      <c r="G25" s="8"/>
      <c r="H25" s="9" t="s">
        <v>5</v>
      </c>
      <c r="K25" s="7"/>
      <c r="L25" s="8"/>
      <c r="M25" s="8">
        <f>L20/M21</f>
        <v>2.2222222222222223</v>
      </c>
      <c r="N25" s="8"/>
      <c r="O25" s="8"/>
      <c r="P25" s="8"/>
      <c r="Q25" s="8"/>
      <c r="R25" s="9" t="s">
        <v>5</v>
      </c>
    </row>
    <row r="27" spans="1:18" ht="15" thickBot="1" x14ac:dyDescent="0.4"/>
    <row r="28" spans="1:18" ht="15" thickBot="1" x14ac:dyDescent="0.4">
      <c r="R28" s="11" t="s">
        <v>6</v>
      </c>
    </row>
  </sheetData>
  <pageMargins left="0.7" right="0.7" top="0.75" bottom="0.75" header="0.3" footer="0.3"/>
  <pageSetup orientation="portrait" r:id="rId1"/>
  <headerFooter>
    <oddHeader>&amp;C&amp;"Calibri"&amp;10&amp;KFF8C00C2 - Confidential&amp;1#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B75"/>
  <sheetViews>
    <sheetView zoomScale="60" zoomScaleNormal="60" workbookViewId="0">
      <selection activeCell="C23" sqref="C23"/>
    </sheetView>
  </sheetViews>
  <sheetFormatPr defaultRowHeight="14.5" x14ac:dyDescent="0.35"/>
  <cols>
    <col min="1" max="1" width="8.7265625" customWidth="1"/>
    <col min="2" max="2" width="31.7265625" bestFit="1" customWidth="1"/>
    <col min="3" max="3" width="10.1796875" bestFit="1" customWidth="1"/>
    <col min="4" max="4" width="8.54296875" bestFit="1" customWidth="1"/>
    <col min="5" max="8" width="8.26953125" bestFit="1" customWidth="1"/>
    <col min="9" max="9" width="5.26953125" bestFit="1" customWidth="1"/>
    <col min="10" max="10" width="11.453125" bestFit="1" customWidth="1"/>
    <col min="13" max="13" width="6.90625" bestFit="1" customWidth="1"/>
    <col min="14" max="17" width="6.26953125" bestFit="1" customWidth="1"/>
    <col min="18" max="18" width="12.08984375" bestFit="1" customWidth="1"/>
    <col min="19" max="23" width="6.26953125" bestFit="1" customWidth="1"/>
    <col min="25" max="25" width="111.1796875" bestFit="1" customWidth="1"/>
    <col min="26" max="26" width="8.453125" bestFit="1" customWidth="1"/>
    <col min="27" max="27" width="13.08984375" bestFit="1" customWidth="1"/>
    <col min="28" max="28" width="8.453125" bestFit="1" customWidth="1"/>
    <col min="29" max="32" width="7.81640625" bestFit="1" customWidth="1"/>
    <col min="35" max="35" width="8.453125" bestFit="1" customWidth="1"/>
    <col min="39" max="39" width="9" bestFit="1" customWidth="1"/>
    <col min="40" max="40" width="7.08984375" bestFit="1" customWidth="1"/>
    <col min="41" max="41" width="3.54296875" bestFit="1" customWidth="1"/>
    <col min="42" max="42" width="4.1796875" bestFit="1" customWidth="1"/>
    <col min="44" max="44" width="5.7265625" bestFit="1" customWidth="1"/>
    <col min="45" max="45" width="4.453125" bestFit="1" customWidth="1"/>
    <col min="46" max="46" width="5.36328125" bestFit="1" customWidth="1"/>
    <col min="47" max="47" width="11.90625" bestFit="1" customWidth="1"/>
    <col min="48" max="48" width="7.08984375" bestFit="1" customWidth="1"/>
    <col min="49" max="49" width="8.90625" bestFit="1" customWidth="1"/>
    <col min="50" max="50" width="8.453125" bestFit="1" customWidth="1"/>
    <col min="52" max="52" width="6.90625" bestFit="1" customWidth="1"/>
    <col min="53" max="53" width="7.36328125" bestFit="1" customWidth="1"/>
    <col min="54" max="54" width="8.453125" bestFit="1" customWidth="1"/>
  </cols>
  <sheetData>
    <row r="2" spans="1:23" x14ac:dyDescent="0.35">
      <c r="M2" t="s">
        <v>22</v>
      </c>
      <c r="R2" t="s">
        <v>23</v>
      </c>
    </row>
    <row r="3" spans="1:23" x14ac:dyDescent="0.35">
      <c r="N3" s="12">
        <v>0.01</v>
      </c>
      <c r="O3" s="12">
        <v>0.02</v>
      </c>
      <c r="P3" s="12">
        <v>0.03</v>
      </c>
      <c r="Q3" s="12">
        <v>0.04</v>
      </c>
      <c r="R3" s="12">
        <v>0.05</v>
      </c>
      <c r="S3" s="12">
        <v>0.06</v>
      </c>
      <c r="T3" s="12">
        <v>7.0000000000000007E-2</v>
      </c>
      <c r="U3" s="12">
        <v>0.08</v>
      </c>
      <c r="V3" s="12">
        <v>0.09</v>
      </c>
      <c r="W3" s="12">
        <v>0.1</v>
      </c>
    </row>
    <row r="4" spans="1:23" x14ac:dyDescent="0.35">
      <c r="M4">
        <v>1</v>
      </c>
      <c r="N4" t="s">
        <v>24</v>
      </c>
      <c r="O4" t="s">
        <v>25</v>
      </c>
      <c r="P4">
        <v>0.97099999999999997</v>
      </c>
      <c r="Q4">
        <v>0.96199999999999997</v>
      </c>
      <c r="R4">
        <v>0.95199999999999996</v>
      </c>
      <c r="S4">
        <v>0.94299999999999995</v>
      </c>
      <c r="T4">
        <v>0.93500000000000005</v>
      </c>
      <c r="U4">
        <v>0.92600000000000005</v>
      </c>
      <c r="V4">
        <v>0.91700000000000004</v>
      </c>
      <c r="W4">
        <v>0.90900000000000003</v>
      </c>
    </row>
    <row r="5" spans="1:23" x14ac:dyDescent="0.35">
      <c r="M5">
        <v>2</v>
      </c>
      <c r="N5">
        <v>0.98</v>
      </c>
      <c r="O5" t="s">
        <v>26</v>
      </c>
      <c r="P5">
        <v>0.94299999999999995</v>
      </c>
      <c r="Q5">
        <v>0.92500000000000004</v>
      </c>
      <c r="R5">
        <v>0.90700000000000003</v>
      </c>
      <c r="S5">
        <v>0.89</v>
      </c>
      <c r="T5">
        <v>0.873</v>
      </c>
      <c r="U5">
        <v>0.85699999999999998</v>
      </c>
      <c r="V5">
        <v>0.84199999999999997</v>
      </c>
      <c r="W5">
        <v>0.82599999999999996</v>
      </c>
    </row>
    <row r="6" spans="1:23" x14ac:dyDescent="0.35">
      <c r="B6" t="s">
        <v>7</v>
      </c>
      <c r="C6" t="s">
        <v>1</v>
      </c>
      <c r="E6" t="s">
        <v>8</v>
      </c>
      <c r="F6" t="s">
        <v>9</v>
      </c>
      <c r="G6" t="s">
        <v>10</v>
      </c>
      <c r="H6" t="s">
        <v>11</v>
      </c>
      <c r="I6" t="s">
        <v>12</v>
      </c>
      <c r="M6">
        <v>3</v>
      </c>
      <c r="N6">
        <v>0.97099999999999997</v>
      </c>
      <c r="O6">
        <v>0.94199999999999995</v>
      </c>
      <c r="P6">
        <v>0.91500000000000004</v>
      </c>
      <c r="Q6">
        <v>0.88900000000000001</v>
      </c>
      <c r="R6">
        <v>0.86399999999999999</v>
      </c>
      <c r="S6">
        <v>0.84</v>
      </c>
      <c r="T6">
        <v>0.81599999999999995</v>
      </c>
      <c r="U6" t="s">
        <v>27</v>
      </c>
      <c r="V6">
        <v>0.77200000000000002</v>
      </c>
      <c r="W6">
        <v>0.751</v>
      </c>
    </row>
    <row r="7" spans="1:23" x14ac:dyDescent="0.35">
      <c r="B7" t="s">
        <v>13</v>
      </c>
      <c r="C7" s="5">
        <v>10000</v>
      </c>
      <c r="E7">
        <v>4000</v>
      </c>
      <c r="F7">
        <v>4000</v>
      </c>
      <c r="G7">
        <v>4000</v>
      </c>
      <c r="H7">
        <v>4000</v>
      </c>
      <c r="I7">
        <v>4000</v>
      </c>
      <c r="M7">
        <v>4</v>
      </c>
      <c r="N7">
        <v>0.96099999999999997</v>
      </c>
      <c r="O7">
        <v>0.92400000000000004</v>
      </c>
      <c r="P7">
        <v>0.88800000000000001</v>
      </c>
      <c r="Q7">
        <v>0.85499999999999998</v>
      </c>
      <c r="R7">
        <v>0.82299999999999995</v>
      </c>
      <c r="S7">
        <v>0.79200000000000004</v>
      </c>
      <c r="T7">
        <v>0.76300000000000001</v>
      </c>
      <c r="U7">
        <v>0.73499999999999999</v>
      </c>
      <c r="V7">
        <v>0.70799999999999996</v>
      </c>
      <c r="W7">
        <v>0.68300000000000005</v>
      </c>
    </row>
    <row r="8" spans="1:23" x14ac:dyDescent="0.35">
      <c r="M8">
        <v>5</v>
      </c>
      <c r="N8">
        <v>0.95099999999999996</v>
      </c>
      <c r="O8">
        <v>0.90600000000000003</v>
      </c>
      <c r="P8">
        <v>0.86299999999999999</v>
      </c>
      <c r="Q8">
        <v>0.82199999999999995</v>
      </c>
      <c r="R8">
        <v>0.78400000000000003</v>
      </c>
      <c r="S8">
        <v>0.747</v>
      </c>
      <c r="T8">
        <v>0.71299999999999997</v>
      </c>
      <c r="U8" t="s">
        <v>28</v>
      </c>
      <c r="V8">
        <v>0.65</v>
      </c>
      <c r="W8">
        <v>0.621</v>
      </c>
    </row>
    <row r="9" spans="1:23" x14ac:dyDescent="0.35">
      <c r="B9" t="s">
        <v>14</v>
      </c>
      <c r="M9">
        <v>6</v>
      </c>
      <c r="N9">
        <v>0.94199999999999995</v>
      </c>
      <c r="O9">
        <v>0.88800000000000001</v>
      </c>
      <c r="P9">
        <v>0.83699999999999997</v>
      </c>
      <c r="Q9">
        <v>0.79</v>
      </c>
      <c r="R9">
        <v>0.746</v>
      </c>
      <c r="S9">
        <v>705</v>
      </c>
      <c r="T9">
        <v>0.66600000000000004</v>
      </c>
      <c r="U9">
        <v>0.63</v>
      </c>
      <c r="V9">
        <v>0.59599999999999997</v>
      </c>
      <c r="W9">
        <v>0.56399999999999995</v>
      </c>
    </row>
    <row r="10" spans="1:23" x14ac:dyDescent="0.35">
      <c r="B10" t="s">
        <v>15</v>
      </c>
      <c r="D10" t="s">
        <v>16</v>
      </c>
      <c r="M10">
        <v>7</v>
      </c>
      <c r="N10">
        <v>0.93300000000000005</v>
      </c>
      <c r="O10">
        <v>0.871</v>
      </c>
      <c r="P10">
        <v>0.81299999999999994</v>
      </c>
      <c r="Q10" t="s">
        <v>29</v>
      </c>
      <c r="R10">
        <v>0.71099999999999997</v>
      </c>
      <c r="S10">
        <v>0.66500000000000004</v>
      </c>
      <c r="T10">
        <v>0.623</v>
      </c>
      <c r="U10">
        <v>0.58299999999999996</v>
      </c>
      <c r="V10">
        <v>0.54700000000000004</v>
      </c>
      <c r="W10">
        <v>0.51300000000000001</v>
      </c>
    </row>
    <row r="11" spans="1:23" x14ac:dyDescent="0.35">
      <c r="M11">
        <v>8</v>
      </c>
      <c r="N11">
        <v>0.92300000000000004</v>
      </c>
      <c r="O11">
        <v>0.85299999999999998</v>
      </c>
      <c r="P11">
        <v>0.78900000000000003</v>
      </c>
      <c r="Q11">
        <v>0.73099999999999998</v>
      </c>
      <c r="R11">
        <v>0.67700000000000005</v>
      </c>
      <c r="S11">
        <v>0.627</v>
      </c>
      <c r="T11">
        <v>0.58199999999999996</v>
      </c>
      <c r="U11">
        <v>0.54</v>
      </c>
      <c r="V11">
        <v>0.502</v>
      </c>
      <c r="W11">
        <v>0.46700000000000003</v>
      </c>
    </row>
    <row r="12" spans="1:23" ht="15" thickBot="1" x14ac:dyDescent="0.4">
      <c r="M12">
        <v>9</v>
      </c>
      <c r="N12">
        <v>0.91400000000000003</v>
      </c>
      <c r="O12">
        <v>0.83699999999999997</v>
      </c>
      <c r="P12">
        <v>0.76600000000000001</v>
      </c>
      <c r="Q12">
        <v>0.70299999999999996</v>
      </c>
      <c r="R12">
        <v>0.64500000000000002</v>
      </c>
      <c r="S12">
        <v>0.59199999999999997</v>
      </c>
      <c r="T12" t="s">
        <v>30</v>
      </c>
      <c r="U12">
        <v>0.5</v>
      </c>
      <c r="V12">
        <v>0.46</v>
      </c>
      <c r="W12">
        <v>0.42399999999999999</v>
      </c>
    </row>
    <row r="13" spans="1:23" x14ac:dyDescent="0.35">
      <c r="A13" s="35"/>
      <c r="B13" s="1" t="s">
        <v>7</v>
      </c>
      <c r="C13" s="2" t="s">
        <v>1</v>
      </c>
      <c r="D13" s="2" t="s">
        <v>8</v>
      </c>
      <c r="E13" s="2" t="s">
        <v>9</v>
      </c>
      <c r="F13" s="2" t="s">
        <v>10</v>
      </c>
      <c r="G13" s="2" t="s">
        <v>17</v>
      </c>
      <c r="H13" s="3" t="s">
        <v>12</v>
      </c>
      <c r="M13">
        <v>10</v>
      </c>
      <c r="N13" t="s">
        <v>31</v>
      </c>
      <c r="O13">
        <v>0.82</v>
      </c>
      <c r="P13" t="s">
        <v>32</v>
      </c>
      <c r="Q13">
        <v>0.67600000000000005</v>
      </c>
      <c r="R13">
        <v>0.61399999999999999</v>
      </c>
      <c r="S13" t="s">
        <v>33</v>
      </c>
      <c r="T13" t="s">
        <v>34</v>
      </c>
      <c r="U13">
        <v>0.46300000000000002</v>
      </c>
      <c r="V13">
        <v>0.42199999999999999</v>
      </c>
      <c r="W13">
        <v>0.38600000000000001</v>
      </c>
    </row>
    <row r="14" spans="1:23" x14ac:dyDescent="0.35">
      <c r="B14" s="4" t="s">
        <v>13</v>
      </c>
      <c r="C14" s="5">
        <v>-10000</v>
      </c>
      <c r="D14">
        <v>4000</v>
      </c>
      <c r="E14">
        <v>4000</v>
      </c>
      <c r="F14">
        <v>4000</v>
      </c>
      <c r="G14">
        <v>4000</v>
      </c>
      <c r="H14" s="6">
        <v>4000</v>
      </c>
      <c r="M14">
        <v>11</v>
      </c>
      <c r="N14">
        <v>0.89600000000000002</v>
      </c>
      <c r="O14">
        <v>0.80400000000000005</v>
      </c>
      <c r="P14">
        <v>0.72199999999999998</v>
      </c>
      <c r="Q14">
        <v>0.65</v>
      </c>
      <c r="R14">
        <v>0.58499999999999996</v>
      </c>
      <c r="S14">
        <v>0.52700000000000002</v>
      </c>
      <c r="T14" t="s">
        <v>35</v>
      </c>
      <c r="U14" t="s">
        <v>36</v>
      </c>
      <c r="V14" t="s">
        <v>37</v>
      </c>
      <c r="W14">
        <v>0.35</v>
      </c>
    </row>
    <row r="15" spans="1:23" x14ac:dyDescent="0.35">
      <c r="B15" s="4"/>
      <c r="H15" s="6"/>
      <c r="M15">
        <v>12</v>
      </c>
      <c r="N15">
        <v>0.88700000000000001</v>
      </c>
      <c r="O15">
        <v>0.78800000000000003</v>
      </c>
      <c r="P15">
        <v>0.70099999999999996</v>
      </c>
      <c r="Q15">
        <v>0.625</v>
      </c>
      <c r="R15">
        <v>0.55700000000000005</v>
      </c>
      <c r="S15">
        <v>0.497</v>
      </c>
      <c r="T15">
        <v>0.44400000000000001</v>
      </c>
      <c r="U15">
        <v>0.39700000000000002</v>
      </c>
      <c r="V15">
        <v>0.35599999999999998</v>
      </c>
      <c r="W15" t="s">
        <v>38</v>
      </c>
    </row>
    <row r="16" spans="1:23" x14ac:dyDescent="0.35">
      <c r="B16" s="4" t="s">
        <v>18</v>
      </c>
      <c r="C16" s="12">
        <v>0.08</v>
      </c>
      <c r="H16" s="6"/>
      <c r="M16">
        <v>13</v>
      </c>
      <c r="N16">
        <v>0.879</v>
      </c>
      <c r="O16" t="s">
        <v>39</v>
      </c>
      <c r="P16">
        <v>0.68100000000000005</v>
      </c>
      <c r="Q16">
        <v>0.60099999999999998</v>
      </c>
      <c r="R16">
        <v>0.53</v>
      </c>
      <c r="S16">
        <v>0.46899999999999997</v>
      </c>
      <c r="T16">
        <v>0.41499999999999998</v>
      </c>
      <c r="U16">
        <v>0.36799999999999999</v>
      </c>
      <c r="V16">
        <v>0.32600000000000001</v>
      </c>
      <c r="W16">
        <v>0.28999999999999998</v>
      </c>
    </row>
    <row r="17" spans="2:54" x14ac:dyDescent="0.35">
      <c r="B17" s="4"/>
      <c r="H17" s="6"/>
      <c r="M17">
        <v>14</v>
      </c>
      <c r="N17">
        <v>0.87</v>
      </c>
      <c r="O17" t="s">
        <v>40</v>
      </c>
      <c r="P17">
        <v>0.66100000000000003</v>
      </c>
      <c r="Q17">
        <v>0.57699999999999996</v>
      </c>
      <c r="R17">
        <v>0.505</v>
      </c>
      <c r="S17">
        <v>0.442</v>
      </c>
      <c r="T17">
        <v>0.38800000000000001</v>
      </c>
      <c r="U17">
        <v>0.34</v>
      </c>
      <c r="V17">
        <v>0.29899999999999999</v>
      </c>
      <c r="W17">
        <v>0.26300000000000001</v>
      </c>
    </row>
    <row r="18" spans="2:54" x14ac:dyDescent="0.35">
      <c r="B18" s="4" t="s">
        <v>19</v>
      </c>
      <c r="C18">
        <v>1</v>
      </c>
      <c r="D18">
        <v>0.92600000000000005</v>
      </c>
      <c r="E18">
        <v>0.85699999999999998</v>
      </c>
      <c r="F18">
        <v>0.79400000000000004</v>
      </c>
      <c r="G18">
        <v>0.73499999999999999</v>
      </c>
      <c r="H18" s="6">
        <v>0.68100000000000005</v>
      </c>
      <c r="M18">
        <v>15</v>
      </c>
      <c r="N18">
        <v>0.86099999999999999</v>
      </c>
      <c r="O18">
        <v>0.74299999999999999</v>
      </c>
      <c r="P18">
        <v>0.64200000000000002</v>
      </c>
      <c r="Q18">
        <v>0.55500000000000005</v>
      </c>
      <c r="R18">
        <v>0.48099999999999998</v>
      </c>
      <c r="S18">
        <v>0.41699999999999998</v>
      </c>
      <c r="T18">
        <v>0.36199999999999999</v>
      </c>
      <c r="U18">
        <v>0.315</v>
      </c>
      <c r="V18">
        <v>0.27500000000000002</v>
      </c>
      <c r="W18">
        <v>0.23899999999999999</v>
      </c>
    </row>
    <row r="19" spans="2:54" x14ac:dyDescent="0.35">
      <c r="B19" s="4"/>
      <c r="H19" s="6"/>
      <c r="M19">
        <v>16</v>
      </c>
      <c r="N19">
        <v>0.85299999999999998</v>
      </c>
      <c r="O19">
        <v>0.72799999999999998</v>
      </c>
      <c r="P19">
        <v>0.623</v>
      </c>
      <c r="Q19">
        <v>0.53400000000000003</v>
      </c>
      <c r="R19">
        <v>0.45800000000000002</v>
      </c>
      <c r="S19" t="s">
        <v>41</v>
      </c>
      <c r="T19" t="s">
        <v>42</v>
      </c>
      <c r="U19">
        <v>0.29199999999999998</v>
      </c>
      <c r="V19">
        <v>0.252</v>
      </c>
      <c r="W19">
        <v>0.218</v>
      </c>
    </row>
    <row r="20" spans="2:54" x14ac:dyDescent="0.35">
      <c r="B20" s="4" t="s">
        <v>20</v>
      </c>
      <c r="C20" s="5">
        <v>-10000</v>
      </c>
      <c r="D20" s="13">
        <f>D14*D18</f>
        <v>3704</v>
      </c>
      <c r="E20" s="13">
        <f t="shared" ref="E20:H20" si="0">E14*E18</f>
        <v>3428</v>
      </c>
      <c r="F20" s="13">
        <f t="shared" si="0"/>
        <v>3176</v>
      </c>
      <c r="G20" s="13">
        <f t="shared" si="0"/>
        <v>2940</v>
      </c>
      <c r="H20" s="32">
        <f t="shared" si="0"/>
        <v>2724</v>
      </c>
      <c r="M20">
        <v>17</v>
      </c>
      <c r="N20">
        <v>0.84399999999999997</v>
      </c>
      <c r="O20">
        <v>0.71399999999999997</v>
      </c>
      <c r="P20">
        <v>0.60499999999999998</v>
      </c>
      <c r="Q20">
        <v>0.51300000000000001</v>
      </c>
      <c r="R20">
        <v>0.436</v>
      </c>
      <c r="S20">
        <v>0.371</v>
      </c>
      <c r="T20">
        <v>0.317</v>
      </c>
      <c r="U20">
        <v>0.27</v>
      </c>
      <c r="V20">
        <v>0.23100000000000001</v>
      </c>
      <c r="W20">
        <v>0.19800000000000001</v>
      </c>
    </row>
    <row r="21" spans="2:54" x14ac:dyDescent="0.35">
      <c r="B21" s="4"/>
      <c r="H21" s="6"/>
      <c r="M21">
        <v>18</v>
      </c>
      <c r="N21">
        <v>0.83599999999999997</v>
      </c>
      <c r="O21" t="s">
        <v>43</v>
      </c>
      <c r="P21">
        <v>0.58699999999999997</v>
      </c>
      <c r="Q21">
        <v>0.49399999999999999</v>
      </c>
      <c r="R21">
        <v>0.41599999999999998</v>
      </c>
      <c r="S21">
        <v>0.35</v>
      </c>
      <c r="T21">
        <v>0.29599999999999999</v>
      </c>
      <c r="U21">
        <v>0.25</v>
      </c>
      <c r="V21">
        <v>0.21199999999999999</v>
      </c>
      <c r="W21">
        <v>0.18</v>
      </c>
    </row>
    <row r="22" spans="2:54" ht="15" thickBot="1" x14ac:dyDescent="0.4">
      <c r="B22" s="7" t="s">
        <v>21</v>
      </c>
      <c r="C22" s="8"/>
      <c r="D22" s="34">
        <f>C20+D20+E20+F20+G20+H20</f>
        <v>5972</v>
      </c>
      <c r="E22" s="8"/>
      <c r="F22" s="8"/>
      <c r="G22" s="8"/>
      <c r="H22" s="9"/>
      <c r="M22">
        <v>19</v>
      </c>
      <c r="N22">
        <v>0.82799999999999996</v>
      </c>
      <c r="O22">
        <v>0.68600000000000005</v>
      </c>
      <c r="P22">
        <v>0.56999999999999995</v>
      </c>
      <c r="Q22">
        <v>0.47499999999999998</v>
      </c>
      <c r="R22">
        <v>0.39600000000000002</v>
      </c>
      <c r="S22">
        <v>0.33100000000000002</v>
      </c>
      <c r="T22">
        <v>0.27700000000000002</v>
      </c>
      <c r="U22">
        <v>0.23200000000000001</v>
      </c>
      <c r="V22">
        <v>0.19400000000000001</v>
      </c>
      <c r="W22">
        <v>0.16400000000000001</v>
      </c>
    </row>
    <row r="23" spans="2:54" x14ac:dyDescent="0.35">
      <c r="B23" t="s">
        <v>128</v>
      </c>
      <c r="C23" s="33">
        <f>NPV(C16,D14:H14)+C14</f>
        <v>5970.840148312338</v>
      </c>
      <c r="M23">
        <v>20</v>
      </c>
      <c r="N23">
        <v>0.82</v>
      </c>
      <c r="O23">
        <v>0.67300000000000004</v>
      </c>
      <c r="P23">
        <v>0.55400000000000005</v>
      </c>
      <c r="Q23">
        <v>0.45600000000000002</v>
      </c>
      <c r="R23">
        <v>0.377</v>
      </c>
      <c r="S23">
        <v>0.312</v>
      </c>
      <c r="T23">
        <v>0.25800000000000001</v>
      </c>
      <c r="U23">
        <v>0.215</v>
      </c>
      <c r="V23">
        <v>0.17799999999999999</v>
      </c>
      <c r="W23" t="s">
        <v>44</v>
      </c>
    </row>
    <row r="24" spans="2:54" ht="15" thickBot="1" x14ac:dyDescent="0.4">
      <c r="M24" t="s">
        <v>45</v>
      </c>
      <c r="R24" t="s">
        <v>23</v>
      </c>
    </row>
    <row r="25" spans="2:54" x14ac:dyDescent="0.35">
      <c r="B25" s="18" t="s">
        <v>7</v>
      </c>
      <c r="C25" s="19" t="s">
        <v>1</v>
      </c>
      <c r="D25" s="19" t="s">
        <v>8</v>
      </c>
      <c r="E25" s="19" t="s">
        <v>9</v>
      </c>
      <c r="F25" s="19" t="s">
        <v>10</v>
      </c>
      <c r="G25" s="19" t="s">
        <v>17</v>
      </c>
      <c r="H25" s="20" t="s">
        <v>12</v>
      </c>
      <c r="N25" s="12">
        <v>0.11</v>
      </c>
      <c r="O25" s="12">
        <v>0.12</v>
      </c>
      <c r="P25" s="12">
        <v>0.13</v>
      </c>
      <c r="Q25" s="12">
        <v>0.14000000000000001</v>
      </c>
      <c r="R25" s="12">
        <v>0.15</v>
      </c>
      <c r="S25" s="12">
        <v>0.16</v>
      </c>
      <c r="T25" s="12">
        <v>0.17</v>
      </c>
      <c r="U25" s="12">
        <v>0.18</v>
      </c>
      <c r="V25" s="12">
        <v>0.19</v>
      </c>
      <c r="W25" s="12">
        <v>0.2</v>
      </c>
      <c r="AU25" t="s">
        <v>101</v>
      </c>
    </row>
    <row r="26" spans="2:54" x14ac:dyDescent="0.35">
      <c r="B26" s="21" t="s">
        <v>13</v>
      </c>
      <c r="C26" s="25">
        <v>-10000</v>
      </c>
      <c r="D26" s="22">
        <v>4000</v>
      </c>
      <c r="E26" s="22">
        <v>4000</v>
      </c>
      <c r="F26" s="22">
        <v>4000</v>
      </c>
      <c r="G26" s="22">
        <v>4000</v>
      </c>
      <c r="H26" s="23">
        <v>4000</v>
      </c>
      <c r="N26">
        <v>0.90100000000000002</v>
      </c>
      <c r="O26" t="s">
        <v>46</v>
      </c>
      <c r="P26">
        <v>0.88500000000000001</v>
      </c>
      <c r="Q26">
        <v>0.877</v>
      </c>
      <c r="R26">
        <v>0.87</v>
      </c>
      <c r="S26">
        <v>0.86199999999999999</v>
      </c>
      <c r="T26" t="s">
        <v>47</v>
      </c>
      <c r="U26" t="s">
        <v>48</v>
      </c>
      <c r="V26" t="s">
        <v>49</v>
      </c>
      <c r="W26">
        <v>0.83299999999999996</v>
      </c>
    </row>
    <row r="27" spans="2:54" x14ac:dyDescent="0.35">
      <c r="B27" s="21"/>
      <c r="C27" s="22"/>
      <c r="D27" s="22"/>
      <c r="E27" s="22"/>
      <c r="F27" s="22"/>
      <c r="G27" s="22"/>
      <c r="H27" s="23"/>
      <c r="M27">
        <v>2</v>
      </c>
      <c r="N27">
        <v>0.81200000000000006</v>
      </c>
      <c r="O27">
        <v>0.79700000000000004</v>
      </c>
      <c r="P27">
        <v>0.78300000000000003</v>
      </c>
      <c r="Q27">
        <v>0.76900000000000002</v>
      </c>
      <c r="R27">
        <v>0.75600000000000001</v>
      </c>
      <c r="S27">
        <v>0.74299999999999999</v>
      </c>
      <c r="T27">
        <v>0.73099999999999998</v>
      </c>
      <c r="U27">
        <v>0.71799999999999997</v>
      </c>
      <c r="V27">
        <v>0.70599999999999996</v>
      </c>
      <c r="W27">
        <v>0.69399999999999995</v>
      </c>
    </row>
    <row r="28" spans="2:54" x14ac:dyDescent="0.35">
      <c r="B28" s="21" t="s">
        <v>18</v>
      </c>
      <c r="C28" s="24">
        <v>0.15</v>
      </c>
      <c r="D28" s="22"/>
      <c r="E28" s="22"/>
      <c r="F28" s="22"/>
      <c r="G28" s="22"/>
      <c r="H28" s="23"/>
      <c r="M28">
        <v>3</v>
      </c>
      <c r="N28">
        <v>0.73099999999999998</v>
      </c>
      <c r="O28">
        <v>0.71199999999999997</v>
      </c>
      <c r="P28">
        <v>0.69299999999999995</v>
      </c>
      <c r="Q28">
        <v>0.67500000000000004</v>
      </c>
      <c r="R28">
        <v>0.65800000000000003</v>
      </c>
      <c r="S28">
        <v>0.64100000000000001</v>
      </c>
      <c r="T28">
        <v>0.624</v>
      </c>
      <c r="U28">
        <v>0.60899999999999999</v>
      </c>
      <c r="V28">
        <v>0.59299999999999997</v>
      </c>
      <c r="W28">
        <v>0.57899999999999996</v>
      </c>
      <c r="AM28" t="s">
        <v>102</v>
      </c>
      <c r="AN28" t="s">
        <v>103</v>
      </c>
      <c r="AO28">
        <v>5</v>
      </c>
      <c r="AP28">
        <v>0.5</v>
      </c>
      <c r="AR28" s="17">
        <v>0.375</v>
      </c>
      <c r="AS28" t="s">
        <v>104</v>
      </c>
      <c r="AT28">
        <v>0.5</v>
      </c>
      <c r="AV28" t="s">
        <v>105</v>
      </c>
      <c r="AW28">
        <v>16657</v>
      </c>
      <c r="AX28">
        <v>20.556699999999999</v>
      </c>
      <c r="AZ28" t="s">
        <v>106</v>
      </c>
      <c r="BA28">
        <v>265567</v>
      </c>
      <c r="BB28">
        <v>1666.57</v>
      </c>
    </row>
    <row r="29" spans="2:54" x14ac:dyDescent="0.35">
      <c r="B29" s="21"/>
      <c r="C29" s="22"/>
      <c r="D29" s="22"/>
      <c r="E29" s="22"/>
      <c r="F29" s="22"/>
      <c r="G29" s="22"/>
      <c r="H29" s="23"/>
      <c r="M29">
        <v>4</v>
      </c>
      <c r="N29">
        <v>0.65900000000000003</v>
      </c>
      <c r="O29">
        <v>0.63600000000000001</v>
      </c>
      <c r="P29">
        <v>0.61299999999999999</v>
      </c>
      <c r="Q29">
        <v>0.59199999999999997</v>
      </c>
      <c r="R29">
        <v>0.57199999999999995</v>
      </c>
      <c r="S29" t="s">
        <v>50</v>
      </c>
      <c r="T29">
        <v>0.53400000000000003</v>
      </c>
      <c r="U29">
        <v>0.51600000000000001</v>
      </c>
      <c r="V29">
        <v>0.499</v>
      </c>
      <c r="W29">
        <v>0.48199999999999998</v>
      </c>
    </row>
    <row r="30" spans="2:54" x14ac:dyDescent="0.35">
      <c r="B30" s="21" t="s">
        <v>19</v>
      </c>
      <c r="C30" s="22">
        <v>1</v>
      </c>
      <c r="D30" s="22">
        <v>0.87</v>
      </c>
      <c r="E30" s="22">
        <v>0.75600000000000001</v>
      </c>
      <c r="F30" s="22">
        <v>0.65800000000000003</v>
      </c>
      <c r="G30" s="22">
        <v>0.57199999999999995</v>
      </c>
      <c r="H30" s="23">
        <v>0.497</v>
      </c>
      <c r="M30">
        <v>5</v>
      </c>
      <c r="N30">
        <v>0.59299999999999997</v>
      </c>
      <c r="O30">
        <v>0.66700000000000004</v>
      </c>
      <c r="P30">
        <v>0.54300000000000004</v>
      </c>
      <c r="Q30">
        <v>0.51900000000000002</v>
      </c>
      <c r="R30">
        <v>0.497</v>
      </c>
      <c r="S30">
        <v>0.47599999999999998</v>
      </c>
      <c r="T30">
        <v>0.45600000000000002</v>
      </c>
      <c r="U30">
        <v>0.437</v>
      </c>
      <c r="V30">
        <v>0.41899999999999998</v>
      </c>
      <c r="W30">
        <v>0.40200000000000002</v>
      </c>
      <c r="AV30" t="s">
        <v>107</v>
      </c>
      <c r="AW30" t="s">
        <v>108</v>
      </c>
    </row>
    <row r="31" spans="2:54" x14ac:dyDescent="0.35">
      <c r="B31" s="21"/>
      <c r="C31" s="22"/>
      <c r="D31" s="22"/>
      <c r="E31" s="22"/>
      <c r="F31" s="22"/>
      <c r="G31" s="22"/>
      <c r="H31" s="23"/>
      <c r="M31">
        <v>6</v>
      </c>
      <c r="N31">
        <v>0.53500000000000003</v>
      </c>
      <c r="O31">
        <v>0.50700000000000001</v>
      </c>
      <c r="P31">
        <v>0.48</v>
      </c>
      <c r="Q31">
        <v>0.45600000000000002</v>
      </c>
      <c r="R31" s="16" t="s">
        <v>51</v>
      </c>
      <c r="S31" t="s">
        <v>52</v>
      </c>
      <c r="T31" t="s">
        <v>53</v>
      </c>
      <c r="U31" t="s">
        <v>54</v>
      </c>
      <c r="V31">
        <v>0.35199999999999998</v>
      </c>
      <c r="W31" t="s">
        <v>55</v>
      </c>
    </row>
    <row r="32" spans="2:54" x14ac:dyDescent="0.35">
      <c r="B32" s="21" t="s">
        <v>20</v>
      </c>
      <c r="C32" s="25">
        <v>-10000</v>
      </c>
      <c r="D32" s="26">
        <f>D26*D30</f>
        <v>3480</v>
      </c>
      <c r="E32" s="26">
        <f t="shared" ref="E32:H32" si="1">E26*E30</f>
        <v>3024</v>
      </c>
      <c r="F32" s="26">
        <f t="shared" si="1"/>
        <v>2632</v>
      </c>
      <c r="G32" s="26">
        <f t="shared" si="1"/>
        <v>2288</v>
      </c>
      <c r="H32" s="27">
        <f t="shared" si="1"/>
        <v>1988</v>
      </c>
      <c r="M32">
        <v>7</v>
      </c>
      <c r="N32">
        <v>0.48199999999999998</v>
      </c>
      <c r="O32">
        <v>0.45200000000000001</v>
      </c>
      <c r="P32">
        <v>0.42499999999999999</v>
      </c>
      <c r="Q32">
        <v>0.4</v>
      </c>
      <c r="R32">
        <v>0.376</v>
      </c>
      <c r="S32">
        <v>0.35399999999999998</v>
      </c>
      <c r="T32">
        <v>0.33300000000000002</v>
      </c>
      <c r="U32">
        <v>0.314</v>
      </c>
      <c r="V32">
        <v>0.29599999999999999</v>
      </c>
      <c r="W32">
        <v>0.27900000000000003</v>
      </c>
      <c r="AM32" t="s">
        <v>109</v>
      </c>
      <c r="AN32" t="s">
        <v>110</v>
      </c>
      <c r="AU32" t="s">
        <v>111</v>
      </c>
      <c r="AV32" s="14">
        <v>0.15</v>
      </c>
    </row>
    <row r="33" spans="2:54" x14ac:dyDescent="0.35">
      <c r="B33" s="21"/>
      <c r="C33" s="22"/>
      <c r="D33" s="22"/>
      <c r="E33" s="22"/>
      <c r="F33" s="22"/>
      <c r="G33" s="22"/>
      <c r="H33" s="23"/>
      <c r="M33">
        <v>8</v>
      </c>
      <c r="N33">
        <v>0.434</v>
      </c>
      <c r="O33">
        <v>0.40400000000000003</v>
      </c>
      <c r="P33" t="s">
        <v>56</v>
      </c>
      <c r="Q33">
        <v>0.35099999999999998</v>
      </c>
      <c r="R33">
        <v>0.32700000000000001</v>
      </c>
      <c r="S33">
        <v>0.30499999999999999</v>
      </c>
      <c r="T33">
        <v>0.28499999999999998</v>
      </c>
      <c r="U33">
        <v>0.26600000000000001</v>
      </c>
      <c r="V33">
        <v>0.249</v>
      </c>
      <c r="W33">
        <v>0.23300000000000001</v>
      </c>
    </row>
    <row r="34" spans="2:54" ht="15" thickBot="1" x14ac:dyDescent="0.4">
      <c r="B34" s="28" t="s">
        <v>21</v>
      </c>
      <c r="C34" s="29"/>
      <c r="D34" s="30">
        <f>C32+D32+E32+F32+G32+H32</f>
        <v>3412</v>
      </c>
      <c r="E34" s="29"/>
      <c r="F34" s="29"/>
      <c r="G34" s="29"/>
      <c r="H34" s="31"/>
      <c r="M34">
        <v>9</v>
      </c>
      <c r="N34">
        <v>0.39100000000000001</v>
      </c>
      <c r="O34">
        <v>0.36099999999999999</v>
      </c>
      <c r="P34">
        <v>0.33300000000000002</v>
      </c>
      <c r="Q34">
        <v>0.308</v>
      </c>
      <c r="R34">
        <v>0.28399999999999997</v>
      </c>
      <c r="S34">
        <v>0.26300000000000001</v>
      </c>
      <c r="T34">
        <v>0.24299999999999999</v>
      </c>
      <c r="U34">
        <v>0.22500000000000001</v>
      </c>
      <c r="V34">
        <v>0.20899999999999999</v>
      </c>
      <c r="W34" t="s">
        <v>57</v>
      </c>
      <c r="AO34" t="s">
        <v>112</v>
      </c>
      <c r="AR34" t="s">
        <v>113</v>
      </c>
      <c r="AT34" t="s">
        <v>114</v>
      </c>
      <c r="AV34" t="s">
        <v>115</v>
      </c>
      <c r="AW34" t="s">
        <v>116</v>
      </c>
      <c r="AX34" t="s">
        <v>117</v>
      </c>
      <c r="AZ34" t="s">
        <v>118</v>
      </c>
      <c r="BB34" t="s">
        <v>119</v>
      </c>
    </row>
    <row r="35" spans="2:54" x14ac:dyDescent="0.35">
      <c r="M35">
        <v>10</v>
      </c>
      <c r="N35">
        <v>0.35199999999999998</v>
      </c>
      <c r="O35">
        <v>0.32200000000000001</v>
      </c>
      <c r="P35">
        <v>0.29499999999999998</v>
      </c>
      <c r="Q35">
        <v>0.27</v>
      </c>
      <c r="R35">
        <v>0.247</v>
      </c>
      <c r="S35">
        <v>0.22700000000000001</v>
      </c>
      <c r="T35">
        <v>0.20799999999999999</v>
      </c>
      <c r="U35">
        <v>0.191</v>
      </c>
      <c r="V35">
        <v>0.17599999999999999</v>
      </c>
      <c r="W35">
        <v>0.16200000000000001</v>
      </c>
    </row>
    <row r="36" spans="2:54" x14ac:dyDescent="0.35">
      <c r="B36" t="s">
        <v>122</v>
      </c>
      <c r="C36" s="5">
        <f>NPV(C28,D26,E26:H26)+C26</f>
        <v>3408.6203920456101</v>
      </c>
      <c r="M36">
        <v>11</v>
      </c>
      <c r="N36">
        <v>0.317</v>
      </c>
      <c r="O36">
        <v>0.28699999999999998</v>
      </c>
      <c r="P36">
        <v>0.26100000000000001</v>
      </c>
      <c r="Q36">
        <v>0.23699999999999999</v>
      </c>
      <c r="R36">
        <v>0.215</v>
      </c>
      <c r="S36">
        <v>0.19500000000000001</v>
      </c>
      <c r="T36">
        <v>0.17799999999999999</v>
      </c>
      <c r="U36" t="s">
        <v>58</v>
      </c>
      <c r="V36">
        <v>0.14799999999999999</v>
      </c>
      <c r="W36">
        <v>0.13500000000000001</v>
      </c>
      <c r="AS36" t="s">
        <v>120</v>
      </c>
    </row>
    <row r="37" spans="2:54" x14ac:dyDescent="0.35">
      <c r="M37">
        <v>12</v>
      </c>
      <c r="N37">
        <v>0.28599999999999998</v>
      </c>
      <c r="O37">
        <v>0.25700000000000001</v>
      </c>
      <c r="P37">
        <v>0.23100000000000001</v>
      </c>
      <c r="Q37">
        <v>0.20799999999999999</v>
      </c>
      <c r="R37">
        <v>0.187</v>
      </c>
      <c r="S37">
        <v>0.16800000000000001</v>
      </c>
      <c r="T37">
        <v>0.152</v>
      </c>
      <c r="U37">
        <v>0.13700000000000001</v>
      </c>
      <c r="V37">
        <v>0.124</v>
      </c>
      <c r="W37">
        <v>0.112</v>
      </c>
    </row>
    <row r="38" spans="2:54" x14ac:dyDescent="0.35">
      <c r="M38">
        <v>13</v>
      </c>
      <c r="N38">
        <v>0.25800000000000001</v>
      </c>
      <c r="O38">
        <v>0.22900000000000001</v>
      </c>
      <c r="P38">
        <v>0.20399999999999999</v>
      </c>
      <c r="Q38">
        <v>0.182</v>
      </c>
      <c r="R38">
        <v>0.16300000000000001</v>
      </c>
      <c r="S38">
        <v>0.14499999999999999</v>
      </c>
      <c r="T38">
        <v>0.13</v>
      </c>
      <c r="U38">
        <v>0.11600000000000001</v>
      </c>
      <c r="V38">
        <v>0.104</v>
      </c>
      <c r="W38">
        <v>9.2999999999999999E-2</v>
      </c>
      <c r="AM38" t="s">
        <v>121</v>
      </c>
      <c r="AV38" s="5">
        <v>58824</v>
      </c>
    </row>
    <row r="39" spans="2:54" x14ac:dyDescent="0.35">
      <c r="M39">
        <v>14</v>
      </c>
      <c r="N39">
        <v>0.23200000000000001</v>
      </c>
      <c r="O39">
        <v>0.20499999999999999</v>
      </c>
      <c r="P39">
        <v>0.18099999999999999</v>
      </c>
      <c r="Q39">
        <v>0.16</v>
      </c>
      <c r="R39">
        <v>0.14099999999999999</v>
      </c>
      <c r="S39">
        <v>0.125</v>
      </c>
      <c r="T39">
        <v>0.111</v>
      </c>
      <c r="U39">
        <v>9.9000000000000005E-2</v>
      </c>
      <c r="V39">
        <v>8.7999999999999995E-2</v>
      </c>
      <c r="W39">
        <v>7.8E-2</v>
      </c>
    </row>
    <row r="40" spans="2:54" x14ac:dyDescent="0.35">
      <c r="C40" s="12">
        <v>0.08</v>
      </c>
      <c r="D40">
        <v>0.92600000000000005</v>
      </c>
      <c r="E40">
        <v>0.85699999999999998</v>
      </c>
      <c r="F40">
        <v>0.79400000000000004</v>
      </c>
      <c r="G40">
        <v>0.73499999999999999</v>
      </c>
      <c r="H40">
        <v>0.68100000000000005</v>
      </c>
      <c r="J40" t="s">
        <v>129</v>
      </c>
      <c r="M40">
        <v>15</v>
      </c>
      <c r="N40">
        <v>0.20899999999999999</v>
      </c>
      <c r="O40">
        <v>0.183</v>
      </c>
      <c r="P40" t="s">
        <v>59</v>
      </c>
      <c r="Q40" t="s">
        <v>60</v>
      </c>
      <c r="R40">
        <v>0.123</v>
      </c>
      <c r="S40" t="s">
        <v>61</v>
      </c>
      <c r="T40">
        <v>9.5000000000000001E-2</v>
      </c>
      <c r="U40" t="s">
        <v>62</v>
      </c>
      <c r="V40">
        <v>7.9000000000000001E-2</v>
      </c>
      <c r="W40">
        <v>6.5000000000000002E-2</v>
      </c>
    </row>
    <row r="41" spans="2:54" x14ac:dyDescent="0.35">
      <c r="B41" t="s">
        <v>123</v>
      </c>
      <c r="C41" t="s">
        <v>1</v>
      </c>
      <c r="D41">
        <v>1</v>
      </c>
      <c r="E41">
        <v>2</v>
      </c>
      <c r="F41">
        <v>3</v>
      </c>
      <c r="G41">
        <v>4</v>
      </c>
      <c r="H41">
        <v>5</v>
      </c>
      <c r="J41" t="s">
        <v>21</v>
      </c>
      <c r="M41">
        <v>16</v>
      </c>
      <c r="N41">
        <v>0.188</v>
      </c>
      <c r="O41" t="s">
        <v>63</v>
      </c>
      <c r="P41">
        <v>0.14099999999999999</v>
      </c>
      <c r="Q41">
        <v>0.123</v>
      </c>
      <c r="R41">
        <v>0.107</v>
      </c>
      <c r="S41" t="s">
        <v>64</v>
      </c>
      <c r="T41" t="s">
        <v>65</v>
      </c>
      <c r="U41" t="s">
        <v>66</v>
      </c>
      <c r="V41" t="s">
        <v>67</v>
      </c>
      <c r="W41">
        <v>5.3999999999999999E-2</v>
      </c>
      <c r="Y41" t="s">
        <v>77</v>
      </c>
      <c r="Z41" t="s">
        <v>7</v>
      </c>
      <c r="AA41" t="s">
        <v>78</v>
      </c>
    </row>
    <row r="42" spans="2:54" x14ac:dyDescent="0.35">
      <c r="B42" t="s">
        <v>124</v>
      </c>
      <c r="C42" s="5">
        <v>-100000</v>
      </c>
      <c r="D42">
        <v>25000</v>
      </c>
      <c r="E42">
        <v>25000</v>
      </c>
      <c r="F42">
        <v>25000</v>
      </c>
      <c r="G42">
        <v>25000</v>
      </c>
      <c r="H42">
        <v>25000</v>
      </c>
      <c r="J42" s="33">
        <f>NPV(C40,D42:H42)+C42</f>
        <v>-182.2490730478894</v>
      </c>
      <c r="M42">
        <v>17</v>
      </c>
      <c r="N42">
        <v>0.17</v>
      </c>
      <c r="O42">
        <v>0.14599999999999999</v>
      </c>
      <c r="P42">
        <v>0.125</v>
      </c>
      <c r="Q42">
        <v>0.108</v>
      </c>
      <c r="R42">
        <v>9.2999999999999999E-2</v>
      </c>
      <c r="S42" t="s">
        <v>68</v>
      </c>
      <c r="T42">
        <v>6.9000000000000006E-2</v>
      </c>
      <c r="U42" t="s">
        <v>69</v>
      </c>
      <c r="V42">
        <v>5.1999999999999998E-2</v>
      </c>
      <c r="W42">
        <v>4.4999999999999998E-2</v>
      </c>
      <c r="Y42" t="s">
        <v>79</v>
      </c>
      <c r="Z42" t="s">
        <v>80</v>
      </c>
      <c r="AA42" s="15">
        <v>500000</v>
      </c>
    </row>
    <row r="43" spans="2:54" x14ac:dyDescent="0.35">
      <c r="B43" t="s">
        <v>125</v>
      </c>
      <c r="C43" s="5">
        <v>-100000</v>
      </c>
      <c r="D43">
        <v>5000</v>
      </c>
      <c r="E43">
        <v>20000</v>
      </c>
      <c r="F43">
        <v>25000</v>
      </c>
      <c r="G43">
        <v>30000</v>
      </c>
      <c r="H43">
        <v>45000</v>
      </c>
      <c r="J43" s="33">
        <f>NPV(C40,D43:H43)+C43</f>
        <v>-5700.6484884179808</v>
      </c>
      <c r="M43">
        <v>18</v>
      </c>
      <c r="N43" t="s">
        <v>70</v>
      </c>
      <c r="O43">
        <v>0.13</v>
      </c>
      <c r="P43">
        <v>0.111</v>
      </c>
      <c r="Q43">
        <v>9.5000000000000001E-2</v>
      </c>
      <c r="R43">
        <v>8.1000000000000003E-2</v>
      </c>
      <c r="S43">
        <v>6.9000000000000006E-2</v>
      </c>
      <c r="T43" t="s">
        <v>71</v>
      </c>
      <c r="U43" t="s">
        <v>72</v>
      </c>
      <c r="V43" t="s">
        <v>73</v>
      </c>
      <c r="W43" t="s">
        <v>74</v>
      </c>
      <c r="Y43" t="s">
        <v>81</v>
      </c>
      <c r="Z43" t="s">
        <v>82</v>
      </c>
      <c r="AA43" t="s">
        <v>83</v>
      </c>
    </row>
    <row r="44" spans="2:54" x14ac:dyDescent="0.35">
      <c r="B44" t="s">
        <v>126</v>
      </c>
      <c r="C44" s="5">
        <v>-100000</v>
      </c>
      <c r="D44">
        <v>45000</v>
      </c>
      <c r="E44">
        <v>35000</v>
      </c>
      <c r="F44">
        <v>30000</v>
      </c>
      <c r="G44">
        <v>10000</v>
      </c>
      <c r="H44">
        <v>5000</v>
      </c>
      <c r="J44" s="33">
        <f>NPV(C40,D44:H44)+C44</f>
        <v>6241.7071209674614</v>
      </c>
      <c r="M44">
        <v>19</v>
      </c>
      <c r="N44">
        <v>0.13800000000000001</v>
      </c>
      <c r="O44">
        <v>0.11600000000000001</v>
      </c>
      <c r="P44">
        <v>9.8000000000000004E-2</v>
      </c>
      <c r="Q44">
        <v>8.3000000000000004E-2</v>
      </c>
      <c r="R44">
        <v>7.0000000000000007E-2</v>
      </c>
      <c r="S44">
        <v>0.06</v>
      </c>
      <c r="T44" t="s">
        <v>75</v>
      </c>
      <c r="U44">
        <v>4.2999999999999997E-2</v>
      </c>
      <c r="V44">
        <v>3.6999999999999998E-2</v>
      </c>
      <c r="W44" t="s">
        <v>76</v>
      </c>
      <c r="Y44" t="s">
        <v>84</v>
      </c>
      <c r="Z44" t="s">
        <v>85</v>
      </c>
      <c r="AA44" t="s">
        <v>86</v>
      </c>
    </row>
    <row r="45" spans="2:54" x14ac:dyDescent="0.35">
      <c r="M45">
        <v>20</v>
      </c>
      <c r="N45">
        <v>0.124</v>
      </c>
      <c r="O45">
        <v>0.104</v>
      </c>
      <c r="P45">
        <v>8.6999999999999994E-2</v>
      </c>
      <c r="Q45">
        <v>7.2999999999999995E-2</v>
      </c>
      <c r="R45">
        <v>6.0999999999999999E-2</v>
      </c>
      <c r="S45">
        <v>5.0999999999999997E-2</v>
      </c>
      <c r="T45">
        <v>4.2999999999999997E-2</v>
      </c>
      <c r="U45">
        <v>3.6999999999999998E-2</v>
      </c>
      <c r="V45">
        <v>31</v>
      </c>
      <c r="W45">
        <v>2.5999999999999999E-2</v>
      </c>
      <c r="Y45" t="s">
        <v>87</v>
      </c>
    </row>
    <row r="46" spans="2:54" x14ac:dyDescent="0.35">
      <c r="B46" t="s">
        <v>127</v>
      </c>
    </row>
    <row r="47" spans="2:54" x14ac:dyDescent="0.35">
      <c r="Z47" t="s">
        <v>7</v>
      </c>
      <c r="AA47" s="13">
        <v>6765</v>
      </c>
    </row>
    <row r="48" spans="2:54" x14ac:dyDescent="0.35">
      <c r="B48" t="s">
        <v>128</v>
      </c>
      <c r="C48" s="33">
        <f>NPV(C28,D26:H26)+C26</f>
        <v>3408.6203920456101</v>
      </c>
      <c r="Z48" t="s">
        <v>78</v>
      </c>
      <c r="AA48" s="13">
        <v>58834.45</v>
      </c>
    </row>
    <row r="52" spans="25:35" x14ac:dyDescent="0.35">
      <c r="Y52" t="s">
        <v>7</v>
      </c>
      <c r="AA52" t="s">
        <v>88</v>
      </c>
      <c r="AC52" t="s">
        <v>89</v>
      </c>
      <c r="AD52" t="s">
        <v>90</v>
      </c>
      <c r="AI52" t="s">
        <v>12</v>
      </c>
    </row>
    <row r="53" spans="25:35" x14ac:dyDescent="0.35">
      <c r="Y53" t="s">
        <v>13</v>
      </c>
      <c r="AA53" t="s">
        <v>91</v>
      </c>
      <c r="AB53" s="5">
        <v>5000</v>
      </c>
      <c r="AC53" s="5">
        <v>5000</v>
      </c>
      <c r="AD53" s="5">
        <v>5000</v>
      </c>
      <c r="AF53">
        <v>5000</v>
      </c>
      <c r="AI53">
        <v>5</v>
      </c>
    </row>
    <row r="55" spans="25:35" x14ac:dyDescent="0.35">
      <c r="Y55" t="s">
        <v>92</v>
      </c>
      <c r="Z55" t="s">
        <v>93</v>
      </c>
      <c r="AA55" t="s">
        <v>94</v>
      </c>
    </row>
    <row r="57" spans="25:35" x14ac:dyDescent="0.35">
      <c r="Y57" t="s">
        <v>95</v>
      </c>
      <c r="AA57" s="14">
        <v>0.15</v>
      </c>
    </row>
    <row r="59" spans="25:35" x14ac:dyDescent="0.35">
      <c r="Y59" t="s">
        <v>96</v>
      </c>
      <c r="AA59">
        <v>-10000</v>
      </c>
      <c r="AB59">
        <v>0.87</v>
      </c>
      <c r="AC59">
        <v>0.75600000000000001</v>
      </c>
      <c r="AD59">
        <v>0.65800000000000003</v>
      </c>
      <c r="AF59">
        <v>0.57199999999999995</v>
      </c>
      <c r="AI59">
        <v>0.497</v>
      </c>
    </row>
    <row r="61" spans="25:35" x14ac:dyDescent="0.35">
      <c r="Y61" t="s">
        <v>97</v>
      </c>
    </row>
    <row r="63" spans="25:35" x14ac:dyDescent="0.35">
      <c r="Y63" t="s">
        <v>21</v>
      </c>
      <c r="AA63" s="5">
        <v>6765</v>
      </c>
    </row>
    <row r="64" spans="25:35" x14ac:dyDescent="0.35">
      <c r="Y64" t="s">
        <v>78</v>
      </c>
      <c r="AA64" t="s">
        <v>98</v>
      </c>
      <c r="AC64" t="s">
        <v>9</v>
      </c>
      <c r="AD64" t="s">
        <v>99</v>
      </c>
      <c r="AI64" t="s">
        <v>12</v>
      </c>
    </row>
    <row r="65" spans="25:35" x14ac:dyDescent="0.35">
      <c r="Y65" t="s">
        <v>13</v>
      </c>
      <c r="AA65">
        <v>500</v>
      </c>
      <c r="AB65">
        <v>166.56700000000001</v>
      </c>
      <c r="AC65" s="5">
        <v>166667</v>
      </c>
      <c r="AD65" s="5">
        <v>166667</v>
      </c>
      <c r="AF65" s="5">
        <v>166667</v>
      </c>
      <c r="AI65">
        <v>166.56700000000001</v>
      </c>
    </row>
    <row r="67" spans="25:35" x14ac:dyDescent="0.35">
      <c r="Y67" t="s">
        <v>92</v>
      </c>
      <c r="AA67" t="s">
        <v>86</v>
      </c>
    </row>
    <row r="69" spans="25:35" x14ac:dyDescent="0.35">
      <c r="Y69" t="s">
        <v>100</v>
      </c>
      <c r="AA69" s="14">
        <v>0.15</v>
      </c>
    </row>
    <row r="71" spans="25:35" x14ac:dyDescent="0.35">
      <c r="Y71" t="s">
        <v>19</v>
      </c>
      <c r="AA71">
        <v>1</v>
      </c>
      <c r="AB71">
        <v>0.87</v>
      </c>
      <c r="AC71">
        <v>0.75600000000000001</v>
      </c>
      <c r="AD71">
        <v>0.65800000000000003</v>
      </c>
      <c r="AF71">
        <v>0.57199999999999995</v>
      </c>
      <c r="AI71">
        <v>0.497</v>
      </c>
    </row>
    <row r="73" spans="25:35" x14ac:dyDescent="0.35">
      <c r="Y73" t="s">
        <v>20</v>
      </c>
    </row>
    <row r="75" spans="25:35" x14ac:dyDescent="0.35">
      <c r="Y75" t="s">
        <v>21</v>
      </c>
      <c r="AA75" s="5">
        <v>58834</v>
      </c>
    </row>
  </sheetData>
  <pageMargins left="0.7" right="0.7" top="0.75" bottom="0.75" header="0.3" footer="0.3"/>
  <pageSetup orientation="portrait" r:id="rId1"/>
  <headerFooter>
    <oddHeader>&amp;C&amp;"Calibri"&amp;10&amp;KFF8C00C2 - Confidential&amp;1#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70"/>
  <sheetViews>
    <sheetView topLeftCell="F1" zoomScale="50" zoomScaleNormal="50" workbookViewId="0">
      <selection activeCell="O50" sqref="O50"/>
    </sheetView>
  </sheetViews>
  <sheetFormatPr defaultRowHeight="14.5" x14ac:dyDescent="0.35"/>
  <cols>
    <col min="1" max="1" width="8.7265625" customWidth="1"/>
    <col min="2" max="2" width="38.81640625" bestFit="1" customWidth="1"/>
    <col min="3" max="3" width="11.7265625" bestFit="1" customWidth="1"/>
    <col min="4" max="4" width="13.90625" bestFit="1" customWidth="1"/>
    <col min="5" max="6" width="13.1796875" bestFit="1" customWidth="1"/>
    <col min="7" max="7" width="9.54296875" bestFit="1" customWidth="1"/>
    <col min="8" max="8" width="8.453125" bestFit="1" customWidth="1"/>
    <col min="9" max="9" width="21.90625" bestFit="1" customWidth="1"/>
    <col min="10" max="10" width="13.1796875" bestFit="1" customWidth="1"/>
    <col min="11" max="11" width="19.36328125" bestFit="1" customWidth="1"/>
    <col min="12" max="12" width="9.54296875" bestFit="1" customWidth="1"/>
    <col min="13" max="13" width="8.08984375" bestFit="1" customWidth="1"/>
    <col min="14" max="14" width="7.1796875" bestFit="1" customWidth="1"/>
    <col min="15" max="15" width="8.81640625" bestFit="1" customWidth="1"/>
    <col min="18" max="18" width="13.54296875" bestFit="1" customWidth="1"/>
    <col min="19" max="19" width="11.7265625" bestFit="1" customWidth="1"/>
    <col min="20" max="20" width="22.08984375" bestFit="1" customWidth="1"/>
    <col min="21" max="21" width="11.54296875" bestFit="1" customWidth="1"/>
    <col min="22" max="22" width="10.26953125" bestFit="1" customWidth="1"/>
    <col min="23" max="23" width="11.7265625" bestFit="1" customWidth="1"/>
    <col min="24" max="26" width="10.26953125" bestFit="1" customWidth="1"/>
    <col min="27" max="27" width="21.90625" bestFit="1" customWidth="1"/>
    <col min="28" max="28" width="11.54296875" bestFit="1" customWidth="1"/>
    <col min="29" max="29" width="19.36328125" bestFit="1" customWidth="1"/>
    <col min="30" max="33" width="10.453125" bestFit="1" customWidth="1"/>
  </cols>
  <sheetData>
    <row r="1" spans="2:8" ht="15" thickBot="1" x14ac:dyDescent="0.4"/>
    <row r="2" spans="2:8" x14ac:dyDescent="0.35">
      <c r="B2" s="1" t="s">
        <v>130</v>
      </c>
      <c r="C2" s="37">
        <v>0.15</v>
      </c>
      <c r="D2" s="2"/>
      <c r="E2" s="2"/>
      <c r="F2" s="2"/>
      <c r="G2" s="2"/>
      <c r="H2" s="3"/>
    </row>
    <row r="3" spans="2:8" x14ac:dyDescent="0.35">
      <c r="B3" s="4" t="s">
        <v>131</v>
      </c>
      <c r="C3" s="5">
        <v>30000</v>
      </c>
      <c r="D3" s="5">
        <v>50000</v>
      </c>
      <c r="E3" s="5">
        <v>70000</v>
      </c>
      <c r="F3" s="5">
        <v>100000</v>
      </c>
      <c r="H3" s="6"/>
    </row>
    <row r="4" spans="2:8" x14ac:dyDescent="0.35">
      <c r="B4" s="4"/>
      <c r="C4" t="s">
        <v>124</v>
      </c>
      <c r="D4" t="s">
        <v>125</v>
      </c>
      <c r="E4" t="s">
        <v>126</v>
      </c>
      <c r="F4" t="s">
        <v>132</v>
      </c>
      <c r="H4" s="6"/>
    </row>
    <row r="5" spans="2:8" x14ac:dyDescent="0.35">
      <c r="B5" s="4" t="s">
        <v>1</v>
      </c>
      <c r="C5" s="5">
        <v>-30000</v>
      </c>
      <c r="D5" s="5">
        <v>-50000</v>
      </c>
      <c r="E5" s="5">
        <v>-70000</v>
      </c>
      <c r="F5" s="5">
        <v>-100000</v>
      </c>
      <c r="H5" s="6"/>
    </row>
    <row r="6" spans="2:8" x14ac:dyDescent="0.35">
      <c r="B6" s="4" t="s">
        <v>133</v>
      </c>
      <c r="H6" s="6"/>
    </row>
    <row r="7" spans="2:8" x14ac:dyDescent="0.35">
      <c r="B7" s="4"/>
      <c r="C7" t="s">
        <v>124</v>
      </c>
      <c r="D7" t="s">
        <v>125</v>
      </c>
      <c r="E7" t="s">
        <v>126</v>
      </c>
      <c r="F7" t="s">
        <v>132</v>
      </c>
      <c r="H7" s="6"/>
    </row>
    <row r="8" spans="2:8" x14ac:dyDescent="0.35">
      <c r="B8" s="4">
        <v>1</v>
      </c>
      <c r="C8" s="5">
        <v>10000</v>
      </c>
      <c r="D8" s="5">
        <v>25000</v>
      </c>
      <c r="E8" s="5">
        <v>15000</v>
      </c>
      <c r="F8" s="5">
        <v>30000</v>
      </c>
      <c r="H8" s="23">
        <v>0.87</v>
      </c>
    </row>
    <row r="9" spans="2:8" x14ac:dyDescent="0.35">
      <c r="B9" s="4">
        <v>2</v>
      </c>
      <c r="C9" s="5">
        <v>10000</v>
      </c>
      <c r="D9" s="5">
        <v>25000</v>
      </c>
      <c r="E9" s="5">
        <v>25000</v>
      </c>
      <c r="F9" s="5">
        <v>50000</v>
      </c>
      <c r="H9" s="23">
        <v>0.75600000000000001</v>
      </c>
    </row>
    <row r="10" spans="2:8" x14ac:dyDescent="0.35">
      <c r="B10" s="4">
        <v>3</v>
      </c>
      <c r="C10" s="5">
        <v>10000</v>
      </c>
      <c r="D10" s="5">
        <v>25000</v>
      </c>
      <c r="E10" s="5">
        <v>35000</v>
      </c>
      <c r="F10" s="5">
        <v>50000</v>
      </c>
      <c r="H10" s="23">
        <v>0.65800000000000003</v>
      </c>
    </row>
    <row r="11" spans="2:8" x14ac:dyDescent="0.35">
      <c r="B11" s="4">
        <v>4</v>
      </c>
      <c r="C11" s="5">
        <v>10000</v>
      </c>
      <c r="D11" s="5">
        <v>10000</v>
      </c>
      <c r="E11" s="5">
        <v>45000</v>
      </c>
      <c r="F11" s="5">
        <v>50000</v>
      </c>
      <c r="H11" s="23">
        <v>0.57199999999999995</v>
      </c>
    </row>
    <row r="12" spans="2:8" x14ac:dyDescent="0.35">
      <c r="B12" s="4"/>
      <c r="C12" s="36">
        <f>AVERAGE(C8:C11)</f>
        <v>10000</v>
      </c>
      <c r="D12" s="36">
        <f t="shared" ref="D12:F12" si="0">AVERAGE(D8:D11)</f>
        <v>21250</v>
      </c>
      <c r="E12" s="36">
        <f t="shared" si="0"/>
        <v>30000</v>
      </c>
      <c r="F12" s="36">
        <f t="shared" si="0"/>
        <v>45000</v>
      </c>
      <c r="H12" s="23">
        <v>0.497</v>
      </c>
    </row>
    <row r="13" spans="2:8" x14ac:dyDescent="0.35">
      <c r="B13" s="4" t="s">
        <v>21</v>
      </c>
      <c r="C13" s="33">
        <f>NPV(C2,C8:C11)+C5</f>
        <v>-1450.2163728688756</v>
      </c>
      <c r="D13" s="33">
        <f>NPV(C2,D8:D11)+D5</f>
        <v>12798.160383932314</v>
      </c>
      <c r="E13" s="33">
        <f>NPV(C2,E8:E11)+E5</f>
        <v>10689.034130095315</v>
      </c>
      <c r="F13" s="33">
        <f>NPV(C2,F8:F11)+F5</f>
        <v>25357.613787829541</v>
      </c>
      <c r="H13" s="6"/>
    </row>
    <row r="14" spans="2:8" ht="15" thickBot="1" x14ac:dyDescent="0.4">
      <c r="B14" s="7" t="s">
        <v>15</v>
      </c>
      <c r="C14" s="8">
        <f>C3/C8</f>
        <v>3</v>
      </c>
      <c r="D14" s="8">
        <f t="shared" ref="D14:F14" si="1">D3/D8</f>
        <v>2</v>
      </c>
      <c r="E14" s="8">
        <f t="shared" si="1"/>
        <v>4.666666666666667</v>
      </c>
      <c r="F14" s="8">
        <f t="shared" si="1"/>
        <v>3.3333333333333335</v>
      </c>
      <c r="G14" s="8"/>
      <c r="H14" s="9"/>
    </row>
    <row r="18" spans="2:33" x14ac:dyDescent="0.35">
      <c r="B18" t="s">
        <v>7</v>
      </c>
    </row>
    <row r="19" spans="2:33" x14ac:dyDescent="0.35">
      <c r="D19" t="s">
        <v>134</v>
      </c>
    </row>
    <row r="20" spans="2:33" x14ac:dyDescent="0.35">
      <c r="C20" t="s">
        <v>1</v>
      </c>
      <c r="D20">
        <v>1</v>
      </c>
      <c r="E20">
        <v>2</v>
      </c>
      <c r="F20">
        <v>3</v>
      </c>
      <c r="G20">
        <v>4</v>
      </c>
      <c r="H20">
        <v>5</v>
      </c>
    </row>
    <row r="21" spans="2:33" x14ac:dyDescent="0.35">
      <c r="B21" t="s">
        <v>13</v>
      </c>
      <c r="C21" s="5">
        <v>-70000</v>
      </c>
      <c r="D21">
        <v>30000</v>
      </c>
      <c r="E21">
        <v>20000</v>
      </c>
      <c r="F21">
        <v>20000</v>
      </c>
      <c r="G21">
        <v>20000</v>
      </c>
      <c r="H21">
        <v>15000</v>
      </c>
    </row>
    <row r="22" spans="2:33" x14ac:dyDescent="0.35">
      <c r="B22" t="s">
        <v>135</v>
      </c>
      <c r="D22">
        <f>C21/D21</f>
        <v>-2.3333333333333335</v>
      </c>
    </row>
    <row r="23" spans="2:33" ht="15" thickBot="1" x14ac:dyDescent="0.4"/>
    <row r="24" spans="2:33" x14ac:dyDescent="0.35">
      <c r="B24" s="1" t="s">
        <v>7</v>
      </c>
      <c r="C24" s="2"/>
      <c r="D24" s="2"/>
      <c r="E24" s="2"/>
      <c r="F24" s="2"/>
      <c r="G24" s="2"/>
      <c r="H24" s="3"/>
      <c r="I24" s="1" t="s">
        <v>7</v>
      </c>
      <c r="J24" s="2"/>
      <c r="K24" s="2"/>
      <c r="L24" s="2"/>
      <c r="M24" s="2"/>
      <c r="N24" s="2"/>
      <c r="O24" s="3"/>
      <c r="T24" s="1" t="s">
        <v>7</v>
      </c>
      <c r="U24" s="2"/>
      <c r="V24" s="2"/>
      <c r="W24" s="2"/>
      <c r="X24" s="2"/>
      <c r="Y24" s="2"/>
      <c r="Z24" s="3"/>
      <c r="AA24" s="1" t="s">
        <v>7</v>
      </c>
      <c r="AB24" s="2"/>
      <c r="AC24" s="2"/>
      <c r="AD24" s="2"/>
      <c r="AE24" s="2"/>
      <c r="AF24" s="2"/>
      <c r="AG24" s="3"/>
    </row>
    <row r="25" spans="2:33" x14ac:dyDescent="0.35">
      <c r="B25" s="4"/>
      <c r="D25" t="s">
        <v>134</v>
      </c>
      <c r="H25" s="6"/>
      <c r="I25" s="4"/>
      <c r="K25" t="s">
        <v>134</v>
      </c>
      <c r="O25" s="6"/>
      <c r="T25" s="4"/>
      <c r="V25" t="s">
        <v>134</v>
      </c>
      <c r="Z25" s="6"/>
      <c r="AA25" s="4"/>
      <c r="AC25" t="s">
        <v>134</v>
      </c>
      <c r="AG25" s="6"/>
    </row>
    <row r="26" spans="2:33" x14ac:dyDescent="0.35">
      <c r="B26" s="4"/>
      <c r="C26" t="s">
        <v>1</v>
      </c>
      <c r="D26">
        <v>1</v>
      </c>
      <c r="E26">
        <v>2</v>
      </c>
      <c r="F26">
        <v>3</v>
      </c>
      <c r="G26">
        <v>4</v>
      </c>
      <c r="H26" s="6">
        <v>5</v>
      </c>
      <c r="I26" s="4"/>
      <c r="J26" t="s">
        <v>1</v>
      </c>
      <c r="K26">
        <v>1</v>
      </c>
      <c r="L26">
        <v>2</v>
      </c>
      <c r="M26">
        <v>3</v>
      </c>
      <c r="N26">
        <v>4</v>
      </c>
      <c r="O26" s="6">
        <v>5</v>
      </c>
      <c r="T26" s="4"/>
      <c r="U26" t="s">
        <v>1</v>
      </c>
      <c r="V26">
        <v>1</v>
      </c>
      <c r="W26">
        <v>2</v>
      </c>
      <c r="X26">
        <v>3</v>
      </c>
      <c r="Y26">
        <v>4</v>
      </c>
      <c r="Z26" s="6">
        <v>5</v>
      </c>
      <c r="AA26" s="4"/>
      <c r="AB26" t="s">
        <v>1</v>
      </c>
      <c r="AC26">
        <v>1</v>
      </c>
      <c r="AD26">
        <v>2</v>
      </c>
      <c r="AE26">
        <v>3</v>
      </c>
      <c r="AF26">
        <v>4</v>
      </c>
      <c r="AG26" s="6">
        <v>5</v>
      </c>
    </row>
    <row r="27" spans="2:33" x14ac:dyDescent="0.35">
      <c r="B27" s="4" t="s">
        <v>136</v>
      </c>
      <c r="C27" s="5">
        <v>-70000</v>
      </c>
      <c r="D27">
        <v>30000</v>
      </c>
      <c r="E27">
        <v>20000</v>
      </c>
      <c r="F27">
        <v>20000</v>
      </c>
      <c r="G27">
        <v>20000</v>
      </c>
      <c r="H27" s="6">
        <v>15000</v>
      </c>
      <c r="I27" s="4" t="s">
        <v>137</v>
      </c>
      <c r="J27" s="5">
        <v>-70000</v>
      </c>
      <c r="K27">
        <v>30000</v>
      </c>
      <c r="L27">
        <v>20000</v>
      </c>
      <c r="M27">
        <v>20000</v>
      </c>
      <c r="N27">
        <v>20000</v>
      </c>
      <c r="O27" s="6">
        <v>15000</v>
      </c>
      <c r="T27" s="4" t="s">
        <v>136</v>
      </c>
      <c r="U27" s="43">
        <v>-10000</v>
      </c>
      <c r="V27" s="43">
        <v>5000</v>
      </c>
      <c r="W27" s="43">
        <v>5000</v>
      </c>
      <c r="X27" s="43">
        <v>5000</v>
      </c>
      <c r="Y27" s="43">
        <v>5000</v>
      </c>
      <c r="Z27" s="43">
        <v>5000</v>
      </c>
      <c r="AA27" s="4" t="s">
        <v>137</v>
      </c>
      <c r="AB27" s="44">
        <v>-500000</v>
      </c>
      <c r="AC27" s="44">
        <v>166667</v>
      </c>
      <c r="AD27" s="44">
        <v>166667</v>
      </c>
      <c r="AE27" s="44">
        <v>166667</v>
      </c>
      <c r="AF27" s="44">
        <v>166667</v>
      </c>
      <c r="AG27" s="44">
        <v>166667</v>
      </c>
    </row>
    <row r="28" spans="2:33" x14ac:dyDescent="0.35">
      <c r="B28" s="4"/>
      <c r="H28" s="6"/>
      <c r="I28" s="4"/>
      <c r="O28" s="6"/>
      <c r="T28" s="4"/>
      <c r="Z28" s="6"/>
      <c r="AA28" s="4"/>
      <c r="AG28" s="6"/>
    </row>
    <row r="29" spans="2:33" x14ac:dyDescent="0.35">
      <c r="B29" s="4" t="s">
        <v>15</v>
      </c>
      <c r="C29">
        <v>3</v>
      </c>
      <c r="D29" t="s">
        <v>138</v>
      </c>
      <c r="E29" t="s">
        <v>139</v>
      </c>
      <c r="H29" s="6"/>
      <c r="I29" s="4" t="s">
        <v>15</v>
      </c>
      <c r="J29">
        <v>3</v>
      </c>
      <c r="K29" t="s">
        <v>140</v>
      </c>
      <c r="O29" s="6"/>
      <c r="T29" s="4" t="s">
        <v>15</v>
      </c>
      <c r="U29">
        <v>3</v>
      </c>
      <c r="V29" t="s">
        <v>138</v>
      </c>
      <c r="W29" t="s">
        <v>139</v>
      </c>
      <c r="Z29" s="6"/>
      <c r="AA29" s="4" t="s">
        <v>15</v>
      </c>
      <c r="AB29">
        <v>3</v>
      </c>
      <c r="AC29" t="s">
        <v>140</v>
      </c>
      <c r="AG29" s="6"/>
    </row>
    <row r="30" spans="2:33" x14ac:dyDescent="0.35">
      <c r="B30" s="4"/>
      <c r="H30" s="6"/>
      <c r="I30" s="4"/>
      <c r="O30" s="6"/>
      <c r="T30" s="4"/>
      <c r="Z30" s="6"/>
      <c r="AA30" s="4"/>
      <c r="AG30" s="6"/>
    </row>
    <row r="31" spans="2:33" x14ac:dyDescent="0.35">
      <c r="B31" s="4" t="s">
        <v>141</v>
      </c>
      <c r="C31" s="14">
        <v>0.1</v>
      </c>
      <c r="H31" s="6"/>
      <c r="I31" s="4" t="s">
        <v>142</v>
      </c>
      <c r="J31" s="14">
        <v>0.2</v>
      </c>
      <c r="O31" s="6"/>
      <c r="T31" s="4" t="s">
        <v>141</v>
      </c>
      <c r="U31" s="14">
        <v>0.1</v>
      </c>
      <c r="Z31" s="6"/>
      <c r="AA31" s="4" t="s">
        <v>142</v>
      </c>
      <c r="AB31" s="14">
        <v>0.2</v>
      </c>
      <c r="AG31" s="6"/>
    </row>
    <row r="32" spans="2:33" x14ac:dyDescent="0.35">
      <c r="B32" s="4"/>
      <c r="H32" s="6"/>
      <c r="I32" s="4"/>
      <c r="O32" s="6"/>
      <c r="T32" s="4"/>
      <c r="Z32" s="6"/>
      <c r="AA32" s="4"/>
      <c r="AG32" s="6"/>
    </row>
    <row r="33" spans="2:33" x14ac:dyDescent="0.35">
      <c r="B33" s="4" t="s">
        <v>143</v>
      </c>
      <c r="C33">
        <v>1</v>
      </c>
      <c r="D33">
        <v>0.90900000000000003</v>
      </c>
      <c r="E33">
        <v>0.82599999999999996</v>
      </c>
      <c r="F33">
        <v>0.751</v>
      </c>
      <c r="G33">
        <v>0.68300000000000005</v>
      </c>
      <c r="H33" s="6">
        <v>0.621</v>
      </c>
      <c r="I33" s="4" t="s">
        <v>19</v>
      </c>
      <c r="J33">
        <v>1</v>
      </c>
      <c r="K33">
        <v>0.83299999999999996</v>
      </c>
      <c r="L33">
        <v>0.69399999999999995</v>
      </c>
      <c r="M33">
        <v>0.57899999999999996</v>
      </c>
      <c r="N33">
        <v>0.48199999999999998</v>
      </c>
      <c r="O33" s="6">
        <v>0.40200000000000002</v>
      </c>
      <c r="T33" s="4" t="s">
        <v>143</v>
      </c>
      <c r="U33">
        <v>1</v>
      </c>
      <c r="V33">
        <v>1.41</v>
      </c>
      <c r="W33">
        <v>1.99</v>
      </c>
      <c r="X33">
        <v>2.81</v>
      </c>
      <c r="Y33">
        <v>3.96</v>
      </c>
      <c r="Z33" s="6">
        <v>5.58</v>
      </c>
      <c r="AA33" s="4" t="s">
        <v>19</v>
      </c>
      <c r="AB33">
        <v>1</v>
      </c>
      <c r="AC33">
        <v>0.83299999999999996</v>
      </c>
      <c r="AD33">
        <v>0.69399999999999995</v>
      </c>
      <c r="AE33">
        <v>0.57899999999999996</v>
      </c>
      <c r="AF33">
        <v>0.48199999999999998</v>
      </c>
      <c r="AG33" s="6">
        <v>0.40200000000000002</v>
      </c>
    </row>
    <row r="34" spans="2:33" x14ac:dyDescent="0.35">
      <c r="B34" s="4"/>
      <c r="H34" s="6"/>
      <c r="I34" s="4"/>
      <c r="O34" s="6"/>
      <c r="T34" s="4"/>
      <c r="Z34" s="6"/>
      <c r="AA34" s="4"/>
      <c r="AG34" s="6"/>
    </row>
    <row r="35" spans="2:33" x14ac:dyDescent="0.35">
      <c r="B35" s="4" t="s">
        <v>20</v>
      </c>
      <c r="C35" s="5">
        <v>-70000</v>
      </c>
      <c r="D35" s="13">
        <v>27270</v>
      </c>
      <c r="E35">
        <v>165200</v>
      </c>
      <c r="F35">
        <v>15020</v>
      </c>
      <c r="G35" s="13">
        <v>13660</v>
      </c>
      <c r="H35" s="32">
        <v>9315</v>
      </c>
      <c r="I35" s="4" t="s">
        <v>144</v>
      </c>
      <c r="J35">
        <v>-70</v>
      </c>
      <c r="K35" s="13">
        <v>24990</v>
      </c>
      <c r="L35" s="13">
        <v>13880</v>
      </c>
      <c r="M35" t="s">
        <v>145</v>
      </c>
      <c r="N35" s="5">
        <v>96400</v>
      </c>
      <c r="O35" s="32">
        <v>6030</v>
      </c>
      <c r="T35" s="4" t="s">
        <v>20</v>
      </c>
      <c r="U35" s="5">
        <v>-70000</v>
      </c>
      <c r="V35" s="13">
        <f>V27/V33</f>
        <v>3546.0992907801419</v>
      </c>
      <c r="W35" s="13">
        <f t="shared" ref="W35:Z35" si="2">W27/W33</f>
        <v>2512.5628140703516</v>
      </c>
      <c r="X35" s="13">
        <f t="shared" si="2"/>
        <v>1779.3594306049822</v>
      </c>
      <c r="Y35" s="13">
        <f t="shared" si="2"/>
        <v>1262.6262626262626</v>
      </c>
      <c r="Z35" s="13">
        <f t="shared" si="2"/>
        <v>896.05734767025092</v>
      </c>
      <c r="AA35" s="4" t="s">
        <v>144</v>
      </c>
      <c r="AB35">
        <v>-70</v>
      </c>
      <c r="AC35" s="13">
        <v>24990</v>
      </c>
      <c r="AD35" s="13">
        <v>13880</v>
      </c>
      <c r="AE35" t="s">
        <v>145</v>
      </c>
      <c r="AF35" s="5">
        <v>96400</v>
      </c>
      <c r="AG35" s="32">
        <v>6030</v>
      </c>
    </row>
    <row r="36" spans="2:33" x14ac:dyDescent="0.35">
      <c r="B36" s="4"/>
      <c r="H36" s="6"/>
      <c r="I36" s="4"/>
      <c r="O36" s="6"/>
      <c r="T36" s="4"/>
      <c r="Z36" s="6"/>
      <c r="AA36" s="4"/>
      <c r="AG36" s="6"/>
    </row>
    <row r="37" spans="2:33" ht="15" thickBot="1" x14ac:dyDescent="0.4">
      <c r="B37" s="7" t="s">
        <v>21</v>
      </c>
      <c r="C37" s="38">
        <v>11785</v>
      </c>
      <c r="D37" s="8"/>
      <c r="E37" s="8"/>
      <c r="F37" s="8"/>
      <c r="G37" s="8"/>
      <c r="H37" s="9"/>
      <c r="I37" s="7" t="s">
        <v>21</v>
      </c>
      <c r="J37" s="38">
        <v>-3880</v>
      </c>
      <c r="K37" s="8"/>
      <c r="L37" s="8"/>
      <c r="M37" s="8"/>
      <c r="N37" s="8"/>
      <c r="O37" s="9"/>
      <c r="T37" s="7" t="s">
        <v>21</v>
      </c>
      <c r="U37" s="38"/>
      <c r="V37" s="8"/>
      <c r="W37" s="8"/>
      <c r="X37" s="8"/>
      <c r="Y37" s="8"/>
      <c r="Z37" s="9"/>
      <c r="AA37" s="7" t="s">
        <v>21</v>
      </c>
      <c r="AB37" s="38"/>
      <c r="AC37" s="8"/>
      <c r="AD37" s="8"/>
      <c r="AE37" s="8"/>
      <c r="AF37" s="8"/>
      <c r="AG37" s="9"/>
    </row>
    <row r="38" spans="2:33" x14ac:dyDescent="0.35">
      <c r="B38" s="4" t="s">
        <v>122</v>
      </c>
      <c r="C38" s="39">
        <f>NPV(C31,D27:H27)+C27</f>
        <v>11802.037863782258</v>
      </c>
      <c r="J38" s="39">
        <f>NPV(J31,K27:O27)+J27</f>
        <v>-3863.811728395056</v>
      </c>
      <c r="T38" s="4" t="s">
        <v>122</v>
      </c>
      <c r="U38" s="39">
        <f>NPV(U31,V27:Z27)+U27</f>
        <v>8953.9338470422372</v>
      </c>
      <c r="AB38" s="39">
        <f>NPV(AB31,AC27:AG27)+AB27</f>
        <v>-1563.6464763374534</v>
      </c>
    </row>
    <row r="39" spans="2:33" x14ac:dyDescent="0.35">
      <c r="J39">
        <v>3863.8117283950501</v>
      </c>
      <c r="AB39" s="36">
        <v>1563.6464763374499</v>
      </c>
    </row>
    <row r="40" spans="2:33" x14ac:dyDescent="0.35">
      <c r="D40">
        <v>10</v>
      </c>
      <c r="T40" t="s">
        <v>151</v>
      </c>
      <c r="U40">
        <f>U27/V27</f>
        <v>-2</v>
      </c>
      <c r="AB40">
        <f>AB27/AC27</f>
        <v>-2.9999940000119998</v>
      </c>
    </row>
    <row r="41" spans="2:33" x14ac:dyDescent="0.35">
      <c r="D41" s="12">
        <v>0.1</v>
      </c>
      <c r="E41" s="39">
        <f>C38+J39</f>
        <v>15665.849592177308</v>
      </c>
    </row>
    <row r="43" spans="2:33" x14ac:dyDescent="0.35">
      <c r="D43" s="12">
        <v>0.01</v>
      </c>
      <c r="E43" s="40">
        <v>1567</v>
      </c>
      <c r="R43">
        <v>10</v>
      </c>
    </row>
    <row r="44" spans="2:33" x14ac:dyDescent="0.35">
      <c r="R44" s="12">
        <v>0.1</v>
      </c>
      <c r="S44" s="39">
        <f>U38+AB39</f>
        <v>10517.580323379687</v>
      </c>
    </row>
    <row r="45" spans="2:33" x14ac:dyDescent="0.35">
      <c r="D45" t="s">
        <v>146</v>
      </c>
      <c r="E45" s="5">
        <f>C37</f>
        <v>11785</v>
      </c>
    </row>
    <row r="46" spans="2:33" x14ac:dyDescent="0.35">
      <c r="R46" s="12">
        <v>0.01</v>
      </c>
      <c r="S46" s="40">
        <v>1051.7</v>
      </c>
    </row>
    <row r="47" spans="2:33" x14ac:dyDescent="0.35">
      <c r="D47" t="s">
        <v>147</v>
      </c>
      <c r="E47" s="36">
        <f>E45/E43</f>
        <v>7.5207402680280788</v>
      </c>
      <c r="F47" t="s">
        <v>148</v>
      </c>
    </row>
    <row r="48" spans="2:33" x14ac:dyDescent="0.35">
      <c r="R48" t="s">
        <v>146</v>
      </c>
      <c r="S48" s="5">
        <f>R43</f>
        <v>10</v>
      </c>
    </row>
    <row r="49" spans="4:19" x14ac:dyDescent="0.35">
      <c r="D49" t="s">
        <v>149</v>
      </c>
      <c r="E49" s="36">
        <f>D40+E47</f>
        <v>17.520740268028078</v>
      </c>
      <c r="F49" t="s">
        <v>148</v>
      </c>
    </row>
    <row r="50" spans="4:19" ht="15" thickBot="1" x14ac:dyDescent="0.4">
      <c r="R50" t="s">
        <v>147</v>
      </c>
      <c r="S50" s="36">
        <f>S48/S46</f>
        <v>9.5084149472282973E-3</v>
      </c>
    </row>
    <row r="51" spans="4:19" ht="15" thickBot="1" x14ac:dyDescent="0.4">
      <c r="D51" s="41" t="s">
        <v>149</v>
      </c>
      <c r="E51" s="42">
        <f>IRR(C35:H35,10)</f>
        <v>0.8069316361480694</v>
      </c>
    </row>
    <row r="52" spans="4:19" x14ac:dyDescent="0.35">
      <c r="R52" t="s">
        <v>149</v>
      </c>
      <c r="S52" s="36">
        <f>R43+S50</f>
        <v>10.009508414947229</v>
      </c>
    </row>
    <row r="55" spans="4:19" x14ac:dyDescent="0.35">
      <c r="D55" t="s">
        <v>130</v>
      </c>
    </row>
    <row r="56" spans="4:19" x14ac:dyDescent="0.35">
      <c r="E56" s="12">
        <v>0.1</v>
      </c>
      <c r="F56" s="12">
        <v>0.2</v>
      </c>
      <c r="G56" s="14">
        <v>0.16200000000000001</v>
      </c>
    </row>
    <row r="58" spans="4:19" x14ac:dyDescent="0.35">
      <c r="E58">
        <v>-100000</v>
      </c>
      <c r="F58">
        <v>40000</v>
      </c>
      <c r="G58">
        <v>30000</v>
      </c>
      <c r="H58">
        <v>30000</v>
      </c>
      <c r="I58">
        <v>30000</v>
      </c>
      <c r="J58">
        <v>15000</v>
      </c>
    </row>
    <row r="60" spans="4:19" x14ac:dyDescent="0.35">
      <c r="E60">
        <v>13500.69</v>
      </c>
      <c r="F60">
        <v>-7976.47</v>
      </c>
      <c r="G60">
        <v>-702.32</v>
      </c>
    </row>
    <row r="62" spans="4:19" x14ac:dyDescent="0.35">
      <c r="E62" s="12">
        <v>0.1</v>
      </c>
      <c r="F62">
        <v>21477.16</v>
      </c>
      <c r="G62" s="14"/>
    </row>
    <row r="64" spans="4:19" x14ac:dyDescent="0.35">
      <c r="E64" t="s">
        <v>150</v>
      </c>
      <c r="F64">
        <v>2148</v>
      </c>
    </row>
    <row r="66" spans="5:6" x14ac:dyDescent="0.35">
      <c r="F66">
        <v>6.29</v>
      </c>
    </row>
    <row r="68" spans="5:6" x14ac:dyDescent="0.35">
      <c r="F68" s="14">
        <v>0.16289999999999999</v>
      </c>
    </row>
    <row r="70" spans="5:6" x14ac:dyDescent="0.35">
      <c r="E70" t="s">
        <v>149</v>
      </c>
      <c r="F70" s="14">
        <f>IRR(E58:J58,5%)</f>
        <v>0.15858367195993273</v>
      </c>
    </row>
  </sheetData>
  <pageMargins left="0.7" right="0.7" top="0.75" bottom="0.75" header="0.3" footer="0.3"/>
  <pageSetup orientation="portrait" r:id="rId1"/>
  <headerFooter>
    <oddHeader>&amp;C&amp;"Calibri"&amp;10&amp;KFF8C00C2 - Confidential&amp;1#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8" sqref="L18"/>
    </sheetView>
  </sheetViews>
  <sheetFormatPr defaultRowHeight="14.5" x14ac:dyDescent="0.35"/>
  <sheetData/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topLeftCell="A28" zoomScale="60" zoomScaleNormal="60" workbookViewId="0">
      <selection activeCell="F55" sqref="F55"/>
    </sheetView>
  </sheetViews>
  <sheetFormatPr defaultRowHeight="14.5" x14ac:dyDescent="0.35"/>
  <cols>
    <col min="1" max="1" width="24.26953125" bestFit="1" customWidth="1"/>
    <col min="2" max="2" width="12" bestFit="1" customWidth="1"/>
    <col min="3" max="3" width="19.6328125" bestFit="1" customWidth="1"/>
    <col min="4" max="4" width="10.36328125" bestFit="1" customWidth="1"/>
    <col min="5" max="7" width="9.90625" bestFit="1" customWidth="1"/>
    <col min="8" max="8" width="8.7265625" customWidth="1"/>
    <col min="11" max="11" width="8.7265625" customWidth="1"/>
    <col min="13" max="13" width="7.1796875" bestFit="1" customWidth="1"/>
    <col min="14" max="14" width="3.54296875" bestFit="1" customWidth="1"/>
    <col min="18" max="18" width="22.6328125" bestFit="1" customWidth="1"/>
    <col min="19" max="19" width="12" bestFit="1" customWidth="1"/>
    <col min="20" max="20" width="19.6328125" bestFit="1" customWidth="1"/>
    <col min="21" max="21" width="10.36328125" bestFit="1" customWidth="1"/>
    <col min="22" max="24" width="9.90625" bestFit="1" customWidth="1"/>
    <col min="26" max="26" width="22.6328125" bestFit="1" customWidth="1"/>
    <col min="27" max="27" width="12" bestFit="1" customWidth="1"/>
    <col min="28" max="28" width="19.6328125" bestFit="1" customWidth="1"/>
    <col min="29" max="29" width="10.36328125" bestFit="1" customWidth="1"/>
    <col min="30" max="32" width="9.90625" bestFit="1" customWidth="1"/>
  </cols>
  <sheetData>
    <row r="1" spans="1:20" x14ac:dyDescent="0.35">
      <c r="B1" t="s">
        <v>1</v>
      </c>
      <c r="C1" t="s">
        <v>8</v>
      </c>
      <c r="D1" t="s">
        <v>9</v>
      </c>
      <c r="E1" t="s">
        <v>10</v>
      </c>
      <c r="F1" t="s">
        <v>11</v>
      </c>
      <c r="G1" t="s">
        <v>12</v>
      </c>
    </row>
    <row r="2" spans="1:20" x14ac:dyDescent="0.35">
      <c r="A2" t="s">
        <v>13</v>
      </c>
      <c r="B2" s="5">
        <v>-10000</v>
      </c>
      <c r="C2">
        <v>4000</v>
      </c>
      <c r="D2">
        <v>4000</v>
      </c>
      <c r="E2">
        <v>4000</v>
      </c>
      <c r="F2">
        <v>4000</v>
      </c>
      <c r="G2">
        <v>4000</v>
      </c>
    </row>
    <row r="3" spans="1:20" x14ac:dyDescent="0.35">
      <c r="M3" s="5">
        <f>SUM(C10:G10)</f>
        <v>15972</v>
      </c>
    </row>
    <row r="4" spans="1:20" x14ac:dyDescent="0.35">
      <c r="A4" t="s">
        <v>152</v>
      </c>
      <c r="B4" t="s">
        <v>16</v>
      </c>
      <c r="M4">
        <v>10000</v>
      </c>
    </row>
    <row r="5" spans="1:20" x14ac:dyDescent="0.35">
      <c r="M5" s="36">
        <f>M3/M4</f>
        <v>1.5972</v>
      </c>
      <c r="N5" t="s">
        <v>158</v>
      </c>
    </row>
    <row r="6" spans="1:20" x14ac:dyDescent="0.35">
      <c r="A6" t="s">
        <v>153</v>
      </c>
      <c r="B6" s="12">
        <v>0.08</v>
      </c>
    </row>
    <row r="8" spans="1:20" x14ac:dyDescent="0.35">
      <c r="A8" t="s">
        <v>19</v>
      </c>
      <c r="B8">
        <v>1</v>
      </c>
      <c r="C8">
        <v>0.92600000000000005</v>
      </c>
      <c r="D8">
        <v>0.85699999999999998</v>
      </c>
      <c r="E8">
        <v>0.79400000000000004</v>
      </c>
      <c r="F8">
        <v>0.73499999999999999</v>
      </c>
      <c r="G8">
        <v>0.68100000000000005</v>
      </c>
      <c r="T8" t="s">
        <v>161</v>
      </c>
    </row>
    <row r="10" spans="1:20" x14ac:dyDescent="0.35">
      <c r="A10" t="s">
        <v>20</v>
      </c>
      <c r="B10" s="5">
        <v>10000</v>
      </c>
      <c r="C10">
        <v>3704</v>
      </c>
      <c r="D10">
        <v>3428</v>
      </c>
      <c r="E10">
        <v>3176</v>
      </c>
      <c r="F10">
        <v>2940</v>
      </c>
      <c r="G10">
        <v>2724</v>
      </c>
    </row>
    <row r="12" spans="1:20" x14ac:dyDescent="0.35">
      <c r="A12" t="s">
        <v>21</v>
      </c>
      <c r="B12" s="5">
        <v>5972</v>
      </c>
    </row>
    <row r="14" spans="1:20" x14ac:dyDescent="0.35">
      <c r="A14" t="s">
        <v>154</v>
      </c>
      <c r="B14" s="5">
        <v>5971</v>
      </c>
    </row>
    <row r="17" spans="1:7" x14ac:dyDescent="0.35">
      <c r="A17" t="s">
        <v>7</v>
      </c>
    </row>
    <row r="18" spans="1:7" x14ac:dyDescent="0.35">
      <c r="C18" t="s">
        <v>134</v>
      </c>
    </row>
    <row r="19" spans="1:7" x14ac:dyDescent="0.35">
      <c r="B19" t="s">
        <v>1</v>
      </c>
      <c r="C19">
        <v>1</v>
      </c>
      <c r="D19">
        <v>2</v>
      </c>
      <c r="E19">
        <v>3</v>
      </c>
      <c r="F19">
        <v>4</v>
      </c>
      <c r="G19">
        <v>5</v>
      </c>
    </row>
    <row r="20" spans="1:7" x14ac:dyDescent="0.35">
      <c r="A20" t="s">
        <v>13</v>
      </c>
      <c r="B20" s="5">
        <v>100000</v>
      </c>
      <c r="C20">
        <v>25000</v>
      </c>
      <c r="D20">
        <v>25000</v>
      </c>
      <c r="E20">
        <v>25000</v>
      </c>
      <c r="F20">
        <v>25000</v>
      </c>
      <c r="G20">
        <v>25000</v>
      </c>
    </row>
    <row r="22" spans="1:7" x14ac:dyDescent="0.35">
      <c r="A22" t="s">
        <v>15</v>
      </c>
      <c r="B22" t="s">
        <v>155</v>
      </c>
      <c r="C22" t="s">
        <v>156</v>
      </c>
    </row>
    <row r="24" spans="1:7" x14ac:dyDescent="0.35">
      <c r="A24" t="s">
        <v>153</v>
      </c>
      <c r="B24" s="14">
        <v>0.1</v>
      </c>
    </row>
    <row r="26" spans="1:7" x14ac:dyDescent="0.35">
      <c r="A26" t="s">
        <v>19</v>
      </c>
      <c r="B26">
        <v>1</v>
      </c>
      <c r="C26">
        <v>0.90900000000000003</v>
      </c>
      <c r="D26">
        <v>0.82599999999999996</v>
      </c>
      <c r="E26">
        <v>0.751</v>
      </c>
      <c r="F26">
        <v>0.68300000000000005</v>
      </c>
      <c r="G26">
        <v>0.621</v>
      </c>
    </row>
    <row r="28" spans="1:7" x14ac:dyDescent="0.35">
      <c r="A28" t="s">
        <v>20</v>
      </c>
      <c r="B28" s="5">
        <v>100000</v>
      </c>
      <c r="C28" s="13">
        <v>22725</v>
      </c>
      <c r="D28" s="13">
        <v>20650</v>
      </c>
      <c r="E28" s="13">
        <v>18775</v>
      </c>
      <c r="F28" s="13">
        <v>17075</v>
      </c>
      <c r="G28" s="13">
        <v>15525</v>
      </c>
    </row>
    <row r="30" spans="1:7" x14ac:dyDescent="0.35">
      <c r="A30" t="s">
        <v>21</v>
      </c>
      <c r="B30" s="5">
        <v>-5250</v>
      </c>
    </row>
    <row r="32" spans="1:7" x14ac:dyDescent="0.35">
      <c r="A32" t="s">
        <v>157</v>
      </c>
      <c r="B32" s="5">
        <v>5230</v>
      </c>
      <c r="E32" t="s">
        <v>158</v>
      </c>
      <c r="F32">
        <v>1.05</v>
      </c>
    </row>
    <row r="33" spans="1:32" x14ac:dyDescent="0.35">
      <c r="E33" t="s">
        <v>159</v>
      </c>
      <c r="F33">
        <v>0.95</v>
      </c>
    </row>
    <row r="34" spans="1:32" x14ac:dyDescent="0.35">
      <c r="A34" t="s">
        <v>160</v>
      </c>
      <c r="B34" s="14">
        <v>7.9299999999999995E-2</v>
      </c>
    </row>
    <row r="37" spans="1:32" x14ac:dyDescent="0.35">
      <c r="R37" t="s">
        <v>7</v>
      </c>
      <c r="Z37" t="s">
        <v>7</v>
      </c>
    </row>
    <row r="38" spans="1:32" x14ac:dyDescent="0.35">
      <c r="T38" t="s">
        <v>134</v>
      </c>
      <c r="AB38" t="s">
        <v>134</v>
      </c>
    </row>
    <row r="39" spans="1:32" x14ac:dyDescent="0.35">
      <c r="S39" t="s">
        <v>1</v>
      </c>
      <c r="T39">
        <v>1</v>
      </c>
      <c r="U39">
        <v>2</v>
      </c>
      <c r="V39">
        <v>3</v>
      </c>
      <c r="W39">
        <v>4</v>
      </c>
      <c r="X39">
        <v>5</v>
      </c>
      <c r="AA39" t="s">
        <v>1</v>
      </c>
      <c r="AB39">
        <v>1</v>
      </c>
      <c r="AC39">
        <v>2</v>
      </c>
      <c r="AD39">
        <v>3</v>
      </c>
      <c r="AE39">
        <v>4</v>
      </c>
      <c r="AF39">
        <v>5</v>
      </c>
    </row>
    <row r="40" spans="1:32" x14ac:dyDescent="0.35">
      <c r="R40" t="s">
        <v>13</v>
      </c>
      <c r="S40" s="45">
        <v>10000</v>
      </c>
      <c r="T40" s="35">
        <v>5000</v>
      </c>
      <c r="U40" s="35">
        <v>5000</v>
      </c>
      <c r="V40" s="35">
        <v>5000</v>
      </c>
      <c r="W40" s="35">
        <v>5000</v>
      </c>
      <c r="X40" s="35">
        <v>5000</v>
      </c>
      <c r="Z40" t="s">
        <v>13</v>
      </c>
      <c r="AA40" s="45">
        <v>500000</v>
      </c>
      <c r="AB40" s="45">
        <v>166667</v>
      </c>
      <c r="AC40" s="45">
        <v>166667</v>
      </c>
      <c r="AD40" s="45">
        <v>166667</v>
      </c>
      <c r="AE40" s="45">
        <v>166667</v>
      </c>
      <c r="AF40" s="45">
        <v>166667</v>
      </c>
    </row>
    <row r="42" spans="1:32" x14ac:dyDescent="0.35">
      <c r="R42" t="s">
        <v>15</v>
      </c>
      <c r="S42" s="35">
        <f>S40/T40</f>
        <v>2</v>
      </c>
      <c r="T42" t="s">
        <v>156</v>
      </c>
      <c r="Z42" t="s">
        <v>15</v>
      </c>
      <c r="AA42" s="46">
        <f>AA40/AB40</f>
        <v>2.9999940000119998</v>
      </c>
      <c r="AB42" t="s">
        <v>156</v>
      </c>
    </row>
    <row r="44" spans="1:32" x14ac:dyDescent="0.35">
      <c r="R44" t="s">
        <v>153</v>
      </c>
      <c r="S44" s="47">
        <v>0.15</v>
      </c>
      <c r="Z44" t="s">
        <v>153</v>
      </c>
      <c r="AA44" s="47">
        <v>0.15</v>
      </c>
    </row>
    <row r="46" spans="1:32" x14ac:dyDescent="0.35">
      <c r="R46" t="s">
        <v>19</v>
      </c>
      <c r="S46" s="35">
        <v>1</v>
      </c>
      <c r="T46" s="35">
        <v>0.87</v>
      </c>
      <c r="U46" s="35">
        <v>0.75600000000000001</v>
      </c>
      <c r="V46" s="35">
        <v>0.65800000000000003</v>
      </c>
      <c r="W46" s="35">
        <v>0.57199999999999995</v>
      </c>
      <c r="X46" s="35">
        <v>0.497</v>
      </c>
      <c r="Z46" t="s">
        <v>19</v>
      </c>
      <c r="AA46" s="35">
        <v>1</v>
      </c>
      <c r="AB46" s="35">
        <v>0.87</v>
      </c>
      <c r="AC46" s="35">
        <v>0.75600000000000001</v>
      </c>
      <c r="AD46" s="35">
        <v>0.65800000000000003</v>
      </c>
      <c r="AE46" s="35">
        <v>0.57199999999999995</v>
      </c>
      <c r="AF46" s="35">
        <v>0.497</v>
      </c>
    </row>
    <row r="48" spans="1:32" x14ac:dyDescent="0.35">
      <c r="R48" t="s">
        <v>20</v>
      </c>
      <c r="S48" s="5">
        <v>100000</v>
      </c>
      <c r="T48" s="13">
        <v>22725</v>
      </c>
      <c r="U48" s="13">
        <v>20650</v>
      </c>
      <c r="V48" s="13">
        <v>18775</v>
      </c>
      <c r="W48" s="13">
        <v>17075</v>
      </c>
      <c r="X48" s="13">
        <v>15525</v>
      </c>
      <c r="Z48" t="s">
        <v>20</v>
      </c>
      <c r="AA48" s="5">
        <v>100000</v>
      </c>
      <c r="AB48" s="13">
        <v>22725</v>
      </c>
      <c r="AC48" s="13">
        <v>20650</v>
      </c>
      <c r="AD48" s="13">
        <v>18775</v>
      </c>
      <c r="AE48" s="13">
        <v>17075</v>
      </c>
      <c r="AF48" s="13">
        <v>15525</v>
      </c>
    </row>
    <row r="50" spans="18:31" x14ac:dyDescent="0.35">
      <c r="R50" t="s">
        <v>21</v>
      </c>
      <c r="S50" s="5">
        <v>-5250</v>
      </c>
      <c r="Z50" t="s">
        <v>21</v>
      </c>
      <c r="AA50" s="5">
        <v>-5250</v>
      </c>
    </row>
    <row r="52" spans="18:31" x14ac:dyDescent="0.35">
      <c r="R52" t="s">
        <v>157</v>
      </c>
      <c r="S52" s="5">
        <v>5230</v>
      </c>
      <c r="V52" t="s">
        <v>158</v>
      </c>
      <c r="W52">
        <v>1.05</v>
      </c>
      <c r="Z52" t="s">
        <v>157</v>
      </c>
      <c r="AA52" s="5">
        <v>5230</v>
      </c>
      <c r="AD52" t="s">
        <v>158</v>
      </c>
      <c r="AE52">
        <v>1.05</v>
      </c>
    </row>
    <row r="53" spans="18:31" x14ac:dyDescent="0.35">
      <c r="V53" t="s">
        <v>159</v>
      </c>
      <c r="W53">
        <v>0.95</v>
      </c>
      <c r="AD53" t="s">
        <v>159</v>
      </c>
      <c r="AE53">
        <v>0.95</v>
      </c>
    </row>
    <row r="54" spans="18:31" x14ac:dyDescent="0.35">
      <c r="R54" t="s">
        <v>160</v>
      </c>
      <c r="S54" s="14">
        <v>7.9299999999999995E-2</v>
      </c>
      <c r="Z54" t="s">
        <v>160</v>
      </c>
      <c r="AA54" s="14">
        <v>7.9299999999999995E-2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workbookViewId="0">
      <selection sqref="A1:N25"/>
    </sheetView>
  </sheetViews>
  <sheetFormatPr defaultRowHeight="14.5" x14ac:dyDescent="0.35"/>
  <cols>
    <col min="1" max="1" width="24.08984375" bestFit="1" customWidth="1"/>
    <col min="2" max="2" width="10.6328125" bestFit="1" customWidth="1"/>
    <col min="3" max="3" width="26.1796875" bestFit="1" customWidth="1"/>
    <col min="4" max="6" width="6.26953125" bestFit="1" customWidth="1"/>
    <col min="7" max="7" width="18.08984375" bestFit="1" customWidth="1"/>
    <col min="8" max="8" width="24.08984375" bestFit="1" customWidth="1"/>
    <col min="9" max="9" width="14.54296875" bestFit="1" customWidth="1"/>
    <col min="10" max="10" width="20.54296875" bestFit="1" customWidth="1"/>
    <col min="11" max="11" width="6.26953125" bestFit="1" customWidth="1"/>
    <col min="13" max="14" width="6.26953125" bestFit="1" customWidth="1"/>
  </cols>
  <sheetData>
    <row r="1" spans="1:14" x14ac:dyDescent="0.35">
      <c r="A1" t="s">
        <v>162</v>
      </c>
      <c r="B1" t="s">
        <v>124</v>
      </c>
      <c r="G1" t="s">
        <v>162</v>
      </c>
      <c r="I1" t="s">
        <v>125</v>
      </c>
    </row>
    <row r="2" spans="1:14" x14ac:dyDescent="0.35">
      <c r="B2" t="s">
        <v>1</v>
      </c>
      <c r="C2">
        <v>1</v>
      </c>
      <c r="D2">
        <v>2</v>
      </c>
      <c r="E2">
        <v>3</v>
      </c>
      <c r="F2">
        <v>4</v>
      </c>
      <c r="I2" t="s">
        <v>167</v>
      </c>
      <c r="K2">
        <v>2</v>
      </c>
      <c r="M2">
        <v>3</v>
      </c>
      <c r="N2">
        <v>4</v>
      </c>
    </row>
    <row r="3" spans="1:14" x14ac:dyDescent="0.35">
      <c r="A3" t="s">
        <v>13</v>
      </c>
      <c r="B3" s="5">
        <v>-110000</v>
      </c>
      <c r="C3" s="5">
        <v>55000</v>
      </c>
      <c r="D3" s="5">
        <v>65000</v>
      </c>
      <c r="E3" s="5">
        <v>30000</v>
      </c>
      <c r="F3" s="5">
        <v>20000</v>
      </c>
      <c r="H3" t="s">
        <v>13</v>
      </c>
      <c r="I3" t="s">
        <v>168</v>
      </c>
      <c r="K3" s="5">
        <v>35000</v>
      </c>
      <c r="M3" s="5">
        <v>50000</v>
      </c>
      <c r="N3" s="5">
        <v>40000</v>
      </c>
    </row>
    <row r="4" spans="1:14" x14ac:dyDescent="0.35">
      <c r="C4" t="s">
        <v>169</v>
      </c>
    </row>
    <row r="5" spans="1:14" x14ac:dyDescent="0.35">
      <c r="J5" t="s">
        <v>170</v>
      </c>
    </row>
    <row r="7" spans="1:14" x14ac:dyDescent="0.35">
      <c r="A7" t="s">
        <v>163</v>
      </c>
      <c r="B7" s="14">
        <v>0.1</v>
      </c>
      <c r="H7" t="s">
        <v>163</v>
      </c>
      <c r="I7" s="14">
        <v>0.1</v>
      </c>
    </row>
    <row r="9" spans="1:14" x14ac:dyDescent="0.35">
      <c r="A9" t="s">
        <v>19</v>
      </c>
      <c r="B9">
        <v>1</v>
      </c>
      <c r="C9">
        <v>1.1000000000000001</v>
      </c>
      <c r="D9">
        <v>1.21</v>
      </c>
      <c r="E9">
        <v>1.33</v>
      </c>
      <c r="F9">
        <v>1.46</v>
      </c>
      <c r="H9" t="s">
        <v>19</v>
      </c>
      <c r="I9">
        <v>1</v>
      </c>
      <c r="J9">
        <v>1.1000000000000001</v>
      </c>
      <c r="K9">
        <v>1.21</v>
      </c>
      <c r="M9">
        <v>1.33</v>
      </c>
      <c r="N9">
        <v>1.46</v>
      </c>
    </row>
    <row r="11" spans="1:14" x14ac:dyDescent="0.35">
      <c r="A11" t="s">
        <v>20</v>
      </c>
      <c r="B11" s="5">
        <v>-110000</v>
      </c>
      <c r="C11" s="5">
        <v>50000</v>
      </c>
      <c r="D11" s="5">
        <v>53719</v>
      </c>
      <c r="E11" s="5">
        <v>22539</v>
      </c>
      <c r="F11" s="5">
        <v>13660</v>
      </c>
      <c r="H11" t="s">
        <v>20</v>
      </c>
      <c r="I11" s="5">
        <v>-100000</v>
      </c>
      <c r="J11" s="5">
        <v>27273</v>
      </c>
      <c r="K11" s="5">
        <v>28926</v>
      </c>
      <c r="M11" s="5">
        <v>37566</v>
      </c>
      <c r="N11" s="5">
        <v>27321</v>
      </c>
    </row>
    <row r="12" spans="1:14" x14ac:dyDescent="0.35">
      <c r="C12" t="s">
        <v>171</v>
      </c>
    </row>
    <row r="13" spans="1:14" x14ac:dyDescent="0.35">
      <c r="A13" t="s">
        <v>172</v>
      </c>
      <c r="H13" t="s">
        <v>172</v>
      </c>
      <c r="J13" t="s">
        <v>164</v>
      </c>
    </row>
    <row r="15" spans="1:14" x14ac:dyDescent="0.35">
      <c r="A15" t="s">
        <v>165</v>
      </c>
      <c r="B15" s="5">
        <v>629919</v>
      </c>
      <c r="D15" t="s">
        <v>173</v>
      </c>
      <c r="E15">
        <v>1.27</v>
      </c>
      <c r="H15" t="s">
        <v>21</v>
      </c>
      <c r="K15" t="s">
        <v>173</v>
      </c>
      <c r="M15">
        <v>1.21</v>
      </c>
    </row>
    <row r="17" spans="1:13" x14ac:dyDescent="0.35">
      <c r="A17" t="s">
        <v>154</v>
      </c>
      <c r="B17" s="5">
        <v>629919</v>
      </c>
      <c r="D17" t="s">
        <v>166</v>
      </c>
      <c r="E17">
        <v>0.27</v>
      </c>
      <c r="G17" t="s">
        <v>174</v>
      </c>
      <c r="K17" t="s">
        <v>166</v>
      </c>
      <c r="M17">
        <v>0.21</v>
      </c>
    </row>
    <row r="19" spans="1:13" x14ac:dyDescent="0.35">
      <c r="A19" t="s">
        <v>175</v>
      </c>
      <c r="B19" s="12">
        <v>0.24</v>
      </c>
      <c r="H19" t="s">
        <v>175</v>
      </c>
      <c r="I19" s="12">
        <v>0.19</v>
      </c>
    </row>
    <row r="22" spans="1:13" x14ac:dyDescent="0.35">
      <c r="A22" t="s">
        <v>176</v>
      </c>
      <c r="B22" t="s">
        <v>177</v>
      </c>
    </row>
    <row r="23" spans="1:13" x14ac:dyDescent="0.35">
      <c r="A23" t="s">
        <v>7</v>
      </c>
      <c r="B23" s="48">
        <v>29918.720000000001</v>
      </c>
    </row>
    <row r="24" spans="1:13" x14ac:dyDescent="0.35">
      <c r="A24" t="s">
        <v>78</v>
      </c>
      <c r="B24" s="48">
        <v>8433.85</v>
      </c>
    </row>
    <row r="25" spans="1:13" x14ac:dyDescent="0.35">
      <c r="A25" t="s">
        <v>178</v>
      </c>
      <c r="B25" s="48">
        <v>38352.57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3"/>
  <sheetViews>
    <sheetView tabSelected="1" zoomScale="80" zoomScaleNormal="80" workbookViewId="0">
      <selection sqref="A1:L55"/>
    </sheetView>
  </sheetViews>
  <sheetFormatPr defaultRowHeight="14.5" x14ac:dyDescent="0.35"/>
  <cols>
    <col min="1" max="1" width="19.36328125" bestFit="1" customWidth="1"/>
    <col min="2" max="2" width="9.453125" bestFit="1" customWidth="1"/>
    <col min="3" max="3" width="8.08984375" bestFit="1" customWidth="1"/>
    <col min="4" max="6" width="6.1796875" bestFit="1" customWidth="1"/>
    <col min="7" max="7" width="10.08984375" bestFit="1" customWidth="1"/>
    <col min="8" max="8" width="20.81640625" bestFit="1" customWidth="1"/>
    <col min="9" max="9" width="12.81640625" bestFit="1" customWidth="1"/>
    <col min="10" max="10" width="9.6328125" customWidth="1"/>
    <col min="11" max="11" width="8" bestFit="1" customWidth="1"/>
    <col min="16" max="16" width="18" customWidth="1"/>
    <col min="17" max="17" width="7.6328125" bestFit="1" customWidth="1"/>
  </cols>
  <sheetData>
    <row r="1" spans="1:15" ht="14.5" customHeight="1" x14ac:dyDescent="0.35">
      <c r="A1" s="122" t="s">
        <v>182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4"/>
      <c r="O1" s="51" t="s">
        <v>21</v>
      </c>
    </row>
    <row r="2" spans="1:15" ht="14.5" customHeight="1" x14ac:dyDescent="0.35">
      <c r="A2" s="125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7"/>
      <c r="O2" s="96" t="s">
        <v>193</v>
      </c>
    </row>
    <row r="3" spans="1:15" ht="14.5" customHeight="1" x14ac:dyDescent="0.35">
      <c r="A3" s="125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7"/>
      <c r="O3" s="96" t="s">
        <v>194</v>
      </c>
    </row>
    <row r="4" spans="1:15" ht="15" customHeight="1" x14ac:dyDescent="0.35">
      <c r="A4" s="125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7"/>
      <c r="O4" s="96" t="s">
        <v>195</v>
      </c>
    </row>
    <row r="5" spans="1:15" x14ac:dyDescent="0.35">
      <c r="A5" s="128"/>
      <c r="B5" s="71"/>
      <c r="C5" s="71"/>
      <c r="D5" s="71"/>
      <c r="E5" s="71"/>
      <c r="F5" s="71"/>
      <c r="G5" s="71"/>
      <c r="H5" s="112" t="s">
        <v>189</v>
      </c>
      <c r="I5" s="114" t="s">
        <v>180</v>
      </c>
      <c r="J5" s="115"/>
      <c r="K5" s="116"/>
      <c r="L5" s="129"/>
      <c r="O5" s="96" t="s">
        <v>196</v>
      </c>
    </row>
    <row r="6" spans="1:15" x14ac:dyDescent="0.35">
      <c r="A6" s="128"/>
      <c r="B6" s="71"/>
      <c r="C6" s="71"/>
      <c r="D6" s="71"/>
      <c r="E6" s="71"/>
      <c r="F6" s="71"/>
      <c r="G6" s="71"/>
      <c r="H6" s="113"/>
      <c r="I6" s="117"/>
      <c r="J6" s="118"/>
      <c r="K6" s="119"/>
      <c r="L6" s="130"/>
      <c r="O6" s="96"/>
    </row>
    <row r="7" spans="1:15" x14ac:dyDescent="0.35">
      <c r="A7" s="131"/>
      <c r="B7" s="70"/>
      <c r="C7" s="70"/>
      <c r="D7" s="70"/>
      <c r="E7" s="70"/>
      <c r="F7" s="70"/>
      <c r="G7" s="70"/>
      <c r="H7" s="70"/>
      <c r="I7" s="70"/>
      <c r="J7" s="70"/>
      <c r="K7" s="70"/>
      <c r="L7" s="132"/>
      <c r="O7" s="96"/>
    </row>
    <row r="8" spans="1:15" x14ac:dyDescent="0.35">
      <c r="A8" s="133" t="s">
        <v>179</v>
      </c>
      <c r="B8" s="71"/>
      <c r="C8" s="71"/>
      <c r="D8" s="73"/>
      <c r="E8" s="73"/>
      <c r="F8" s="73"/>
      <c r="G8" s="71"/>
      <c r="H8" s="71"/>
      <c r="I8" s="111" t="s">
        <v>183</v>
      </c>
      <c r="J8" s="111"/>
      <c r="K8" s="111"/>
      <c r="L8" s="134"/>
      <c r="O8" s="97" t="s">
        <v>198</v>
      </c>
    </row>
    <row r="9" spans="1:15" x14ac:dyDescent="0.35">
      <c r="A9" s="135" t="s">
        <v>134</v>
      </c>
      <c r="B9" s="74">
        <v>0</v>
      </c>
      <c r="C9" s="74">
        <v>1</v>
      </c>
      <c r="D9" s="74">
        <v>2</v>
      </c>
      <c r="E9" s="74">
        <v>3</v>
      </c>
      <c r="F9" s="74">
        <v>4</v>
      </c>
      <c r="G9" s="74">
        <v>5</v>
      </c>
      <c r="H9" s="73"/>
      <c r="I9" s="110" t="s">
        <v>184</v>
      </c>
      <c r="J9" s="110"/>
      <c r="K9" s="72">
        <v>200</v>
      </c>
      <c r="L9" s="134"/>
      <c r="O9" s="96" t="s">
        <v>193</v>
      </c>
    </row>
    <row r="10" spans="1:15" x14ac:dyDescent="0.35">
      <c r="A10" s="135" t="s">
        <v>1</v>
      </c>
      <c r="B10" s="99">
        <v>-64000</v>
      </c>
      <c r="C10" s="99">
        <f>K13</f>
        <v>29400</v>
      </c>
      <c r="D10" s="99">
        <f>K13</f>
        <v>29400</v>
      </c>
      <c r="E10" s="99">
        <f>K13</f>
        <v>29400</v>
      </c>
      <c r="F10" s="99">
        <f>K13</f>
        <v>29400</v>
      </c>
      <c r="G10" s="99">
        <f>K13</f>
        <v>29400</v>
      </c>
      <c r="H10" s="73"/>
      <c r="I10" s="110" t="s">
        <v>185</v>
      </c>
      <c r="J10" s="110"/>
      <c r="K10" s="72">
        <v>98</v>
      </c>
      <c r="L10" s="134"/>
      <c r="O10" s="96" t="s">
        <v>204</v>
      </c>
    </row>
    <row r="11" spans="1:15" x14ac:dyDescent="0.35">
      <c r="A11" s="135" t="s">
        <v>2</v>
      </c>
      <c r="B11" s="76"/>
      <c r="C11" s="76"/>
      <c r="D11" s="76"/>
      <c r="E11" s="76"/>
      <c r="F11" s="76"/>
      <c r="G11" s="76"/>
      <c r="H11" s="73"/>
      <c r="I11" s="110" t="s">
        <v>186</v>
      </c>
      <c r="J11" s="110"/>
      <c r="K11" s="72">
        <f>K10*12</f>
        <v>1176</v>
      </c>
      <c r="L11" s="134"/>
      <c r="O11" s="96" t="s">
        <v>195</v>
      </c>
    </row>
    <row r="12" spans="1:15" x14ac:dyDescent="0.35">
      <c r="A12" s="135" t="s">
        <v>3</v>
      </c>
      <c r="B12" s="99">
        <v>-64000</v>
      </c>
      <c r="C12" s="99">
        <f>B12+C10</f>
        <v>-34600</v>
      </c>
      <c r="D12" s="99">
        <f>C12+D10</f>
        <v>-5200</v>
      </c>
      <c r="E12" s="99">
        <f>D12+E10</f>
        <v>24200</v>
      </c>
      <c r="F12" s="99">
        <f>E12+F10</f>
        <v>53600</v>
      </c>
      <c r="G12" s="99">
        <f>F12+G10</f>
        <v>83000</v>
      </c>
      <c r="H12" s="73" t="s">
        <v>4</v>
      </c>
      <c r="I12" s="110" t="s">
        <v>187</v>
      </c>
      <c r="J12" s="110"/>
      <c r="K12" s="98">
        <v>25</v>
      </c>
      <c r="L12" s="134"/>
      <c r="O12" s="96" t="s">
        <v>205</v>
      </c>
    </row>
    <row r="13" spans="1:15" x14ac:dyDescent="0.35">
      <c r="A13" s="136" t="s">
        <v>5</v>
      </c>
      <c r="B13" s="77"/>
      <c r="C13" s="78">
        <f>B10/C10</f>
        <v>-2.1768707482993199</v>
      </c>
      <c r="D13" s="76"/>
      <c r="E13" s="76"/>
      <c r="F13" s="76"/>
      <c r="G13" s="76"/>
      <c r="H13" s="73"/>
      <c r="I13" s="110" t="s">
        <v>188</v>
      </c>
      <c r="J13" s="110"/>
      <c r="K13" s="98">
        <f>K11*K12</f>
        <v>29400</v>
      </c>
      <c r="L13" s="134"/>
      <c r="O13" s="96"/>
    </row>
    <row r="14" spans="1:15" x14ac:dyDescent="0.35">
      <c r="A14" s="135" t="s">
        <v>190</v>
      </c>
      <c r="B14" s="79">
        <v>0.1</v>
      </c>
      <c r="C14" s="80"/>
      <c r="D14" s="81"/>
      <c r="E14" s="80"/>
      <c r="F14" s="80"/>
      <c r="G14" s="80"/>
      <c r="H14" s="52"/>
      <c r="I14" s="65" t="s">
        <v>1</v>
      </c>
      <c r="J14" s="68"/>
      <c r="K14" s="100">
        <v>64000</v>
      </c>
      <c r="L14" s="134"/>
      <c r="O14" s="96"/>
    </row>
    <row r="15" spans="1:15" x14ac:dyDescent="0.35">
      <c r="A15" s="135" t="s">
        <v>19</v>
      </c>
      <c r="B15" s="82">
        <v>1</v>
      </c>
      <c r="C15" s="82">
        <v>0.90900000000000003</v>
      </c>
      <c r="D15" s="82">
        <v>0.82599999999999996</v>
      </c>
      <c r="E15" s="82">
        <v>0.751</v>
      </c>
      <c r="F15" s="82">
        <v>0.68300000000000005</v>
      </c>
      <c r="G15" s="82">
        <v>0.621</v>
      </c>
      <c r="H15" s="52"/>
      <c r="I15" s="69"/>
      <c r="J15" s="69"/>
      <c r="K15" s="69"/>
      <c r="L15" s="134"/>
      <c r="O15" s="95" t="s">
        <v>210</v>
      </c>
    </row>
    <row r="16" spans="1:15" x14ac:dyDescent="0.35">
      <c r="A16" s="135" t="s">
        <v>20</v>
      </c>
      <c r="B16" s="101">
        <f>B10*B15</f>
        <v>-64000</v>
      </c>
      <c r="C16" s="101">
        <f t="shared" ref="C16:G16" si="0">C10*C15</f>
        <v>26724.600000000002</v>
      </c>
      <c r="D16" s="101">
        <f t="shared" si="0"/>
        <v>24284.399999999998</v>
      </c>
      <c r="E16" s="101">
        <f t="shared" si="0"/>
        <v>22079.4</v>
      </c>
      <c r="F16" s="101">
        <f t="shared" si="0"/>
        <v>20080.2</v>
      </c>
      <c r="G16" s="101">
        <f t="shared" si="0"/>
        <v>18257.400000000001</v>
      </c>
      <c r="H16" s="52"/>
      <c r="I16" s="65"/>
      <c r="J16" s="65"/>
      <c r="K16" s="65"/>
      <c r="L16" s="134"/>
      <c r="O16" s="96" t="s">
        <v>193</v>
      </c>
    </row>
    <row r="17" spans="1:15" x14ac:dyDescent="0.35">
      <c r="A17" s="137" t="s">
        <v>197</v>
      </c>
      <c r="B17" s="102">
        <f>B16+C16+D16+E16+F16+G16</f>
        <v>47426.000000000007</v>
      </c>
      <c r="C17" s="50"/>
      <c r="D17" s="53"/>
      <c r="E17" s="50"/>
      <c r="F17" s="50"/>
      <c r="G17" s="50"/>
      <c r="H17" s="52"/>
      <c r="I17" s="110" t="s">
        <v>191</v>
      </c>
      <c r="J17" s="110"/>
      <c r="K17" s="66"/>
      <c r="L17" s="138"/>
      <c r="O17" s="96" t="s">
        <v>204</v>
      </c>
    </row>
    <row r="18" spans="1:15" x14ac:dyDescent="0.35">
      <c r="A18" s="139" t="s">
        <v>192</v>
      </c>
      <c r="B18" s="103">
        <f>NPV(B14,C10:G10)+B10</f>
        <v>47449.131020608344</v>
      </c>
      <c r="C18" s="50"/>
      <c r="D18" s="54"/>
      <c r="E18" s="50"/>
      <c r="F18" s="50"/>
      <c r="G18" s="50"/>
      <c r="H18" s="52"/>
      <c r="I18" s="66"/>
      <c r="J18" s="66"/>
      <c r="K18" s="66"/>
      <c r="L18" s="138"/>
      <c r="O18" s="96" t="s">
        <v>195</v>
      </c>
    </row>
    <row r="19" spans="1:15" x14ac:dyDescent="0.35">
      <c r="A19" s="137" t="s">
        <v>198</v>
      </c>
      <c r="B19" s="84">
        <v>0.39190000000000003</v>
      </c>
      <c r="C19" s="55"/>
      <c r="D19" s="54"/>
      <c r="E19" s="54"/>
      <c r="F19" s="54"/>
      <c r="G19" s="53"/>
      <c r="H19" s="53"/>
      <c r="I19" s="66"/>
      <c r="J19" s="65"/>
      <c r="K19" s="66"/>
      <c r="L19" s="134"/>
      <c r="O19" s="96" t="s">
        <v>207</v>
      </c>
    </row>
    <row r="20" spans="1:15" x14ac:dyDescent="0.35">
      <c r="A20" s="135" t="s">
        <v>134</v>
      </c>
      <c r="B20" s="74">
        <v>0</v>
      </c>
      <c r="C20" s="74">
        <v>1</v>
      </c>
      <c r="D20" s="74">
        <v>2</v>
      </c>
      <c r="E20" s="74">
        <v>3</v>
      </c>
      <c r="F20" s="74">
        <v>4</v>
      </c>
      <c r="G20" s="74">
        <v>5</v>
      </c>
      <c r="H20" s="73"/>
      <c r="I20" s="64"/>
      <c r="J20" s="64"/>
      <c r="K20" s="64"/>
      <c r="L20" s="138"/>
    </row>
    <row r="21" spans="1:15" x14ac:dyDescent="0.35">
      <c r="A21" s="135" t="s">
        <v>1</v>
      </c>
      <c r="B21" s="99">
        <v>-64000</v>
      </c>
      <c r="C21" s="99">
        <v>29400</v>
      </c>
      <c r="D21" s="99">
        <v>29400</v>
      </c>
      <c r="E21" s="99">
        <v>29400</v>
      </c>
      <c r="F21" s="99">
        <v>29400</v>
      </c>
      <c r="G21" s="99">
        <v>29400</v>
      </c>
      <c r="H21" s="94"/>
      <c r="I21" s="64"/>
      <c r="J21" s="64"/>
      <c r="K21" s="64"/>
      <c r="L21" s="138"/>
    </row>
    <row r="22" spans="1:15" x14ac:dyDescent="0.35">
      <c r="A22" s="135" t="s">
        <v>190</v>
      </c>
      <c r="B22" s="79">
        <v>0.4</v>
      </c>
      <c r="C22" s="80"/>
      <c r="D22" s="76"/>
      <c r="E22" s="76"/>
      <c r="F22" s="76"/>
      <c r="G22" s="76"/>
      <c r="H22" s="73"/>
      <c r="I22" s="64"/>
      <c r="J22" s="64"/>
      <c r="K22" s="64"/>
      <c r="L22" s="138"/>
      <c r="O22" s="96" t="s">
        <v>208</v>
      </c>
    </row>
    <row r="23" spans="1:15" x14ac:dyDescent="0.35">
      <c r="A23" s="139" t="s">
        <v>192</v>
      </c>
      <c r="B23" s="103">
        <f>NPV(B22,C21:G21)+B21</f>
        <v>-4166.1807580174936</v>
      </c>
      <c r="C23" s="99">
        <v>4166</v>
      </c>
      <c r="D23" s="75"/>
      <c r="E23" s="75"/>
      <c r="F23" s="75"/>
      <c r="G23" s="75"/>
      <c r="H23" s="73"/>
      <c r="I23" s="64"/>
      <c r="J23" s="64"/>
      <c r="K23" s="64"/>
      <c r="L23" s="138"/>
    </row>
    <row r="24" spans="1:15" x14ac:dyDescent="0.35">
      <c r="A24" s="135"/>
      <c r="B24" s="52" t="s">
        <v>148</v>
      </c>
      <c r="C24" s="52" t="s">
        <v>21</v>
      </c>
      <c r="D24" s="76"/>
      <c r="E24" s="76"/>
      <c r="F24" s="76"/>
      <c r="G24" s="76"/>
      <c r="H24" s="73"/>
      <c r="I24" s="64"/>
      <c r="J24" s="64"/>
      <c r="K24" s="64"/>
      <c r="L24" s="138"/>
    </row>
    <row r="25" spans="1:15" x14ac:dyDescent="0.35">
      <c r="A25" s="135" t="s">
        <v>199</v>
      </c>
      <c r="B25" s="79">
        <v>0.3</v>
      </c>
      <c r="C25" s="101">
        <f>B18+C23</f>
        <v>51615.131020608344</v>
      </c>
      <c r="D25" s="81"/>
      <c r="E25" s="80"/>
      <c r="F25" s="80"/>
      <c r="G25" s="80"/>
      <c r="H25" s="52"/>
      <c r="I25" s="64"/>
      <c r="J25" s="64"/>
      <c r="K25" s="64"/>
      <c r="L25" s="138"/>
      <c r="O25" s="95" t="s">
        <v>212</v>
      </c>
    </row>
    <row r="26" spans="1:15" x14ac:dyDescent="0.35">
      <c r="A26" s="135" t="s">
        <v>200</v>
      </c>
      <c r="B26" s="52"/>
      <c r="C26" s="101">
        <f>C25/10</f>
        <v>5161.5131020608342</v>
      </c>
      <c r="D26" s="82"/>
      <c r="E26" s="82"/>
      <c r="F26" s="82"/>
      <c r="G26" s="82"/>
      <c r="H26" s="52"/>
      <c r="I26" s="64"/>
      <c r="J26" s="64"/>
      <c r="K26" s="64"/>
      <c r="L26" s="138"/>
    </row>
    <row r="27" spans="1:15" x14ac:dyDescent="0.35">
      <c r="A27" s="135" t="s">
        <v>146</v>
      </c>
      <c r="B27" s="79">
        <v>0.1</v>
      </c>
      <c r="C27" s="101">
        <f>B17</f>
        <v>47426.000000000007</v>
      </c>
      <c r="D27" s="52"/>
      <c r="E27" s="52"/>
      <c r="F27" s="52"/>
      <c r="G27" s="52"/>
      <c r="H27" s="52"/>
      <c r="I27" s="64"/>
      <c r="J27" s="64"/>
      <c r="K27" s="64"/>
      <c r="L27" s="138"/>
    </row>
    <row r="28" spans="1:15" x14ac:dyDescent="0.35">
      <c r="A28" s="135"/>
      <c r="B28" s="52"/>
      <c r="C28" s="83">
        <v>9.1899999999999996E-2</v>
      </c>
      <c r="D28" s="53"/>
      <c r="E28" s="50"/>
      <c r="F28" s="50"/>
      <c r="G28" s="50"/>
      <c r="H28" s="52"/>
      <c r="I28" s="64"/>
      <c r="J28" s="64"/>
      <c r="K28" s="64"/>
      <c r="L28" s="138"/>
    </row>
    <row r="29" spans="1:15" x14ac:dyDescent="0.35">
      <c r="A29" s="136" t="s">
        <v>201</v>
      </c>
      <c r="B29" s="89"/>
      <c r="C29" s="84">
        <v>0.39190000000000003</v>
      </c>
      <c r="D29" s="90" t="s">
        <v>203</v>
      </c>
      <c r="E29" s="50"/>
      <c r="F29" s="50"/>
      <c r="G29" s="50"/>
      <c r="H29" s="52"/>
      <c r="I29" s="64"/>
      <c r="J29" s="64"/>
      <c r="K29" s="64"/>
      <c r="L29" s="138"/>
    </row>
    <row r="30" spans="1:15" x14ac:dyDescent="0.35">
      <c r="A30" s="140" t="s">
        <v>202</v>
      </c>
      <c r="B30" s="92"/>
      <c r="C30" s="91">
        <f>IRR(B21:G21)</f>
        <v>0.36100284293769991</v>
      </c>
      <c r="D30" s="72"/>
      <c r="E30" s="72"/>
      <c r="F30" s="50"/>
      <c r="G30" s="50"/>
      <c r="H30" s="52"/>
      <c r="I30" s="64"/>
      <c r="J30" s="64"/>
      <c r="K30" s="64"/>
      <c r="L30" s="138"/>
    </row>
    <row r="31" spans="1:15" x14ac:dyDescent="0.35">
      <c r="A31" s="137" t="s">
        <v>206</v>
      </c>
      <c r="B31" s="120">
        <f>(B17+K14)/K14</f>
        <v>1.74103125</v>
      </c>
      <c r="C31" s="72"/>
      <c r="D31" s="72"/>
      <c r="E31" s="72"/>
      <c r="F31" s="50"/>
      <c r="G31" s="50"/>
      <c r="H31" s="52"/>
      <c r="I31" s="110" t="s">
        <v>211</v>
      </c>
      <c r="J31" s="110"/>
      <c r="K31" s="64"/>
      <c r="L31" s="138"/>
    </row>
    <row r="32" spans="1:15" x14ac:dyDescent="0.35">
      <c r="A32" s="136" t="s">
        <v>209</v>
      </c>
      <c r="B32" s="120">
        <f>B17/K14</f>
        <v>0.74103125000000014</v>
      </c>
      <c r="C32" s="72"/>
      <c r="D32" s="72"/>
      <c r="E32" s="72"/>
      <c r="F32" s="50"/>
      <c r="G32" s="50"/>
      <c r="H32" s="52"/>
      <c r="I32" s="107"/>
      <c r="J32" s="107"/>
      <c r="K32" s="64"/>
      <c r="L32" s="138"/>
    </row>
    <row r="33" spans="1:18" x14ac:dyDescent="0.35">
      <c r="A33" s="136"/>
      <c r="B33" s="104"/>
      <c r="C33" s="72"/>
      <c r="D33" s="72"/>
      <c r="E33" s="72"/>
      <c r="F33" s="50"/>
      <c r="G33" s="50"/>
      <c r="H33" s="52"/>
      <c r="I33" s="107"/>
      <c r="J33" s="107"/>
      <c r="K33" s="64"/>
      <c r="L33" s="138"/>
    </row>
    <row r="34" spans="1:18" x14ac:dyDescent="0.35">
      <c r="A34" s="135"/>
      <c r="B34" s="108"/>
      <c r="C34" s="72"/>
      <c r="D34" s="72"/>
      <c r="E34" s="72"/>
      <c r="F34" s="50"/>
      <c r="G34" s="50"/>
      <c r="H34" s="52"/>
      <c r="I34" s="107"/>
      <c r="J34" s="107"/>
      <c r="K34" s="64"/>
      <c r="L34" s="138"/>
    </row>
    <row r="35" spans="1:18" x14ac:dyDescent="0.35">
      <c r="A35" s="135" t="s">
        <v>214</v>
      </c>
      <c r="B35" s="74">
        <v>147000</v>
      </c>
      <c r="C35" s="72"/>
      <c r="D35" s="72"/>
      <c r="E35" s="72"/>
      <c r="F35" s="50"/>
      <c r="G35" s="50"/>
      <c r="H35" s="52"/>
      <c r="I35" s="107"/>
      <c r="J35" s="107"/>
      <c r="K35" s="64"/>
      <c r="L35" s="138"/>
    </row>
    <row r="36" spans="1:18" x14ac:dyDescent="0.35">
      <c r="A36" s="135" t="s">
        <v>215</v>
      </c>
      <c r="B36" s="74">
        <v>25000</v>
      </c>
      <c r="C36" s="72"/>
      <c r="D36" s="72"/>
      <c r="E36" s="72"/>
      <c r="F36" s="50"/>
      <c r="G36" s="50"/>
      <c r="H36" s="52"/>
      <c r="I36" s="107"/>
      <c r="J36" s="107"/>
      <c r="K36" s="64"/>
      <c r="L36" s="138"/>
    </row>
    <row r="37" spans="1:18" x14ac:dyDescent="0.35">
      <c r="A37" s="135" t="s">
        <v>216</v>
      </c>
      <c r="B37" s="74">
        <f>64000-B36</f>
        <v>39000</v>
      </c>
      <c r="C37" s="72"/>
      <c r="D37" s="72"/>
      <c r="E37" s="72"/>
      <c r="F37" s="50"/>
      <c r="G37" s="50"/>
      <c r="H37" s="52"/>
      <c r="I37" s="107"/>
      <c r="J37" s="107"/>
      <c r="K37" s="64"/>
      <c r="L37" s="138"/>
    </row>
    <row r="38" spans="1:18" x14ac:dyDescent="0.35">
      <c r="A38" s="135" t="s">
        <v>217</v>
      </c>
      <c r="B38" s="74">
        <f>B35-B37</f>
        <v>108000</v>
      </c>
      <c r="C38" s="72"/>
      <c r="D38" s="72"/>
      <c r="E38" s="72"/>
      <c r="F38" s="50"/>
      <c r="G38" s="50"/>
      <c r="H38" s="52"/>
      <c r="I38" s="107"/>
      <c r="J38" s="107"/>
      <c r="K38" s="64"/>
      <c r="L38" s="138"/>
    </row>
    <row r="39" spans="1:18" x14ac:dyDescent="0.35">
      <c r="A39" s="135"/>
      <c r="B39" s="74"/>
      <c r="C39" s="72"/>
      <c r="D39" s="72"/>
      <c r="E39" s="72"/>
      <c r="F39" s="50"/>
      <c r="G39" s="50"/>
      <c r="H39" s="52"/>
      <c r="I39" s="107"/>
      <c r="J39" s="107"/>
      <c r="K39" s="64"/>
      <c r="L39" s="138"/>
    </row>
    <row r="40" spans="1:18" x14ac:dyDescent="0.35">
      <c r="A40" s="135" t="s">
        <v>218</v>
      </c>
      <c r="B40" s="74">
        <v>64000</v>
      </c>
      <c r="C40" s="72"/>
      <c r="D40" s="72"/>
      <c r="E40" s="72"/>
      <c r="F40" s="50"/>
      <c r="G40" s="50"/>
      <c r="H40" s="52"/>
      <c r="I40" s="107"/>
      <c r="J40" s="107"/>
      <c r="K40" s="64"/>
      <c r="L40" s="138"/>
    </row>
    <row r="41" spans="1:18" x14ac:dyDescent="0.35">
      <c r="A41" s="135" t="s">
        <v>215</v>
      </c>
      <c r="B41" s="74">
        <v>25000</v>
      </c>
      <c r="C41" s="72"/>
      <c r="D41" s="72"/>
      <c r="E41" s="72"/>
      <c r="F41" s="50"/>
      <c r="G41" s="50"/>
      <c r="H41" s="52"/>
      <c r="I41" s="107"/>
      <c r="J41" s="107"/>
      <c r="K41" s="64"/>
      <c r="L41" s="138"/>
    </row>
    <row r="42" spans="1:18" x14ac:dyDescent="0.35">
      <c r="A42" s="135" t="s">
        <v>219</v>
      </c>
      <c r="B42" s="74">
        <f>SUM(B40+B41)/2</f>
        <v>44500</v>
      </c>
      <c r="C42" s="72"/>
      <c r="D42" s="72"/>
      <c r="E42" s="72"/>
      <c r="F42" s="50"/>
      <c r="G42" s="50"/>
      <c r="H42" s="52"/>
      <c r="I42" s="107"/>
      <c r="J42" s="107"/>
      <c r="K42" s="64"/>
      <c r="L42" s="138"/>
    </row>
    <row r="43" spans="1:18" x14ac:dyDescent="0.35">
      <c r="A43" s="135"/>
      <c r="B43" s="74"/>
      <c r="C43" s="72"/>
      <c r="D43" s="72"/>
      <c r="E43" s="72"/>
      <c r="F43" s="50"/>
      <c r="G43" s="50"/>
      <c r="H43" s="52"/>
      <c r="I43" s="107"/>
      <c r="J43" s="107"/>
      <c r="K43" s="64"/>
      <c r="L43" s="138"/>
    </row>
    <row r="44" spans="1:18" x14ac:dyDescent="0.35">
      <c r="A44" s="135" t="s">
        <v>220</v>
      </c>
      <c r="B44" s="74">
        <v>108000</v>
      </c>
      <c r="C44" s="72"/>
      <c r="D44" s="72"/>
      <c r="E44" s="72"/>
      <c r="F44" s="50"/>
      <c r="G44" s="50"/>
      <c r="H44" s="52"/>
      <c r="I44" s="107"/>
      <c r="J44" s="107"/>
      <c r="K44" s="64"/>
      <c r="L44" s="138"/>
    </row>
    <row r="45" spans="1:18" x14ac:dyDescent="0.35">
      <c r="A45" s="135" t="s">
        <v>221</v>
      </c>
      <c r="B45" s="74">
        <f>B44/5</f>
        <v>21600</v>
      </c>
      <c r="C45" s="72"/>
      <c r="D45" s="72"/>
      <c r="E45" s="72"/>
      <c r="F45" s="50"/>
      <c r="G45" s="50"/>
      <c r="H45" s="52"/>
      <c r="I45" s="107"/>
      <c r="J45" s="107"/>
      <c r="K45" s="64"/>
      <c r="L45" s="138"/>
    </row>
    <row r="46" spans="1:18" x14ac:dyDescent="0.35">
      <c r="A46" s="135" t="s">
        <v>222</v>
      </c>
      <c r="B46" s="74">
        <f>B42</f>
        <v>44500</v>
      </c>
      <c r="C46" s="72"/>
      <c r="D46" s="72"/>
      <c r="E46" s="72"/>
      <c r="F46" s="50"/>
      <c r="G46" s="50"/>
      <c r="H46" s="52"/>
      <c r="I46" s="107"/>
      <c r="J46" s="107"/>
      <c r="K46" s="64"/>
      <c r="L46" s="138"/>
    </row>
    <row r="47" spans="1:18" x14ac:dyDescent="0.35">
      <c r="A47" s="135"/>
      <c r="B47" s="74"/>
      <c r="C47" s="72"/>
      <c r="D47" s="72"/>
      <c r="E47" s="72"/>
      <c r="F47" s="50"/>
      <c r="G47" s="50"/>
      <c r="H47" s="52"/>
      <c r="I47" s="107"/>
      <c r="J47" s="107"/>
      <c r="K47" s="64"/>
      <c r="L47" s="138"/>
    </row>
    <row r="48" spans="1:18" x14ac:dyDescent="0.35">
      <c r="A48" s="136" t="s">
        <v>213</v>
      </c>
      <c r="B48" s="109">
        <f>SUM(B44)/(B40+B42)/2</f>
        <v>0.49769585253456222</v>
      </c>
      <c r="C48" s="141"/>
      <c r="D48" s="72"/>
      <c r="E48" s="72"/>
      <c r="F48" s="50"/>
      <c r="G48" s="50"/>
      <c r="H48" s="52"/>
      <c r="I48" s="64"/>
      <c r="J48" s="64"/>
      <c r="K48" s="64"/>
      <c r="L48" s="138"/>
      <c r="O48">
        <v>1</v>
      </c>
      <c r="P48" s="99">
        <v>29400</v>
      </c>
      <c r="Q48" s="106">
        <f>P48-20000</f>
        <v>9400</v>
      </c>
      <c r="R48" s="106">
        <f>P48-Q48</f>
        <v>20000</v>
      </c>
    </row>
    <row r="49" spans="1:18" x14ac:dyDescent="0.35">
      <c r="A49" s="142"/>
      <c r="B49" s="93"/>
      <c r="C49" s="93"/>
      <c r="D49" s="87"/>
      <c r="E49" s="85"/>
      <c r="F49" s="85"/>
      <c r="G49" s="86"/>
      <c r="H49" s="87"/>
      <c r="I49" s="88"/>
      <c r="J49" s="88"/>
      <c r="K49" s="88"/>
      <c r="L49" s="143"/>
      <c r="O49">
        <v>2</v>
      </c>
      <c r="P49" s="99">
        <v>29400</v>
      </c>
      <c r="Q49" s="106">
        <f t="shared" ref="Q49:Q52" si="1">P49-20000</f>
        <v>9400</v>
      </c>
      <c r="R49" s="106">
        <f t="shared" ref="R49:R52" si="2">P49-Q49</f>
        <v>20000</v>
      </c>
    </row>
    <row r="50" spans="1:18" x14ac:dyDescent="0.35">
      <c r="A50" s="139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138"/>
      <c r="O50">
        <v>3</v>
      </c>
      <c r="P50" s="99">
        <v>29400</v>
      </c>
      <c r="Q50" s="106">
        <f t="shared" si="1"/>
        <v>9400</v>
      </c>
      <c r="R50" s="106">
        <f t="shared" si="2"/>
        <v>20000</v>
      </c>
    </row>
    <row r="51" spans="1:18" x14ac:dyDescent="0.35">
      <c r="A51" s="144"/>
      <c r="B51" s="49"/>
      <c r="C51" s="49"/>
      <c r="D51" s="49"/>
      <c r="E51" s="49"/>
      <c r="F51" s="49"/>
      <c r="G51" s="49"/>
      <c r="H51" s="49"/>
      <c r="I51" s="56"/>
      <c r="J51" s="56"/>
      <c r="K51" s="56"/>
      <c r="L51" s="145"/>
      <c r="O51">
        <v>4</v>
      </c>
      <c r="P51" s="99">
        <v>29400</v>
      </c>
      <c r="Q51" s="106">
        <f t="shared" si="1"/>
        <v>9400</v>
      </c>
      <c r="R51" s="106">
        <f t="shared" si="2"/>
        <v>20000</v>
      </c>
    </row>
    <row r="52" spans="1:18" ht="15.5" x14ac:dyDescent="0.35">
      <c r="A52" s="146" t="s">
        <v>181</v>
      </c>
      <c r="B52" s="62"/>
      <c r="C52" s="63">
        <f>C13</f>
        <v>-2.1768707482993199</v>
      </c>
      <c r="D52" s="141"/>
      <c r="E52" s="57" t="s">
        <v>21</v>
      </c>
      <c r="F52" s="58"/>
      <c r="G52" s="105">
        <f>B16+C16+D16+E16+F16+G16</f>
        <v>47426.000000000007</v>
      </c>
      <c r="H52" s="59"/>
      <c r="I52" s="60" t="s">
        <v>149</v>
      </c>
      <c r="J52" s="58"/>
      <c r="K52" s="61">
        <f>B19</f>
        <v>0.39190000000000003</v>
      </c>
      <c r="L52" s="147"/>
      <c r="O52">
        <v>5</v>
      </c>
      <c r="P52" s="99">
        <v>29400</v>
      </c>
      <c r="Q52" s="106">
        <f t="shared" si="1"/>
        <v>9400</v>
      </c>
      <c r="R52" s="106">
        <f t="shared" si="2"/>
        <v>20000</v>
      </c>
    </row>
    <row r="53" spans="1:18" x14ac:dyDescent="0.35">
      <c r="A53" s="148"/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149"/>
    </row>
    <row r="54" spans="1:18" ht="15.5" x14ac:dyDescent="0.35">
      <c r="A54" s="150" t="s">
        <v>158</v>
      </c>
      <c r="B54" s="58"/>
      <c r="C54" s="121">
        <f>B31</f>
        <v>1.74103125</v>
      </c>
      <c r="D54" s="64"/>
      <c r="E54" s="57" t="s">
        <v>159</v>
      </c>
      <c r="F54" s="58"/>
      <c r="G54" s="121">
        <f>B32</f>
        <v>0.74103125000000014</v>
      </c>
      <c r="H54" s="64"/>
      <c r="I54" s="57" t="s">
        <v>213</v>
      </c>
      <c r="J54" s="58"/>
      <c r="K54" s="61">
        <f>B48</f>
        <v>0.49769585253456222</v>
      </c>
      <c r="L54" s="149"/>
      <c r="P54" s="106">
        <f>SUM(P48:P52)</f>
        <v>147000</v>
      </c>
      <c r="Q54" s="106">
        <f>P54-64000</f>
        <v>83000</v>
      </c>
    </row>
    <row r="55" spans="1:18" ht="15" thickBot="1" x14ac:dyDescent="0.4">
      <c r="A55" s="151"/>
      <c r="B55" s="152"/>
      <c r="C55" s="152"/>
      <c r="D55" s="152"/>
      <c r="E55" s="152"/>
      <c r="F55" s="152"/>
      <c r="G55" s="152"/>
      <c r="H55" s="152"/>
      <c r="I55" s="152"/>
      <c r="J55" s="152"/>
      <c r="K55" s="152"/>
      <c r="L55" s="153"/>
    </row>
    <row r="56" spans="1:18" x14ac:dyDescent="0.35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</row>
    <row r="57" spans="1:18" x14ac:dyDescent="0.35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</row>
    <row r="58" spans="1:18" x14ac:dyDescent="0.35">
      <c r="A58" s="67"/>
      <c r="B58" s="67"/>
      <c r="D58" s="67"/>
      <c r="E58" s="67"/>
      <c r="F58" s="67"/>
      <c r="G58" s="67"/>
      <c r="H58" s="67"/>
      <c r="I58" s="67"/>
      <c r="J58" s="67"/>
      <c r="K58" s="67"/>
      <c r="L58" s="67"/>
    </row>
    <row r="59" spans="1:18" x14ac:dyDescent="0.35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</row>
    <row r="60" spans="1:18" x14ac:dyDescent="0.35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</row>
    <row r="61" spans="1:18" x14ac:dyDescent="0.35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</row>
    <row r="62" spans="1:18" x14ac:dyDescent="0.35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</row>
    <row r="63" spans="1:18" x14ac:dyDescent="0.35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</row>
    <row r="64" spans="1:18" x14ac:dyDescent="0.35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</row>
    <row r="65" spans="1:12" x14ac:dyDescent="0.35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</row>
    <row r="66" spans="1:12" x14ac:dyDescent="0.35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</row>
    <row r="67" spans="1:12" x14ac:dyDescent="0.35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</row>
    <row r="68" spans="1:12" x14ac:dyDescent="0.35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</row>
    <row r="69" spans="1:12" x14ac:dyDescent="0.35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</row>
    <row r="70" spans="1:12" x14ac:dyDescent="0.35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</row>
    <row r="71" spans="1:12" x14ac:dyDescent="0.35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</row>
    <row r="72" spans="1:12" x14ac:dyDescent="0.35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</row>
    <row r="73" spans="1:12" x14ac:dyDescent="0.35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</row>
    <row r="74" spans="1:12" x14ac:dyDescent="0.35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</row>
    <row r="75" spans="1:12" x14ac:dyDescent="0.35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</row>
    <row r="76" spans="1:12" x14ac:dyDescent="0.35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</row>
    <row r="77" spans="1:12" x14ac:dyDescent="0.35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</row>
    <row r="78" spans="1:12" x14ac:dyDescent="0.35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</row>
    <row r="79" spans="1:12" x14ac:dyDescent="0.35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</row>
    <row r="80" spans="1:12" x14ac:dyDescent="0.35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</row>
    <row r="81" spans="1:12" x14ac:dyDescent="0.35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</row>
    <row r="82" spans="1:12" x14ac:dyDescent="0.35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</row>
    <row r="83" spans="1:12" x14ac:dyDescent="0.35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</row>
  </sheetData>
  <mergeCells count="12">
    <mergeCell ref="I31:J31"/>
    <mergeCell ref="L5:L6"/>
    <mergeCell ref="I17:J17"/>
    <mergeCell ref="A1:L4"/>
    <mergeCell ref="I8:K8"/>
    <mergeCell ref="H5:H6"/>
    <mergeCell ref="I5:K6"/>
    <mergeCell ref="I9:J9"/>
    <mergeCell ref="I10:J10"/>
    <mergeCell ref="I11:J11"/>
    <mergeCell ref="I12:J12"/>
    <mergeCell ref="I13:J13"/>
  </mergeCells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ignoredErrors>
    <ignoredError sqref="C5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Payback</vt:lpstr>
      <vt:lpstr>NPV net present value</vt:lpstr>
      <vt:lpstr>IRR</vt:lpstr>
      <vt:lpstr>Assignment</vt:lpstr>
      <vt:lpstr>Profitability Index</vt:lpstr>
      <vt:lpstr>Sheet1</vt:lpstr>
      <vt:lpstr>Catia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Price</dc:creator>
  <cp:lastModifiedBy>PRICE Lee (SAFRAN SEATS)</cp:lastModifiedBy>
  <dcterms:created xsi:type="dcterms:W3CDTF">2023-02-17T15:50:25Z</dcterms:created>
  <dcterms:modified xsi:type="dcterms:W3CDTF">2023-05-20T14:38:27Z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2023-05-20T14:38:24Z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0d067486-72f5-4501-aab8-efa8123ca9fb</vt:lpwstr>
  </property>
  <property fmtid="{D5CDD505-2E9C-101B-9397-08002B2CF9AE}" pid="8" name="MSIP_Label_024ffcea-f25b-491e-9dc9-834516f3550e_ContentBits">
    <vt:lpwstr>1</vt:lpwstr>
  </property>
</Properties>
</file>