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304321_student_uwtsd_ac_uk/Documents/UWTSD/Third Year/Contemporary Powertrain Design/Assignment/Task 2 Alternative Fuels in Ricardo WAVE/"/>
    </mc:Choice>
  </mc:AlternateContent>
  <xr:revisionPtr revIDLastSave="1663" documentId="8_{F0AD1618-3298-4AF6-9025-AB0B3A4883F4}" xr6:coauthVersionLast="47" xr6:coauthVersionMax="47" xr10:uidLastSave="{92481961-58A9-4FD1-B6DA-DA55470AE8A6}"/>
  <bookViews>
    <workbookView xWindow="-108" yWindow="-108" windowWidth="23256" windowHeight="13896" activeTab="7" xr2:uid="{6C3CF81F-7FF3-4A68-8A86-C1E4A7808D4F}"/>
  </bookViews>
  <sheets>
    <sheet name="IsoDodecane" sheetId="2" r:id="rId1"/>
    <sheet name="M50" sheetId="13" r:id="rId2"/>
    <sheet name="E10" sheetId="12" r:id="rId3"/>
    <sheet name="IsoOctane" sheetId="1" r:id="rId4"/>
    <sheet name="E85" sheetId="9" r:id="rId5"/>
    <sheet name="Ethanol" sheetId="5" r:id="rId6"/>
    <sheet name="Methanol" sheetId="3" r:id="rId7"/>
    <sheet name="Alternative Fuel Values" sheetId="10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10" l="1"/>
  <c r="D6" i="10"/>
  <c r="C21" i="12"/>
  <c r="C20" i="12"/>
  <c r="C21" i="9"/>
  <c r="C20" i="9"/>
  <c r="E4" i="10"/>
  <c r="D4" i="10"/>
  <c r="D5" i="10"/>
  <c r="D3" i="10"/>
  <c r="C4" i="10"/>
  <c r="E24" i="12"/>
  <c r="C7" i="12"/>
  <c r="I7" i="12" s="1"/>
  <c r="I13" i="9"/>
  <c r="C11" i="12"/>
  <c r="C11" i="9"/>
  <c r="I12" i="9"/>
  <c r="C8" i="12"/>
  <c r="I8" i="12" s="1"/>
  <c r="I9" i="9"/>
  <c r="F9" i="9"/>
  <c r="F8" i="9"/>
  <c r="F7" i="9"/>
  <c r="C8" i="9"/>
  <c r="D17" i="9" s="1"/>
  <c r="C7" i="9"/>
  <c r="F9" i="12"/>
  <c r="F7" i="12"/>
  <c r="F8" i="12"/>
  <c r="F9" i="13"/>
  <c r="C7" i="13"/>
  <c r="E21" i="13" s="1"/>
  <c r="C8" i="13"/>
  <c r="F8" i="13"/>
  <c r="F7" i="13"/>
  <c r="I3" i="13"/>
  <c r="C11" i="13" s="1"/>
  <c r="G10" i="1"/>
  <c r="G12" i="1"/>
  <c r="G9" i="1"/>
  <c r="I3" i="12"/>
  <c r="C3" i="10"/>
  <c r="E18" i="3"/>
  <c r="G8" i="1"/>
  <c r="G7" i="1"/>
  <c r="I3" i="9"/>
  <c r="E19" i="5"/>
  <c r="E19" i="3"/>
  <c r="E18" i="2"/>
  <c r="E18" i="1"/>
  <c r="E20" i="1"/>
  <c r="E17" i="1"/>
  <c r="C8" i="5"/>
  <c r="E18" i="5" s="1"/>
  <c r="G7" i="5"/>
  <c r="G3" i="5"/>
  <c r="C12" i="5" s="1"/>
  <c r="C11" i="2"/>
  <c r="C8" i="3"/>
  <c r="G13" i="3" s="1"/>
  <c r="C8" i="1"/>
  <c r="G13" i="1" s="1"/>
  <c r="G7" i="3"/>
  <c r="G8" i="3" s="1"/>
  <c r="G3" i="3"/>
  <c r="C12" i="3" s="1"/>
  <c r="C8" i="2"/>
  <c r="G13" i="2" s="1"/>
  <c r="G7" i="2"/>
  <c r="G8" i="2" s="1"/>
  <c r="G9" i="2" s="1"/>
  <c r="G10" i="2" s="1"/>
  <c r="G3" i="2"/>
  <c r="G3" i="1"/>
  <c r="C11" i="1" s="1"/>
  <c r="I20" i="9" l="1"/>
  <c r="D17" i="13"/>
  <c r="D18" i="13"/>
  <c r="I7" i="13"/>
  <c r="I18" i="13"/>
  <c r="I17" i="13"/>
  <c r="E20" i="13"/>
  <c r="F23" i="13" s="1"/>
  <c r="I9" i="12"/>
  <c r="I10" i="12" s="1"/>
  <c r="I12" i="12"/>
  <c r="D17" i="12"/>
  <c r="D18" i="9"/>
  <c r="D18" i="12"/>
  <c r="G9" i="3"/>
  <c r="I8" i="9"/>
  <c r="F21" i="5"/>
  <c r="E23" i="12"/>
  <c r="G13" i="5"/>
  <c r="I8" i="13"/>
  <c r="I9" i="13" s="1"/>
  <c r="I10" i="13" s="1"/>
  <c r="I13" i="13"/>
  <c r="I7" i="9"/>
  <c r="E24" i="9"/>
  <c r="E17" i="2"/>
  <c r="E20" i="2" s="1"/>
  <c r="G12" i="2"/>
  <c r="G15" i="2" s="1"/>
  <c r="E21" i="3"/>
  <c r="G8" i="5"/>
  <c r="G9" i="5" s="1"/>
  <c r="G15" i="1"/>
  <c r="I18" i="9" l="1"/>
  <c r="I21" i="12"/>
  <c r="I17" i="12"/>
  <c r="I20" i="12"/>
  <c r="I17" i="9"/>
  <c r="I18" i="12"/>
  <c r="E23" i="9"/>
  <c r="F26" i="9" s="1"/>
  <c r="G12" i="3"/>
  <c r="G10" i="3"/>
  <c r="G12" i="5"/>
  <c r="G15" i="5" s="1"/>
  <c r="G10" i="5"/>
  <c r="I13" i="12"/>
  <c r="I15" i="12" s="1"/>
  <c r="I12" i="13"/>
  <c r="I15" i="13" s="1"/>
  <c r="D28" i="13" s="1"/>
  <c r="F30" i="13" s="1"/>
  <c r="F26" i="12"/>
  <c r="G15" i="3"/>
  <c r="D26" i="3" s="1"/>
  <c r="F28" i="3" s="1"/>
  <c r="I21" i="9" l="1"/>
  <c r="I15" i="9"/>
  <c r="D31" i="9" s="1"/>
  <c r="F33" i="9" s="1"/>
  <c r="D26" i="5"/>
  <c r="F28" i="5" s="1"/>
  <c r="C5" i="10"/>
  <c r="I10" i="9"/>
  <c r="D31" i="12" l="1"/>
  <c r="F33" i="12" s="1"/>
</calcChain>
</file>

<file path=xl/sharedStrings.xml><?xml version="1.0" encoding="utf-8"?>
<sst xmlns="http://schemas.openxmlformats.org/spreadsheetml/2006/main" count="262" uniqueCount="76">
  <si>
    <t>O2</t>
  </si>
  <si>
    <t>N2</t>
  </si>
  <si>
    <t>Carbon</t>
  </si>
  <si>
    <t>Hydrogen</t>
  </si>
  <si>
    <t>m(air)</t>
  </si>
  <si>
    <t>m(fuel)</t>
  </si>
  <si>
    <t xml:space="preserve">Ratio </t>
  </si>
  <si>
    <t xml:space="preserve">HC Fuel Balance </t>
  </si>
  <si>
    <t>C (n1)</t>
  </si>
  <si>
    <t>H (n2)</t>
  </si>
  <si>
    <t>O (x)</t>
  </si>
  <si>
    <t>N (n3)</t>
  </si>
  <si>
    <t>Molecular Weight</t>
  </si>
  <si>
    <t>Air</t>
  </si>
  <si>
    <t>Oxygen</t>
  </si>
  <si>
    <t>Nitrogen</t>
  </si>
  <si>
    <t>Atmospheric Composition</t>
  </si>
  <si>
    <t>Carbon (y)</t>
  </si>
  <si>
    <t>Hydrogen (2y+2)</t>
  </si>
  <si>
    <t>1kmol of Methanol</t>
  </si>
  <si>
    <t>1kmol of Gasoline</t>
  </si>
  <si>
    <t>kg</t>
  </si>
  <si>
    <t>8 kmols of CO2</t>
  </si>
  <si>
    <t>kg of CO2</t>
  </si>
  <si>
    <t xml:space="preserve">Therefore, burning 1kg of IsoOctane will make </t>
  </si>
  <si>
    <t>1kmol of Dodecane</t>
  </si>
  <si>
    <t>12 kmols of CO2</t>
  </si>
  <si>
    <t>1 kmol of CO2</t>
  </si>
  <si>
    <t>Stoich AFR</t>
  </si>
  <si>
    <t>1kmol of Ethanol</t>
  </si>
  <si>
    <t>2 kmols of CO2</t>
  </si>
  <si>
    <t xml:space="preserve">The low AFR means that this number is misleading. 
Finding the difference in fuel ratio between methanol and IsoOctane will correct this: </t>
  </si>
  <si>
    <t xml:space="preserve">The IsoOctane AFR is </t>
  </si>
  <si>
    <t>times larger than that of Methanol</t>
  </si>
  <si>
    <t xml:space="preserve">The effective CO2 comparison with IsoOctane is </t>
  </si>
  <si>
    <t>kg of CO2 per kg of Methanol burnt</t>
  </si>
  <si>
    <t>times larger than that of Ethanol</t>
  </si>
  <si>
    <t>kg of CO2 per kg of Ethanol burnt</t>
  </si>
  <si>
    <t>9 kmols of CO2</t>
  </si>
  <si>
    <t>kg of CO2 per kg of Ethanol burnt.</t>
  </si>
  <si>
    <t xml:space="preserve">Therefore, burning 1kg of Dodecane will make </t>
  </si>
  <si>
    <t xml:space="preserve">Therefore, burning 1kg of Methanol will make </t>
  </si>
  <si>
    <t xml:space="preserve">The low AFR means that this number is misleading. 
Finding the difference in fuel ratio between ethanol and IsoOctane will correct this: </t>
  </si>
  <si>
    <t xml:space="preserve">Therefore, burning 1kg of ethanol will make </t>
  </si>
  <si>
    <t>1kmol of M50</t>
  </si>
  <si>
    <t>1kmol of E85</t>
  </si>
  <si>
    <t>IsoOctane</t>
  </si>
  <si>
    <t>AFRs</t>
  </si>
  <si>
    <t>C2 H6 O  + x(O2 + 3.76N2) --&gt; n1CO2 + n2H2O + n3N2</t>
  </si>
  <si>
    <t>C H4 O + x(O2 + 3.76N2) --&gt; n1CO2 + n2H2O + n3N2</t>
  </si>
  <si>
    <t>C12 H26 + x(O2 + 3.76N2) --&gt; n1CO2 + n2H2O + n3N2</t>
  </si>
  <si>
    <t>C8 H18 + x(O2 + 3.76N2) --&gt; n1CO2 + n2H2O + n3N2</t>
  </si>
  <si>
    <t>0.5(C8 H18) + 0.5(C H4 O) + x(O2 + 3.76N2) --&gt; n1CO2 + n2H2O + n3N2</t>
  </si>
  <si>
    <t>E85</t>
  </si>
  <si>
    <t>Fuel</t>
  </si>
  <si>
    <t xml:space="preserve">Ethanol </t>
  </si>
  <si>
    <t>1kmol of E10</t>
  </si>
  <si>
    <t>Methanol Mass per 1kmol</t>
  </si>
  <si>
    <t>IsoOctane Mass per 1kmol</t>
  </si>
  <si>
    <t>Mass Percentage of IsoOctane</t>
  </si>
  <si>
    <t>Mass Percentage of Methanol</t>
  </si>
  <si>
    <t>Ethanol Mass per 1kmol</t>
  </si>
  <si>
    <t>Mass Percentage of Ethanol</t>
  </si>
  <si>
    <t>IsoOctane Volume</t>
  </si>
  <si>
    <t>Volume Percentage of IsoOctane</t>
  </si>
  <si>
    <t>Volume Percentage of Ethanol</t>
  </si>
  <si>
    <t>Ethanol Volume</t>
  </si>
  <si>
    <t>0.76(C8 H18) + 0.24(C2 H6 O) + x(O2 + 3.76N2) --&gt; n1CO2 + n2H2O + n3N2</t>
  </si>
  <si>
    <t>0.059(C8 H18) + 0.941(C2 H6 O) + x(O2 + 3.76N2) --&gt; n1CO2 + n2H2O + n3N2</t>
  </si>
  <si>
    <t>6.56 kmols of CO2</t>
  </si>
  <si>
    <t>2.35 kmols of CO2</t>
  </si>
  <si>
    <t>LHV (J/kg)</t>
  </si>
  <si>
    <t>Fuel Density (kg/m^3)</t>
  </si>
  <si>
    <t>times larger than that of Ethanol.</t>
  </si>
  <si>
    <t>Methanol</t>
  </si>
  <si>
    <t>WAVE Values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</si>
</sst>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7A654"/>
        <bgColor indexed="64"/>
      </patternFill>
    </fill>
    <fill>
      <patternFill patternType="solid">
        <fgColor rgb="FF004C7B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left" vertical="center"/>
    </xf>
    <xf numFmtId="2" fontId="0" fillId="0" borderId="0" xfId="0" applyNumberFormat="1" applyAlignment="1">
      <alignment horizontal="left" vertical="top"/>
    </xf>
    <xf numFmtId="0" fontId="0" fillId="0" borderId="0" xfId="0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2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2" fontId="0" fillId="0" borderId="0" xfId="0" applyNumberFormat="1" applyAlignment="1">
      <alignment horizontal="center"/>
    </xf>
    <xf numFmtId="0" fontId="2" fillId="0" borderId="0" xfId="0" applyFont="1"/>
    <xf numFmtId="10" fontId="0" fillId="0" borderId="1" xfId="0" applyNumberFormat="1" applyBorder="1" applyAlignment="1">
      <alignment horizontal="center" vertical="center"/>
    </xf>
    <xf numFmtId="10" fontId="0" fillId="0" borderId="6" xfId="0" applyNumberFormat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1" xfId="0" applyNumberFormat="1" applyBorder="1" applyAlignment="1">
      <alignment horizontal="center"/>
    </xf>
    <xf numFmtId="2" fontId="2" fillId="2" borderId="1" xfId="0" applyNumberFormat="1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2" fillId="2" borderId="2" xfId="0" applyNumberFormat="1" applyFont="1" applyFill="1" applyBorder="1" applyAlignment="1">
      <alignment horizontal="center" vertical="center"/>
    </xf>
    <xf numFmtId="2" fontId="2" fillId="2" borderId="3" xfId="0" applyNumberFormat="1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2" fontId="0" fillId="0" borderId="5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7A654"/>
      <color rgb="FF004C7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D40C0-0AA3-4AAD-924F-0D4F0A682345}">
  <dimension ref="B2:G20"/>
  <sheetViews>
    <sheetView workbookViewId="0">
      <selection activeCell="F24" sqref="F24"/>
    </sheetView>
  </sheetViews>
  <sheetFormatPr defaultRowHeight="14.4" x14ac:dyDescent="0.3"/>
  <cols>
    <col min="2" max="2" width="14.88671875" style="6" bestFit="1" customWidth="1"/>
    <col min="3" max="3" width="6.5546875" style="6" bestFit="1" customWidth="1"/>
    <col min="4" max="4" width="16.88671875" style="6" bestFit="1" customWidth="1"/>
    <col min="5" max="5" width="6.5546875" style="6" bestFit="1" customWidth="1"/>
    <col min="6" max="6" width="12.6640625" style="6" customWidth="1"/>
    <col min="7" max="7" width="10" style="6" customWidth="1"/>
  </cols>
  <sheetData>
    <row r="2" spans="2:7" x14ac:dyDescent="0.3">
      <c r="B2" s="5" t="s">
        <v>0</v>
      </c>
      <c r="C2" s="4">
        <v>21</v>
      </c>
      <c r="F2" s="20" t="s">
        <v>16</v>
      </c>
      <c r="G2" s="20"/>
    </row>
    <row r="3" spans="2:7" x14ac:dyDescent="0.3">
      <c r="B3" s="5" t="s">
        <v>1</v>
      </c>
      <c r="C3" s="4">
        <v>79</v>
      </c>
      <c r="F3" s="5" t="s">
        <v>6</v>
      </c>
      <c r="G3" s="4">
        <f>C3/C2</f>
        <v>3.7619047619047619</v>
      </c>
    </row>
    <row r="5" spans="2:7" x14ac:dyDescent="0.3">
      <c r="B5" s="5" t="s">
        <v>7</v>
      </c>
      <c r="C5" s="21" t="s">
        <v>50</v>
      </c>
      <c r="D5" s="21"/>
      <c r="E5" s="21"/>
      <c r="F5" s="21"/>
      <c r="G5" s="21"/>
    </row>
    <row r="7" spans="2:7" x14ac:dyDescent="0.3">
      <c r="B7" s="5" t="s">
        <v>17</v>
      </c>
      <c r="C7" s="4">
        <v>12</v>
      </c>
      <c r="F7" s="5" t="s">
        <v>8</v>
      </c>
      <c r="G7" s="4">
        <f>C7</f>
        <v>12</v>
      </c>
    </row>
    <row r="8" spans="2:7" x14ac:dyDescent="0.3">
      <c r="B8" s="5" t="s">
        <v>18</v>
      </c>
      <c r="C8" s="4">
        <f>2*(C7)+2</f>
        <v>26</v>
      </c>
      <c r="F8" s="5" t="s">
        <v>9</v>
      </c>
      <c r="G8" s="4">
        <f>(2*(G7)+2)/2</f>
        <v>13</v>
      </c>
    </row>
    <row r="9" spans="2:7" x14ac:dyDescent="0.3">
      <c r="F9" s="5" t="s">
        <v>10</v>
      </c>
      <c r="G9" s="4">
        <f>(2*(G7)+G8)/2</f>
        <v>18.5</v>
      </c>
    </row>
    <row r="10" spans="2:7" x14ac:dyDescent="0.3">
      <c r="B10" s="22" t="s">
        <v>12</v>
      </c>
      <c r="C10" s="23"/>
      <c r="F10" s="5" t="s">
        <v>11</v>
      </c>
      <c r="G10" s="4">
        <f>G3*(G9)</f>
        <v>69.595238095238088</v>
      </c>
    </row>
    <row r="11" spans="2:7" x14ac:dyDescent="0.3">
      <c r="B11" s="5" t="s">
        <v>13</v>
      </c>
      <c r="C11" s="4">
        <f>((2*C14)+G3*(2*C15))</f>
        <v>137.38399999999999</v>
      </c>
    </row>
    <row r="12" spans="2:7" x14ac:dyDescent="0.3">
      <c r="B12" s="5" t="s">
        <v>2</v>
      </c>
      <c r="C12" s="4">
        <v>12.010999999999999</v>
      </c>
      <c r="F12" s="5" t="s">
        <v>4</v>
      </c>
      <c r="G12" s="4">
        <f>G9*C11</f>
        <v>2541.6039999999998</v>
      </c>
    </row>
    <row r="13" spans="2:7" x14ac:dyDescent="0.3">
      <c r="B13" s="5" t="s">
        <v>3</v>
      </c>
      <c r="C13" s="4">
        <v>1.0078</v>
      </c>
      <c r="F13" s="5" t="s">
        <v>5</v>
      </c>
      <c r="G13" s="4">
        <f>(C7*C12)+(C8*C13)</f>
        <v>170.3348</v>
      </c>
    </row>
    <row r="14" spans="2:7" x14ac:dyDescent="0.3">
      <c r="B14" s="5" t="s">
        <v>14</v>
      </c>
      <c r="C14" s="4">
        <v>15.999000000000001</v>
      </c>
    </row>
    <row r="15" spans="2:7" x14ac:dyDescent="0.3">
      <c r="B15" s="5" t="s">
        <v>15</v>
      </c>
      <c r="C15" s="4">
        <v>14.007</v>
      </c>
      <c r="F15" s="5" t="s">
        <v>28</v>
      </c>
      <c r="G15" s="4">
        <f>G12/G13</f>
        <v>14.921225727214873</v>
      </c>
    </row>
    <row r="17" spans="2:6" x14ac:dyDescent="0.3">
      <c r="D17" s="5" t="s">
        <v>25</v>
      </c>
      <c r="E17" s="4">
        <f>(C7*C12)+(C8*C13)</f>
        <v>170.3348</v>
      </c>
      <c r="F17" s="7" t="s">
        <v>21</v>
      </c>
    </row>
    <row r="18" spans="2:6" x14ac:dyDescent="0.3">
      <c r="D18" s="5" t="s">
        <v>26</v>
      </c>
      <c r="E18" s="4">
        <f>C7*(C12+(C14*2))</f>
        <v>528.10799999999995</v>
      </c>
      <c r="F18" s="8" t="s">
        <v>21</v>
      </c>
    </row>
    <row r="20" spans="2:6" x14ac:dyDescent="0.3">
      <c r="B20" s="24" t="s">
        <v>40</v>
      </c>
      <c r="C20" s="24"/>
      <c r="D20" s="24"/>
      <c r="E20" s="5">
        <f>E18/E17</f>
        <v>3.1004116598604625</v>
      </c>
      <c r="F20" s="6" t="s">
        <v>23</v>
      </c>
    </row>
  </sheetData>
  <mergeCells count="4">
    <mergeCell ref="F2:G2"/>
    <mergeCell ref="C5:G5"/>
    <mergeCell ref="B10:C10"/>
    <mergeCell ref="B20:D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31DD5-828E-45D0-9536-652FCACA9097}">
  <dimension ref="B2:I30"/>
  <sheetViews>
    <sheetView zoomScaleNormal="100" workbookViewId="0">
      <selection activeCell="F17" sqref="F17"/>
    </sheetView>
  </sheetViews>
  <sheetFormatPr defaultRowHeight="14.4" x14ac:dyDescent="0.3"/>
  <cols>
    <col min="2" max="2" width="16.88671875" style="3" customWidth="1"/>
    <col min="3" max="3" width="6.5546875" style="3" bestFit="1" customWidth="1"/>
    <col min="4" max="4" width="16.21875" style="3" bestFit="1" customWidth="1"/>
    <col min="5" max="5" width="8.88671875" style="3" bestFit="1" customWidth="1"/>
    <col min="6" max="6" width="12.6640625" style="3" customWidth="1"/>
    <col min="7" max="7" width="11.5546875" style="3" customWidth="1"/>
    <col min="8" max="8" width="14.33203125" customWidth="1"/>
  </cols>
  <sheetData>
    <row r="2" spans="2:9" x14ac:dyDescent="0.3">
      <c r="B2" s="1" t="s">
        <v>0</v>
      </c>
      <c r="C2" s="2">
        <v>21</v>
      </c>
      <c r="H2" s="25" t="s">
        <v>16</v>
      </c>
      <c r="I2" s="26"/>
    </row>
    <row r="3" spans="2:9" x14ac:dyDescent="0.3">
      <c r="B3" s="1" t="s">
        <v>1</v>
      </c>
      <c r="C3" s="2">
        <v>79</v>
      </c>
      <c r="H3" s="1" t="s">
        <v>6</v>
      </c>
      <c r="I3" s="4">
        <f>C3/C2</f>
        <v>3.7619047619047619</v>
      </c>
    </row>
    <row r="5" spans="2:9" x14ac:dyDescent="0.3">
      <c r="B5" s="1" t="s">
        <v>7</v>
      </c>
      <c r="C5" s="32" t="s">
        <v>52</v>
      </c>
      <c r="D5" s="32"/>
      <c r="E5" s="32"/>
      <c r="F5" s="32"/>
      <c r="G5" s="32"/>
      <c r="H5" s="32"/>
    </row>
    <row r="7" spans="2:9" x14ac:dyDescent="0.3">
      <c r="B7" s="1" t="s">
        <v>2</v>
      </c>
      <c r="C7" s="2">
        <f>0.5*(IsoOctane!C7)</f>
        <v>4</v>
      </c>
      <c r="E7" s="1" t="s">
        <v>2</v>
      </c>
      <c r="F7" s="2">
        <f>0.5*(Methanol!C7)</f>
        <v>0.5</v>
      </c>
      <c r="H7" s="1" t="s">
        <v>8</v>
      </c>
      <c r="I7" s="4">
        <f>C7+F7</f>
        <v>4.5</v>
      </c>
    </row>
    <row r="8" spans="2:9" x14ac:dyDescent="0.3">
      <c r="B8" s="1" t="s">
        <v>3</v>
      </c>
      <c r="C8" s="2">
        <f>0.5*(IsoOctane!C8)</f>
        <v>9</v>
      </c>
      <c r="E8" s="1" t="s">
        <v>3</v>
      </c>
      <c r="F8" s="2">
        <f>0.5*(Methanol!C8)</f>
        <v>2</v>
      </c>
      <c r="H8" s="1" t="s">
        <v>9</v>
      </c>
      <c r="I8" s="4">
        <f>(C8+F8)/2</f>
        <v>5.5</v>
      </c>
    </row>
    <row r="9" spans="2:9" x14ac:dyDescent="0.3">
      <c r="E9" s="1" t="s">
        <v>14</v>
      </c>
      <c r="F9" s="2">
        <f>0.5*(Methanol!C9)</f>
        <v>0.5</v>
      </c>
      <c r="H9" s="1" t="s">
        <v>10</v>
      </c>
      <c r="I9" s="4">
        <f>(2*(I7)+I8-0.5)/2</f>
        <v>7</v>
      </c>
    </row>
    <row r="10" spans="2:9" x14ac:dyDescent="0.3">
      <c r="B10" s="25" t="s">
        <v>12</v>
      </c>
      <c r="C10" s="26"/>
      <c r="H10" s="1" t="s">
        <v>11</v>
      </c>
      <c r="I10" s="4">
        <f>I3*(I9)</f>
        <v>26.333333333333332</v>
      </c>
    </row>
    <row r="11" spans="2:9" x14ac:dyDescent="0.3">
      <c r="B11" s="1" t="s">
        <v>13</v>
      </c>
      <c r="C11" s="4">
        <f>((2*C14)+I3*(2*C15))</f>
        <v>137.38399999999999</v>
      </c>
    </row>
    <row r="12" spans="2:9" x14ac:dyDescent="0.3">
      <c r="B12" s="1" t="s">
        <v>2</v>
      </c>
      <c r="C12" s="4">
        <v>12.010999999999999</v>
      </c>
      <c r="H12" s="1" t="s">
        <v>4</v>
      </c>
      <c r="I12" s="4">
        <f>I9*C11</f>
        <v>961.68799999999987</v>
      </c>
    </row>
    <row r="13" spans="2:9" x14ac:dyDescent="0.3">
      <c r="B13" s="1" t="s">
        <v>3</v>
      </c>
      <c r="C13" s="4">
        <v>1.0078</v>
      </c>
      <c r="H13" s="1" t="s">
        <v>5</v>
      </c>
      <c r="I13" s="4">
        <f>((C12*F7)+(F8*C13)+C14)+((C7*C12)+(C8*C13))</f>
        <v>81.134299999999996</v>
      </c>
    </row>
    <row r="14" spans="2:9" x14ac:dyDescent="0.3">
      <c r="B14" s="1" t="s">
        <v>14</v>
      </c>
      <c r="C14" s="4">
        <v>15.999000000000001</v>
      </c>
      <c r="H14" s="3"/>
      <c r="I14" s="3"/>
    </row>
    <row r="15" spans="2:9" x14ac:dyDescent="0.3">
      <c r="B15" s="1" t="s">
        <v>15</v>
      </c>
      <c r="C15" s="4">
        <v>14.007</v>
      </c>
      <c r="H15" s="10" t="s">
        <v>28</v>
      </c>
      <c r="I15" s="4">
        <f>I12/I13</f>
        <v>11.853038727147457</v>
      </c>
    </row>
    <row r="17" spans="2:9" x14ac:dyDescent="0.3">
      <c r="B17" s="25" t="s">
        <v>58</v>
      </c>
      <c r="C17" s="26"/>
      <c r="D17" s="4">
        <f>(C12*C7)+(C13*C8)</f>
        <v>57.114199999999997</v>
      </c>
      <c r="G17" s="25" t="s">
        <v>59</v>
      </c>
      <c r="H17" s="26"/>
      <c r="I17" s="16">
        <f>D17/(D17+D18)</f>
        <v>0.7809442290127272</v>
      </c>
    </row>
    <row r="18" spans="2:9" x14ac:dyDescent="0.3">
      <c r="B18" s="25" t="s">
        <v>57</v>
      </c>
      <c r="C18" s="26"/>
      <c r="D18" s="4">
        <f>((C12*F7)+(C13*F8)+(C14*F9))</f>
        <v>16.020600000000002</v>
      </c>
      <c r="G18" s="25" t="s">
        <v>60</v>
      </c>
      <c r="H18" s="26"/>
      <c r="I18" s="16">
        <f>D18/(D18+D17)</f>
        <v>0.21905577098727286</v>
      </c>
    </row>
    <row r="20" spans="2:9" x14ac:dyDescent="0.3">
      <c r="B20" s="6"/>
      <c r="C20" s="6"/>
      <c r="D20" s="5" t="s">
        <v>44</v>
      </c>
      <c r="E20" s="4">
        <f>((C7+F7)*C12)+((C8+F8)*C13)+C14</f>
        <v>81.134299999999996</v>
      </c>
      <c r="F20" s="7" t="s">
        <v>21</v>
      </c>
    </row>
    <row r="21" spans="2:9" x14ac:dyDescent="0.3">
      <c r="B21" s="6"/>
      <c r="C21" s="6"/>
      <c r="D21" s="5" t="s">
        <v>38</v>
      </c>
      <c r="E21" s="4">
        <f>(C7+F7)*(C12+(C14*2))</f>
        <v>198.04050000000001</v>
      </c>
      <c r="F21" s="8" t="s">
        <v>21</v>
      </c>
    </row>
    <row r="22" spans="2:9" ht="14.4" customHeight="1" x14ac:dyDescent="0.3">
      <c r="B22" s="6"/>
      <c r="C22" s="6"/>
      <c r="D22" s="6"/>
      <c r="E22" s="6"/>
      <c r="F22" s="6"/>
    </row>
    <row r="23" spans="2:9" x14ac:dyDescent="0.3">
      <c r="B23" s="24" t="s">
        <v>24</v>
      </c>
      <c r="C23" s="24"/>
      <c r="D23" s="24"/>
      <c r="E23" s="31"/>
      <c r="F23" s="5">
        <f>E21/E20</f>
        <v>2.440897376325426</v>
      </c>
      <c r="G23" s="6" t="s">
        <v>23</v>
      </c>
    </row>
    <row r="25" spans="2:9" ht="14.4" customHeight="1" x14ac:dyDescent="0.3">
      <c r="B25" s="30" t="s">
        <v>31</v>
      </c>
      <c r="C25" s="30"/>
      <c r="D25" s="30"/>
      <c r="E25" s="30"/>
      <c r="F25" s="30"/>
      <c r="G25" s="30"/>
      <c r="H25" s="30"/>
      <c r="I25" s="30"/>
    </row>
    <row r="26" spans="2:9" x14ac:dyDescent="0.3">
      <c r="B26" s="30"/>
      <c r="C26" s="30"/>
      <c r="D26" s="30"/>
      <c r="E26" s="30"/>
      <c r="F26" s="30"/>
      <c r="G26" s="30"/>
      <c r="H26" s="30"/>
      <c r="I26" s="30"/>
    </row>
    <row r="28" spans="2:9" ht="14.4" customHeight="1" x14ac:dyDescent="0.3">
      <c r="B28" s="27" t="s">
        <v>32</v>
      </c>
      <c r="C28" s="28"/>
      <c r="D28" s="5">
        <f>IsoOctane!G15/I15</f>
        <v>1.2683595197991793</v>
      </c>
      <c r="E28" s="29" t="s">
        <v>36</v>
      </c>
      <c r="F28" s="27"/>
      <c r="G28" s="27"/>
    </row>
    <row r="30" spans="2:9" x14ac:dyDescent="0.3">
      <c r="B30" s="27" t="s">
        <v>34</v>
      </c>
      <c r="C30" s="27"/>
      <c r="D30" s="27"/>
      <c r="E30" s="28"/>
      <c r="F30" s="5">
        <f>F23*D28</f>
        <v>3.095935424115194</v>
      </c>
      <c r="G30" s="29" t="s">
        <v>39</v>
      </c>
      <c r="H30" s="27"/>
      <c r="I30" s="27"/>
    </row>
  </sheetData>
  <mergeCells count="13">
    <mergeCell ref="B25:I26"/>
    <mergeCell ref="B23:E23"/>
    <mergeCell ref="B30:E30"/>
    <mergeCell ref="G30:I30"/>
    <mergeCell ref="H2:I2"/>
    <mergeCell ref="C5:H5"/>
    <mergeCell ref="B10:C10"/>
    <mergeCell ref="B28:C28"/>
    <mergeCell ref="E28:G28"/>
    <mergeCell ref="B17:C17"/>
    <mergeCell ref="G17:H17"/>
    <mergeCell ref="B18:C18"/>
    <mergeCell ref="G18:H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AC817-FF66-4CC5-A6DF-EBA10B8CFE3A}">
  <dimension ref="B2:L33"/>
  <sheetViews>
    <sheetView workbookViewId="0">
      <selection activeCell="I29" sqref="I29"/>
    </sheetView>
  </sheetViews>
  <sheetFormatPr defaultRowHeight="14.4" x14ac:dyDescent="0.3"/>
  <cols>
    <col min="2" max="2" width="16.33203125" style="3" customWidth="1"/>
    <col min="3" max="3" width="7.109375" style="3" customWidth="1"/>
    <col min="4" max="4" width="16.6640625" style="3" bestFit="1" customWidth="1"/>
    <col min="5" max="5" width="8.88671875" style="3" bestFit="1" customWidth="1"/>
    <col min="6" max="6" width="12.6640625" style="3" customWidth="1"/>
    <col min="7" max="7" width="13.88671875" style="3" customWidth="1"/>
    <col min="8" max="8" width="14.33203125" customWidth="1"/>
    <col min="10" max="10" width="13.33203125" bestFit="1" customWidth="1"/>
  </cols>
  <sheetData>
    <row r="2" spans="2:9" x14ac:dyDescent="0.3">
      <c r="B2" s="1" t="s">
        <v>0</v>
      </c>
      <c r="C2" s="2">
        <v>21</v>
      </c>
      <c r="H2" s="25" t="s">
        <v>16</v>
      </c>
      <c r="I2" s="26"/>
    </row>
    <row r="3" spans="2:9" x14ac:dyDescent="0.3">
      <c r="B3" s="1" t="s">
        <v>1</v>
      </c>
      <c r="C3" s="2">
        <v>79</v>
      </c>
      <c r="H3" s="1" t="s">
        <v>6</v>
      </c>
      <c r="I3" s="4">
        <f>C3/C2</f>
        <v>3.7619047619047619</v>
      </c>
    </row>
    <row r="5" spans="2:9" x14ac:dyDescent="0.3">
      <c r="B5" s="1" t="s">
        <v>7</v>
      </c>
      <c r="C5" s="32" t="s">
        <v>67</v>
      </c>
      <c r="D5" s="32"/>
      <c r="E5" s="32"/>
      <c r="F5" s="32"/>
      <c r="G5" s="32"/>
      <c r="H5" s="32"/>
    </row>
    <row r="7" spans="2:9" x14ac:dyDescent="0.3">
      <c r="B7" s="1" t="s">
        <v>2</v>
      </c>
      <c r="C7" s="2">
        <f>0.76*(IsoOctane!C7)</f>
        <v>6.08</v>
      </c>
      <c r="E7" s="1" t="s">
        <v>2</v>
      </c>
      <c r="F7" s="2">
        <f>0.24*(Ethanol!C7)</f>
        <v>0.48</v>
      </c>
      <c r="H7" s="1" t="s">
        <v>8</v>
      </c>
      <c r="I7" s="4">
        <f>C7+F7</f>
        <v>6.5600000000000005</v>
      </c>
    </row>
    <row r="8" spans="2:9" x14ac:dyDescent="0.3">
      <c r="B8" s="1" t="s">
        <v>3</v>
      </c>
      <c r="C8" s="2">
        <f>0.76*(IsoOctane!C8)</f>
        <v>13.68</v>
      </c>
      <c r="E8" s="1" t="s">
        <v>3</v>
      </c>
      <c r="F8" s="2">
        <f>0.24*(Ethanol!C8)</f>
        <v>1.44</v>
      </c>
      <c r="H8" s="1" t="s">
        <v>9</v>
      </c>
      <c r="I8" s="4">
        <f>(C8+F8)/2</f>
        <v>7.56</v>
      </c>
    </row>
    <row r="9" spans="2:9" x14ac:dyDescent="0.3">
      <c r="E9" s="1" t="s">
        <v>14</v>
      </c>
      <c r="F9" s="2">
        <f>0.24*(Ethanol!C9)</f>
        <v>0.24</v>
      </c>
      <c r="H9" s="1" t="s">
        <v>10</v>
      </c>
      <c r="I9" s="4">
        <f>(2*(I7)+I8-0.24)/2</f>
        <v>10.220000000000001</v>
      </c>
    </row>
    <row r="10" spans="2:9" x14ac:dyDescent="0.3">
      <c r="B10" s="25" t="s">
        <v>12</v>
      </c>
      <c r="C10" s="26"/>
      <c r="H10" s="1" t="s">
        <v>11</v>
      </c>
      <c r="I10" s="4">
        <f>I3*(I9)</f>
        <v>38.446666666666665</v>
      </c>
    </row>
    <row r="11" spans="2:9" x14ac:dyDescent="0.3">
      <c r="B11" s="1" t="s">
        <v>13</v>
      </c>
      <c r="C11" s="4">
        <f>((2*C14)+I3*(2*C15))</f>
        <v>137.38399999999999</v>
      </c>
    </row>
    <row r="12" spans="2:9" x14ac:dyDescent="0.3">
      <c r="B12" s="1" t="s">
        <v>2</v>
      </c>
      <c r="C12" s="4">
        <v>12.010999999999999</v>
      </c>
      <c r="H12" s="1" t="s">
        <v>4</v>
      </c>
      <c r="I12" s="4">
        <f>I9*C11</f>
        <v>1404.06448</v>
      </c>
    </row>
    <row r="13" spans="2:9" x14ac:dyDescent="0.3">
      <c r="B13" s="1" t="s">
        <v>3</v>
      </c>
      <c r="C13" s="4">
        <v>1.0078</v>
      </c>
      <c r="H13" s="1" t="s">
        <v>5</v>
      </c>
      <c r="I13" s="4">
        <f>((C12*F7)+(F8*C13)+C14)+((C7*C12)+(C8*C13))</f>
        <v>110.029096</v>
      </c>
    </row>
    <row r="14" spans="2:9" x14ac:dyDescent="0.3">
      <c r="B14" s="1" t="s">
        <v>14</v>
      </c>
      <c r="C14" s="4">
        <v>15.999000000000001</v>
      </c>
      <c r="H14" s="3"/>
      <c r="I14" s="3"/>
    </row>
    <row r="15" spans="2:9" x14ac:dyDescent="0.3">
      <c r="B15" s="1" t="s">
        <v>15</v>
      </c>
      <c r="C15" s="4">
        <v>14.007</v>
      </c>
      <c r="H15" s="10" t="s">
        <v>28</v>
      </c>
      <c r="I15" s="4">
        <f>I12/I13</f>
        <v>12.760847185366314</v>
      </c>
    </row>
    <row r="17" spans="2:12" x14ac:dyDescent="0.3">
      <c r="B17" s="33" t="s">
        <v>58</v>
      </c>
      <c r="C17" s="33"/>
      <c r="D17" s="4">
        <f>(C12*C7)+(C13*C8)</f>
        <v>86.813583999999992</v>
      </c>
      <c r="G17" s="33" t="s">
        <v>59</v>
      </c>
      <c r="H17" s="33"/>
      <c r="I17" s="16">
        <f>D17/(D17+D18)</f>
        <v>0.88703087496113198</v>
      </c>
    </row>
    <row r="18" spans="2:12" x14ac:dyDescent="0.3">
      <c r="B18" s="33" t="s">
        <v>61</v>
      </c>
      <c r="C18" s="33"/>
      <c r="D18" s="4">
        <f>((C12*F7)+(C13*F8)+(C14*F9))</f>
        <v>11.056272</v>
      </c>
      <c r="G18" s="33" t="s">
        <v>62</v>
      </c>
      <c r="H18" s="33"/>
      <c r="I18" s="16">
        <f>D18/(D18+D17)</f>
        <v>0.11296912503886794</v>
      </c>
    </row>
    <row r="19" spans="2:12" x14ac:dyDescent="0.3">
      <c r="K19" s="15"/>
      <c r="L19" s="15"/>
    </row>
    <row r="20" spans="2:12" x14ac:dyDescent="0.3">
      <c r="B20" s="1" t="s">
        <v>63</v>
      </c>
      <c r="C20" s="2">
        <f>D17/'Alternative Fuel Values'!E3</f>
        <v>0.1258167884057971</v>
      </c>
      <c r="G20" s="33" t="s">
        <v>64</v>
      </c>
      <c r="H20" s="33"/>
      <c r="I20" s="19">
        <f>C20/(C20+C21)</f>
        <v>0.89978517978218464</v>
      </c>
    </row>
    <row r="21" spans="2:12" x14ac:dyDescent="0.3">
      <c r="B21" s="1" t="s">
        <v>66</v>
      </c>
      <c r="C21" s="2">
        <f>D18/'Alternative Fuel Values'!E5</f>
        <v>1.4013019011406844E-2</v>
      </c>
      <c r="G21" s="33" t="s">
        <v>65</v>
      </c>
      <c r="H21" s="33"/>
      <c r="I21" s="19">
        <f>C21/(C21+C20)</f>
        <v>0.1002148202178154</v>
      </c>
    </row>
    <row r="22" spans="2:12" ht="14.4" customHeight="1" x14ac:dyDescent="0.3"/>
    <row r="23" spans="2:12" x14ac:dyDescent="0.3">
      <c r="B23" s="6"/>
      <c r="C23" s="6"/>
      <c r="D23" s="5" t="s">
        <v>56</v>
      </c>
      <c r="E23" s="4">
        <f>((C7+F7)*C12)+((C8+F8)*C13)+C14</f>
        <v>110.029096</v>
      </c>
      <c r="F23" s="7" t="s">
        <v>21</v>
      </c>
    </row>
    <row r="24" spans="2:12" x14ac:dyDescent="0.3">
      <c r="B24" s="6"/>
      <c r="C24" s="6"/>
      <c r="D24" s="5" t="s">
        <v>69</v>
      </c>
      <c r="E24" s="4">
        <f>(C7+F7)*(C12+(C14*2))</f>
        <v>288.69904000000002</v>
      </c>
      <c r="F24" s="8" t="s">
        <v>21</v>
      </c>
    </row>
    <row r="25" spans="2:12" x14ac:dyDescent="0.3">
      <c r="B25" s="6"/>
      <c r="C25" s="6"/>
      <c r="D25" s="6"/>
      <c r="E25" s="6"/>
      <c r="F25" s="6"/>
    </row>
    <row r="26" spans="2:12" x14ac:dyDescent="0.3">
      <c r="B26" s="24" t="s">
        <v>24</v>
      </c>
      <c r="C26" s="24"/>
      <c r="D26" s="24"/>
      <c r="E26" s="31"/>
      <c r="F26" s="5">
        <f>E24/E23</f>
        <v>2.6238426970262489</v>
      </c>
      <c r="G26" s="6" t="s">
        <v>23</v>
      </c>
    </row>
    <row r="28" spans="2:12" x14ac:dyDescent="0.3">
      <c r="B28" s="30" t="s">
        <v>31</v>
      </c>
      <c r="C28" s="30"/>
      <c r="D28" s="30"/>
      <c r="E28" s="30"/>
      <c r="F28" s="30"/>
      <c r="G28" s="30"/>
      <c r="H28" s="30"/>
    </row>
    <row r="29" spans="2:12" x14ac:dyDescent="0.3">
      <c r="B29" s="30"/>
      <c r="C29" s="30"/>
      <c r="D29" s="30"/>
      <c r="E29" s="30"/>
      <c r="F29" s="30"/>
      <c r="G29" s="30"/>
      <c r="H29" s="30"/>
    </row>
    <row r="31" spans="2:12" x14ac:dyDescent="0.3">
      <c r="B31" s="27" t="s">
        <v>32</v>
      </c>
      <c r="C31" s="28"/>
      <c r="D31" s="5">
        <f>IsoOctane!G15/I15</f>
        <v>1.1781282456987794</v>
      </c>
      <c r="E31" s="29" t="s">
        <v>36</v>
      </c>
      <c r="F31" s="27"/>
      <c r="G31" s="27"/>
    </row>
    <row r="33" spans="2:9" x14ac:dyDescent="0.3">
      <c r="B33" s="27" t="s">
        <v>34</v>
      </c>
      <c r="C33" s="27"/>
      <c r="D33" s="27"/>
      <c r="E33" s="28"/>
      <c r="F33" s="5">
        <f>F26*D31</f>
        <v>3.0912231936370884</v>
      </c>
      <c r="G33" s="29" t="s">
        <v>39</v>
      </c>
      <c r="H33" s="27"/>
      <c r="I33" s="27"/>
    </row>
  </sheetData>
  <mergeCells count="15">
    <mergeCell ref="B33:E33"/>
    <mergeCell ref="G33:I33"/>
    <mergeCell ref="H2:I2"/>
    <mergeCell ref="C5:H5"/>
    <mergeCell ref="B10:C10"/>
    <mergeCell ref="B26:E26"/>
    <mergeCell ref="B28:H29"/>
    <mergeCell ref="B31:C31"/>
    <mergeCell ref="E31:G31"/>
    <mergeCell ref="B17:C17"/>
    <mergeCell ref="G17:H17"/>
    <mergeCell ref="B18:C18"/>
    <mergeCell ref="G18:H18"/>
    <mergeCell ref="G20:H20"/>
    <mergeCell ref="G21:H2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58430-7BBA-4F44-A534-0D8689CB23A0}">
  <dimension ref="B2:H24"/>
  <sheetViews>
    <sheetView workbookViewId="0">
      <selection activeCell="I24" sqref="I24"/>
    </sheetView>
  </sheetViews>
  <sheetFormatPr defaultRowHeight="14.4" x14ac:dyDescent="0.3"/>
  <cols>
    <col min="2" max="2" width="14.88671875" style="6" bestFit="1" customWidth="1"/>
    <col min="3" max="3" width="6.5546875" style="6" bestFit="1" customWidth="1"/>
    <col min="4" max="4" width="16.6640625" style="6" bestFit="1" customWidth="1"/>
    <col min="5" max="5" width="6.5546875" style="6" bestFit="1" customWidth="1"/>
    <col min="6" max="6" width="12.6640625" style="6" customWidth="1"/>
    <col min="7" max="7" width="10" style="6" customWidth="1"/>
  </cols>
  <sheetData>
    <row r="2" spans="2:7" x14ac:dyDescent="0.3">
      <c r="B2" s="5" t="s">
        <v>0</v>
      </c>
      <c r="C2" s="4">
        <v>21</v>
      </c>
      <c r="F2" s="20" t="s">
        <v>16</v>
      </c>
      <c r="G2" s="20"/>
    </row>
    <row r="3" spans="2:7" x14ac:dyDescent="0.3">
      <c r="B3" s="5" t="s">
        <v>1</v>
      </c>
      <c r="C3" s="4">
        <v>79</v>
      </c>
      <c r="F3" s="5" t="s">
        <v>6</v>
      </c>
      <c r="G3" s="4">
        <f>C3/C2</f>
        <v>3.7619047619047619</v>
      </c>
    </row>
    <row r="5" spans="2:7" x14ac:dyDescent="0.3">
      <c r="B5" s="5" t="s">
        <v>7</v>
      </c>
      <c r="C5" s="21" t="s">
        <v>51</v>
      </c>
      <c r="D5" s="21"/>
      <c r="E5" s="21"/>
      <c r="F5" s="21"/>
      <c r="G5" s="21"/>
    </row>
    <row r="7" spans="2:7" x14ac:dyDescent="0.3">
      <c r="B7" s="5" t="s">
        <v>2</v>
      </c>
      <c r="C7" s="2">
        <v>8</v>
      </c>
      <c r="F7" s="5" t="s">
        <v>8</v>
      </c>
      <c r="G7" s="4">
        <f>C7</f>
        <v>8</v>
      </c>
    </row>
    <row r="8" spans="2:7" x14ac:dyDescent="0.3">
      <c r="B8" s="5" t="s">
        <v>3</v>
      </c>
      <c r="C8" s="2">
        <f>2*(C7)+2</f>
        <v>18</v>
      </c>
      <c r="F8" s="5" t="s">
        <v>9</v>
      </c>
      <c r="G8" s="4">
        <f>(2*(G7)+2)/2</f>
        <v>9</v>
      </c>
    </row>
    <row r="9" spans="2:7" x14ac:dyDescent="0.3">
      <c r="F9" s="5" t="s">
        <v>10</v>
      </c>
      <c r="G9" s="4">
        <f>(2*(G7)+G8)/2</f>
        <v>12.5</v>
      </c>
    </row>
    <row r="10" spans="2:7" x14ac:dyDescent="0.3">
      <c r="B10" s="22" t="s">
        <v>12</v>
      </c>
      <c r="C10" s="23"/>
      <c r="F10" s="5" t="s">
        <v>11</v>
      </c>
      <c r="G10" s="4">
        <f>G3*(G9)</f>
        <v>47.023809523809526</v>
      </c>
    </row>
    <row r="11" spans="2:7" x14ac:dyDescent="0.3">
      <c r="B11" s="5" t="s">
        <v>13</v>
      </c>
      <c r="C11" s="4">
        <f>((2*C14)+G3*(2*C15))</f>
        <v>137.38399999999999</v>
      </c>
    </row>
    <row r="12" spans="2:7" x14ac:dyDescent="0.3">
      <c r="B12" s="5" t="s">
        <v>2</v>
      </c>
      <c r="C12" s="4">
        <v>12.010999999999999</v>
      </c>
      <c r="F12" s="5" t="s">
        <v>4</v>
      </c>
      <c r="G12" s="4">
        <f>G9*C11</f>
        <v>1717.2999999999997</v>
      </c>
    </row>
    <row r="13" spans="2:7" x14ac:dyDescent="0.3">
      <c r="B13" s="5" t="s">
        <v>3</v>
      </c>
      <c r="C13" s="4">
        <v>1.0078</v>
      </c>
      <c r="F13" s="5" t="s">
        <v>5</v>
      </c>
      <c r="G13" s="4">
        <f>(C7*C12)+(C8*C13)</f>
        <v>114.22839999999999</v>
      </c>
    </row>
    <row r="14" spans="2:7" x14ac:dyDescent="0.3">
      <c r="B14" s="5" t="s">
        <v>14</v>
      </c>
      <c r="C14" s="4">
        <v>15.999000000000001</v>
      </c>
    </row>
    <row r="15" spans="2:7" x14ac:dyDescent="0.3">
      <c r="B15" s="5" t="s">
        <v>15</v>
      </c>
      <c r="C15" s="4">
        <v>14.007</v>
      </c>
      <c r="F15" s="5" t="s">
        <v>28</v>
      </c>
      <c r="G15" s="4">
        <f>G12/G13</f>
        <v>15.033914508125823</v>
      </c>
    </row>
    <row r="17" spans="2:8" x14ac:dyDescent="0.3">
      <c r="D17" s="5" t="s">
        <v>20</v>
      </c>
      <c r="E17" s="4">
        <f>(C7*C12)+(C8*C13)</f>
        <v>114.22839999999999</v>
      </c>
      <c r="F17" s="7" t="s">
        <v>21</v>
      </c>
    </row>
    <row r="18" spans="2:8" x14ac:dyDescent="0.3">
      <c r="D18" s="5" t="s">
        <v>22</v>
      </c>
      <c r="E18" s="4">
        <f>C7*(C12+(C14*2))</f>
        <v>352.072</v>
      </c>
      <c r="F18" s="8" t="s">
        <v>21</v>
      </c>
    </row>
    <row r="20" spans="2:8" x14ac:dyDescent="0.3">
      <c r="B20" s="24" t="s">
        <v>24</v>
      </c>
      <c r="C20" s="24"/>
      <c r="D20" s="24"/>
      <c r="E20" s="5">
        <f>E18/E17</f>
        <v>3.0821757111191266</v>
      </c>
      <c r="F20" s="6" t="s">
        <v>23</v>
      </c>
    </row>
    <row r="24" spans="2:8" x14ac:dyDescent="0.3">
      <c r="H24" s="11"/>
    </row>
  </sheetData>
  <mergeCells count="4">
    <mergeCell ref="C5:G5"/>
    <mergeCell ref="F2:G2"/>
    <mergeCell ref="B10:C10"/>
    <mergeCell ref="B20:D2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CECB4-BCF9-46CC-BC43-1CD0341EB608}">
  <dimension ref="B2:I33"/>
  <sheetViews>
    <sheetView workbookViewId="0">
      <selection activeCell="I24" sqref="I24"/>
    </sheetView>
  </sheetViews>
  <sheetFormatPr defaultRowHeight="14.4" x14ac:dyDescent="0.3"/>
  <cols>
    <col min="2" max="2" width="16.33203125" style="3" customWidth="1"/>
    <col min="3" max="3" width="6.77734375" style="3" bestFit="1" customWidth="1"/>
    <col min="4" max="4" width="16.6640625" style="3" bestFit="1" customWidth="1"/>
    <col min="5" max="5" width="8.88671875" style="3" bestFit="1" customWidth="1"/>
    <col min="6" max="6" width="12.6640625" style="3" customWidth="1"/>
    <col min="7" max="7" width="14.21875" style="3" customWidth="1"/>
    <col min="8" max="8" width="14.33203125" customWidth="1"/>
  </cols>
  <sheetData>
    <row r="2" spans="2:9" x14ac:dyDescent="0.3">
      <c r="B2" s="1" t="s">
        <v>0</v>
      </c>
      <c r="C2" s="2">
        <v>21</v>
      </c>
      <c r="H2" s="25" t="s">
        <v>16</v>
      </c>
      <c r="I2" s="26"/>
    </row>
    <row r="3" spans="2:9" x14ac:dyDescent="0.3">
      <c r="B3" s="1" t="s">
        <v>1</v>
      </c>
      <c r="C3" s="2">
        <v>79</v>
      </c>
      <c r="H3" s="1" t="s">
        <v>6</v>
      </c>
      <c r="I3" s="4">
        <f>C3/C2</f>
        <v>3.7619047619047619</v>
      </c>
    </row>
    <row r="5" spans="2:9" x14ac:dyDescent="0.3">
      <c r="B5" s="1" t="s">
        <v>7</v>
      </c>
      <c r="C5" s="32" t="s">
        <v>68</v>
      </c>
      <c r="D5" s="32"/>
      <c r="E5" s="32"/>
      <c r="F5" s="32"/>
      <c r="G5" s="32"/>
      <c r="H5" s="32"/>
    </row>
    <row r="7" spans="2:9" x14ac:dyDescent="0.3">
      <c r="B7" s="1" t="s">
        <v>2</v>
      </c>
      <c r="C7" s="2">
        <f>0.059*(IsoOctane!C7)</f>
        <v>0.47199999999999998</v>
      </c>
      <c r="E7" s="1" t="s">
        <v>2</v>
      </c>
      <c r="F7" s="2">
        <f>0.941*(Ethanol!C7)</f>
        <v>1.8819999999999999</v>
      </c>
      <c r="H7" s="1" t="s">
        <v>8</v>
      </c>
      <c r="I7" s="4">
        <f>C7+F7</f>
        <v>2.3540000000000001</v>
      </c>
    </row>
    <row r="8" spans="2:9" x14ac:dyDescent="0.3">
      <c r="B8" s="1" t="s">
        <v>3</v>
      </c>
      <c r="C8" s="2">
        <f>0.059*(IsoOctane!C8)</f>
        <v>1.0619999999999998</v>
      </c>
      <c r="E8" s="1" t="s">
        <v>3</v>
      </c>
      <c r="F8" s="2">
        <f>0.941*(Ethanol!C8)</f>
        <v>5.6459999999999999</v>
      </c>
      <c r="H8" s="1" t="s">
        <v>9</v>
      </c>
      <c r="I8" s="4">
        <f>(C8+F8)/2</f>
        <v>3.3540000000000001</v>
      </c>
    </row>
    <row r="9" spans="2:9" x14ac:dyDescent="0.3">
      <c r="E9" s="1" t="s">
        <v>14</v>
      </c>
      <c r="F9" s="2">
        <f>0.941*(Ethanol!C9)</f>
        <v>0.94099999999999995</v>
      </c>
      <c r="H9" s="1" t="s">
        <v>10</v>
      </c>
      <c r="I9" s="4">
        <f>(2*(I7)+I8-0.941)/2</f>
        <v>3.5605000000000007</v>
      </c>
    </row>
    <row r="10" spans="2:9" x14ac:dyDescent="0.3">
      <c r="B10" s="25" t="s">
        <v>12</v>
      </c>
      <c r="C10" s="26"/>
      <c r="H10" s="1" t="s">
        <v>11</v>
      </c>
      <c r="I10" s="4">
        <f>I3*(I9)</f>
        <v>13.394261904761906</v>
      </c>
    </row>
    <row r="11" spans="2:9" x14ac:dyDescent="0.3">
      <c r="B11" s="1" t="s">
        <v>13</v>
      </c>
      <c r="C11" s="4">
        <f>((2*C14)+I3*(2*C15))</f>
        <v>137.38399999999999</v>
      </c>
    </row>
    <row r="12" spans="2:9" x14ac:dyDescent="0.3">
      <c r="B12" s="1" t="s">
        <v>2</v>
      </c>
      <c r="C12" s="4">
        <v>12.010999999999999</v>
      </c>
      <c r="H12" s="1" t="s">
        <v>4</v>
      </c>
      <c r="I12" s="4">
        <f>I9*C11</f>
        <v>489.15573200000006</v>
      </c>
    </row>
    <row r="13" spans="2:9" x14ac:dyDescent="0.3">
      <c r="B13" s="1" t="s">
        <v>3</v>
      </c>
      <c r="C13" s="4">
        <v>1.0078</v>
      </c>
      <c r="H13" s="1" t="s">
        <v>5</v>
      </c>
      <c r="I13" s="4">
        <f>((C12*F7)+(F8*C13)+C14)+((C7*C12)+(C8*C13))</f>
        <v>51.033216399999993</v>
      </c>
    </row>
    <row r="14" spans="2:9" x14ac:dyDescent="0.3">
      <c r="B14" s="1" t="s">
        <v>14</v>
      </c>
      <c r="C14" s="4">
        <v>15.999000000000001</v>
      </c>
      <c r="H14" s="3"/>
      <c r="I14" s="3"/>
    </row>
    <row r="15" spans="2:9" x14ac:dyDescent="0.3">
      <c r="B15" s="1" t="s">
        <v>15</v>
      </c>
      <c r="C15" s="4">
        <v>14.007</v>
      </c>
      <c r="H15" s="10" t="s">
        <v>28</v>
      </c>
      <c r="I15" s="4">
        <f>I12/I13</f>
        <v>9.585046103423732</v>
      </c>
    </row>
    <row r="17" spans="2:9" x14ac:dyDescent="0.3">
      <c r="B17" s="33" t="s">
        <v>58</v>
      </c>
      <c r="C17" s="33"/>
      <c r="D17" s="4">
        <f>(C12*C7)+(C13*C8)</f>
        <v>6.7394755999999987</v>
      </c>
      <c r="G17" s="33" t="s">
        <v>59</v>
      </c>
      <c r="H17" s="33"/>
      <c r="I17" s="17">
        <f>D17/(D17+D18)</f>
        <v>0.13454927319631377</v>
      </c>
    </row>
    <row r="18" spans="2:9" x14ac:dyDescent="0.3">
      <c r="B18" s="33" t="s">
        <v>61</v>
      </c>
      <c r="C18" s="33"/>
      <c r="D18" s="4">
        <f>((C12*F7)+(C13*F8)+(C14*F9))</f>
        <v>43.3497998</v>
      </c>
      <c r="G18" s="33" t="s">
        <v>62</v>
      </c>
      <c r="H18" s="25"/>
      <c r="I18" s="16">
        <f>D18/(D18+D17)</f>
        <v>0.86545072680368618</v>
      </c>
    </row>
    <row r="19" spans="2:9" x14ac:dyDescent="0.3">
      <c r="I19" s="18"/>
    </row>
    <row r="20" spans="2:9" x14ac:dyDescent="0.3">
      <c r="B20" s="1" t="s">
        <v>63</v>
      </c>
      <c r="C20" s="2">
        <f>D17/'Alternative Fuel Values'!E3</f>
        <v>9.7673559420289827E-3</v>
      </c>
      <c r="G20" s="33" t="s">
        <v>64</v>
      </c>
      <c r="H20" s="33"/>
      <c r="I20" s="19">
        <f>C20/(C20+C21)</f>
        <v>0.15094028250221217</v>
      </c>
    </row>
    <row r="21" spans="2:9" x14ac:dyDescent="0.3">
      <c r="B21" s="1" t="s">
        <v>66</v>
      </c>
      <c r="C21" s="2">
        <f>D18/'Alternative Fuel Values'!E5</f>
        <v>5.4942712040557666E-2</v>
      </c>
      <c r="G21" s="33" t="s">
        <v>65</v>
      </c>
      <c r="H21" s="33"/>
      <c r="I21" s="19">
        <f>C21/(C21+C20)</f>
        <v>0.84905971749778786</v>
      </c>
    </row>
    <row r="22" spans="2:9" ht="14.4" customHeight="1" x14ac:dyDescent="0.3"/>
    <row r="23" spans="2:9" x14ac:dyDescent="0.3">
      <c r="B23" s="6"/>
      <c r="C23" s="6"/>
      <c r="D23" s="5" t="s">
        <v>45</v>
      </c>
      <c r="E23" s="4">
        <f>((C7+F7)*C12)+((C8+F8)*C13)+C14</f>
        <v>51.033216400000001</v>
      </c>
      <c r="F23" s="7" t="s">
        <v>21</v>
      </c>
    </row>
    <row r="24" spans="2:9" x14ac:dyDescent="0.3">
      <c r="B24" s="6"/>
      <c r="C24" s="6"/>
      <c r="D24" s="5" t="s">
        <v>70</v>
      </c>
      <c r="E24" s="4">
        <f>(C7+F7)*(C12+(C14*2))</f>
        <v>103.59718600000001</v>
      </c>
      <c r="F24" s="8" t="s">
        <v>21</v>
      </c>
    </row>
    <row r="25" spans="2:9" x14ac:dyDescent="0.3">
      <c r="B25" s="6"/>
      <c r="C25" s="6"/>
      <c r="D25" s="6"/>
      <c r="E25" s="6"/>
      <c r="F25" s="6"/>
    </row>
    <row r="26" spans="2:9" x14ac:dyDescent="0.3">
      <c r="B26" s="24" t="s">
        <v>24</v>
      </c>
      <c r="C26" s="24"/>
      <c r="D26" s="24"/>
      <c r="E26" s="31"/>
      <c r="F26" s="5">
        <f>E24/E23</f>
        <v>2.0299952326735968</v>
      </c>
      <c r="G26" s="6" t="s">
        <v>23</v>
      </c>
    </row>
    <row r="28" spans="2:9" x14ac:dyDescent="0.3">
      <c r="B28" s="30" t="s">
        <v>31</v>
      </c>
      <c r="C28" s="30"/>
      <c r="D28" s="30"/>
      <c r="E28" s="30"/>
      <c r="F28" s="30"/>
      <c r="G28" s="30"/>
      <c r="H28" s="30"/>
    </row>
    <row r="29" spans="2:9" x14ac:dyDescent="0.3">
      <c r="B29" s="30"/>
      <c r="C29" s="30"/>
      <c r="D29" s="30"/>
      <c r="E29" s="30"/>
      <c r="F29" s="30"/>
      <c r="G29" s="30"/>
      <c r="H29" s="30"/>
    </row>
    <row r="31" spans="2:9" x14ac:dyDescent="0.3">
      <c r="B31" s="27" t="s">
        <v>32</v>
      </c>
      <c r="C31" s="28"/>
      <c r="D31" s="5">
        <f>IsoOctane!G15/I15</f>
        <v>1.5684759724583675</v>
      </c>
      <c r="E31" s="29" t="s">
        <v>36</v>
      </c>
      <c r="F31" s="27"/>
      <c r="G31" s="27"/>
    </row>
    <row r="33" spans="2:9" x14ac:dyDescent="0.3">
      <c r="B33" s="27" t="s">
        <v>34</v>
      </c>
      <c r="C33" s="27"/>
      <c r="D33" s="27"/>
      <c r="E33" s="28"/>
      <c r="F33" s="5">
        <f>F26*D31</f>
        <v>3.1839987466535695</v>
      </c>
      <c r="G33" s="29" t="s">
        <v>39</v>
      </c>
      <c r="H33" s="27"/>
      <c r="I33" s="27"/>
    </row>
  </sheetData>
  <mergeCells count="15">
    <mergeCell ref="B33:E33"/>
    <mergeCell ref="G33:I33"/>
    <mergeCell ref="H2:I2"/>
    <mergeCell ref="B10:C10"/>
    <mergeCell ref="B26:E26"/>
    <mergeCell ref="B28:H29"/>
    <mergeCell ref="B31:C31"/>
    <mergeCell ref="E31:G31"/>
    <mergeCell ref="C5:H5"/>
    <mergeCell ref="B17:C17"/>
    <mergeCell ref="G17:H17"/>
    <mergeCell ref="B18:C18"/>
    <mergeCell ref="G18:H18"/>
    <mergeCell ref="G20:H20"/>
    <mergeCell ref="G21:H2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DED64-7F73-40DD-81A1-5E75F2CA414E}">
  <dimension ref="B2:I28"/>
  <sheetViews>
    <sheetView workbookViewId="0">
      <selection activeCell="M28" sqref="M28"/>
    </sheetView>
  </sheetViews>
  <sheetFormatPr defaultRowHeight="14.4" x14ac:dyDescent="0.3"/>
  <cols>
    <col min="2" max="2" width="14.88671875" style="3" bestFit="1" customWidth="1"/>
    <col min="3" max="3" width="6.5546875" style="3" bestFit="1" customWidth="1"/>
    <col min="4" max="4" width="15.5546875" style="3" bestFit="1" customWidth="1"/>
    <col min="5" max="5" width="5.5546875" style="3" bestFit="1" customWidth="1"/>
    <col min="6" max="6" width="14.6640625" style="3" customWidth="1"/>
    <col min="7" max="7" width="10" style="3" customWidth="1"/>
  </cols>
  <sheetData>
    <row r="2" spans="2:7" x14ac:dyDescent="0.3">
      <c r="B2" s="1" t="s">
        <v>0</v>
      </c>
      <c r="C2" s="2">
        <v>21</v>
      </c>
      <c r="F2" s="33" t="s">
        <v>16</v>
      </c>
      <c r="G2" s="33"/>
    </row>
    <row r="3" spans="2:7" x14ac:dyDescent="0.3">
      <c r="B3" s="1" t="s">
        <v>1</v>
      </c>
      <c r="C3" s="2">
        <v>79</v>
      </c>
      <c r="F3" s="1" t="s">
        <v>6</v>
      </c>
      <c r="G3" s="4">
        <f>C3/C2</f>
        <v>3.7619047619047619</v>
      </c>
    </row>
    <row r="5" spans="2:7" x14ac:dyDescent="0.3">
      <c r="B5" s="1" t="s">
        <v>7</v>
      </c>
      <c r="C5" s="32" t="s">
        <v>48</v>
      </c>
      <c r="D5" s="32"/>
      <c r="E5" s="32"/>
      <c r="F5" s="32"/>
      <c r="G5" s="32"/>
    </row>
    <row r="7" spans="2:7" x14ac:dyDescent="0.3">
      <c r="B7" s="1" t="s">
        <v>2</v>
      </c>
      <c r="C7" s="2">
        <v>2</v>
      </c>
      <c r="F7" s="1" t="s">
        <v>8</v>
      </c>
      <c r="G7" s="4">
        <f>C7</f>
        <v>2</v>
      </c>
    </row>
    <row r="8" spans="2:7" x14ac:dyDescent="0.3">
      <c r="B8" s="1" t="s">
        <v>3</v>
      </c>
      <c r="C8" s="2">
        <f>2*(C7)+2</f>
        <v>6</v>
      </c>
      <c r="F8" s="1" t="s">
        <v>9</v>
      </c>
      <c r="G8" s="4">
        <f>(2*(G7)+2)/2</f>
        <v>3</v>
      </c>
    </row>
    <row r="9" spans="2:7" x14ac:dyDescent="0.3">
      <c r="B9" s="1" t="s">
        <v>14</v>
      </c>
      <c r="C9" s="2">
        <v>1</v>
      </c>
      <c r="F9" s="1" t="s">
        <v>10</v>
      </c>
      <c r="G9" s="4">
        <f>(2*(G7)+G8-1)/2</f>
        <v>3</v>
      </c>
    </row>
    <row r="10" spans="2:7" x14ac:dyDescent="0.3">
      <c r="F10" s="1" t="s">
        <v>11</v>
      </c>
      <c r="G10" s="4">
        <f>G3*(G9)</f>
        <v>11.285714285714285</v>
      </c>
    </row>
    <row r="11" spans="2:7" x14ac:dyDescent="0.3">
      <c r="B11" s="25" t="s">
        <v>12</v>
      </c>
      <c r="C11" s="26"/>
    </row>
    <row r="12" spans="2:7" x14ac:dyDescent="0.3">
      <c r="B12" s="1" t="s">
        <v>13</v>
      </c>
      <c r="C12" s="4">
        <f>((2*C15)+G3*(2*C16))</f>
        <v>137.38399999999999</v>
      </c>
      <c r="F12" s="1" t="s">
        <v>4</v>
      </c>
      <c r="G12" s="4">
        <f>G9*C12</f>
        <v>412.15199999999993</v>
      </c>
    </row>
    <row r="13" spans="2:7" x14ac:dyDescent="0.3">
      <c r="B13" s="1" t="s">
        <v>2</v>
      </c>
      <c r="C13" s="4">
        <v>12.010999999999999</v>
      </c>
      <c r="F13" s="1" t="s">
        <v>5</v>
      </c>
      <c r="G13" s="4">
        <f>(C7*C13)+(C8*C14)+C15</f>
        <v>46.067799999999998</v>
      </c>
    </row>
    <row r="14" spans="2:7" x14ac:dyDescent="0.3">
      <c r="B14" s="1" t="s">
        <v>3</v>
      </c>
      <c r="C14" s="4">
        <v>1.0078</v>
      </c>
    </row>
    <row r="15" spans="2:7" x14ac:dyDescent="0.3">
      <c r="B15" s="1" t="s">
        <v>14</v>
      </c>
      <c r="C15" s="4">
        <v>15.999000000000001</v>
      </c>
      <c r="F15" s="1" t="s">
        <v>28</v>
      </c>
      <c r="G15" s="4">
        <f>G12/G13</f>
        <v>8.9466395182752372</v>
      </c>
    </row>
    <row r="16" spans="2:7" x14ac:dyDescent="0.3">
      <c r="B16" s="1" t="s">
        <v>15</v>
      </c>
      <c r="C16" s="4">
        <v>14.007</v>
      </c>
    </row>
    <row r="18" spans="2:9" x14ac:dyDescent="0.3">
      <c r="B18" s="6"/>
      <c r="C18" s="6"/>
      <c r="D18" s="5" t="s">
        <v>29</v>
      </c>
      <c r="E18" s="4">
        <f>(C7*C13)+(C8*C14)+C15</f>
        <v>46.067799999999998</v>
      </c>
      <c r="F18" s="7" t="s">
        <v>21</v>
      </c>
    </row>
    <row r="19" spans="2:9" x14ac:dyDescent="0.3">
      <c r="B19" s="6"/>
      <c r="C19" s="6"/>
      <c r="D19" s="5" t="s">
        <v>30</v>
      </c>
      <c r="E19" s="4">
        <f>C7*(C13+(C15*2))</f>
        <v>88.018000000000001</v>
      </c>
      <c r="F19" s="8" t="s">
        <v>21</v>
      </c>
    </row>
    <row r="20" spans="2:9" x14ac:dyDescent="0.3">
      <c r="B20" s="6"/>
      <c r="C20" s="6"/>
      <c r="D20" s="6"/>
      <c r="E20" s="6"/>
      <c r="F20" s="6"/>
    </row>
    <row r="21" spans="2:9" x14ac:dyDescent="0.3">
      <c r="B21" s="24" t="s">
        <v>43</v>
      </c>
      <c r="C21" s="24"/>
      <c r="D21" s="24"/>
      <c r="E21" s="31"/>
      <c r="F21" s="5">
        <f>E19/E18</f>
        <v>1.9106186967903829</v>
      </c>
      <c r="G21" s="6" t="s">
        <v>23</v>
      </c>
    </row>
    <row r="22" spans="2:9" ht="14.4" customHeight="1" x14ac:dyDescent="0.3"/>
    <row r="23" spans="2:9" x14ac:dyDescent="0.3">
      <c r="B23" s="30" t="s">
        <v>42</v>
      </c>
      <c r="C23" s="30"/>
      <c r="D23" s="30"/>
      <c r="E23" s="30"/>
      <c r="F23" s="30"/>
      <c r="G23" s="30"/>
      <c r="H23" s="30"/>
    </row>
    <row r="24" spans="2:9" x14ac:dyDescent="0.3">
      <c r="B24" s="30"/>
      <c r="C24" s="30"/>
      <c r="D24" s="30"/>
      <c r="E24" s="30"/>
      <c r="F24" s="30"/>
      <c r="G24" s="30"/>
      <c r="H24" s="30"/>
    </row>
    <row r="26" spans="2:9" x14ac:dyDescent="0.3">
      <c r="B26" s="27" t="s">
        <v>32</v>
      </c>
      <c r="C26" s="28"/>
      <c r="D26" s="5">
        <f>IsoOctane!G15/G15</f>
        <v>1.6803979278941721</v>
      </c>
      <c r="E26" s="29" t="s">
        <v>73</v>
      </c>
      <c r="F26" s="27"/>
      <c r="G26" s="27"/>
    </row>
    <row r="28" spans="2:9" x14ac:dyDescent="0.3">
      <c r="B28" s="27" t="s">
        <v>34</v>
      </c>
      <c r="C28" s="27"/>
      <c r="D28" s="27"/>
      <c r="E28" s="28"/>
      <c r="F28" s="5">
        <f>F21*D26</f>
        <v>3.2105996990824228</v>
      </c>
      <c r="G28" s="29" t="s">
        <v>37</v>
      </c>
      <c r="H28" s="27"/>
      <c r="I28" s="27"/>
    </row>
  </sheetData>
  <mergeCells count="9">
    <mergeCell ref="B21:E21"/>
    <mergeCell ref="B28:E28"/>
    <mergeCell ref="G28:I28"/>
    <mergeCell ref="B23:H24"/>
    <mergeCell ref="F2:G2"/>
    <mergeCell ref="C5:G5"/>
    <mergeCell ref="B11:C11"/>
    <mergeCell ref="B26:C26"/>
    <mergeCell ref="E26:G2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68506-8F18-404B-84E9-EB1F810316DF}">
  <dimension ref="B2:I28"/>
  <sheetViews>
    <sheetView workbookViewId="0">
      <selection activeCell="I17" sqref="I17"/>
    </sheetView>
  </sheetViews>
  <sheetFormatPr defaultRowHeight="14.4" x14ac:dyDescent="0.3"/>
  <cols>
    <col min="2" max="2" width="14.88671875" style="3" bestFit="1" customWidth="1"/>
    <col min="3" max="3" width="6.5546875" style="3" bestFit="1" customWidth="1"/>
    <col min="4" max="4" width="16.21875" style="3" bestFit="1" customWidth="1"/>
    <col min="5" max="5" width="5.5546875" style="3" bestFit="1" customWidth="1"/>
    <col min="6" max="6" width="12.6640625" style="3" customWidth="1"/>
    <col min="7" max="7" width="10" style="3" customWidth="1"/>
  </cols>
  <sheetData>
    <row r="2" spans="2:7" x14ac:dyDescent="0.3">
      <c r="B2" s="1" t="s">
        <v>0</v>
      </c>
      <c r="C2" s="2">
        <v>21</v>
      </c>
      <c r="F2" s="33" t="s">
        <v>16</v>
      </c>
      <c r="G2" s="33"/>
    </row>
    <row r="3" spans="2:7" x14ac:dyDescent="0.3">
      <c r="B3" s="1" t="s">
        <v>1</v>
      </c>
      <c r="C3" s="2">
        <v>79</v>
      </c>
      <c r="F3" s="1" t="s">
        <v>6</v>
      </c>
      <c r="G3" s="4">
        <f>C3/C2</f>
        <v>3.7619047619047619</v>
      </c>
    </row>
    <row r="5" spans="2:7" x14ac:dyDescent="0.3">
      <c r="B5" s="1" t="s">
        <v>7</v>
      </c>
      <c r="C5" s="32" t="s">
        <v>49</v>
      </c>
      <c r="D5" s="32"/>
      <c r="E5" s="32"/>
      <c r="F5" s="32"/>
      <c r="G5" s="32"/>
    </row>
    <row r="7" spans="2:7" x14ac:dyDescent="0.3">
      <c r="B7" s="1" t="s">
        <v>2</v>
      </c>
      <c r="C7" s="2">
        <v>1</v>
      </c>
      <c r="F7" s="1" t="s">
        <v>8</v>
      </c>
      <c r="G7" s="4">
        <f>C7</f>
        <v>1</v>
      </c>
    </row>
    <row r="8" spans="2:7" x14ac:dyDescent="0.3">
      <c r="B8" s="1" t="s">
        <v>3</v>
      </c>
      <c r="C8" s="2">
        <f>2*(C7)+2</f>
        <v>4</v>
      </c>
      <c r="F8" s="1" t="s">
        <v>9</v>
      </c>
      <c r="G8" s="4">
        <f>(2*(G7)+2)/2</f>
        <v>2</v>
      </c>
    </row>
    <row r="9" spans="2:7" x14ac:dyDescent="0.3">
      <c r="B9" s="1" t="s">
        <v>14</v>
      </c>
      <c r="C9" s="2">
        <v>1</v>
      </c>
      <c r="F9" s="1" t="s">
        <v>10</v>
      </c>
      <c r="G9" s="4">
        <f>(2*(G7)+G8-1)/2</f>
        <v>1.5</v>
      </c>
    </row>
    <row r="10" spans="2:7" x14ac:dyDescent="0.3">
      <c r="F10" s="1" t="s">
        <v>11</v>
      </c>
      <c r="G10" s="4">
        <f>G3*(G9)</f>
        <v>5.6428571428571423</v>
      </c>
    </row>
    <row r="11" spans="2:7" x14ac:dyDescent="0.3">
      <c r="B11" s="25" t="s">
        <v>12</v>
      </c>
      <c r="C11" s="26"/>
    </row>
    <row r="12" spans="2:7" x14ac:dyDescent="0.3">
      <c r="B12" s="1" t="s">
        <v>13</v>
      </c>
      <c r="C12" s="4">
        <f>((2*C15)+G3*(2*C16))</f>
        <v>137.38399999999999</v>
      </c>
      <c r="F12" s="1" t="s">
        <v>4</v>
      </c>
      <c r="G12" s="4">
        <f>G9*C12</f>
        <v>206.07599999999996</v>
      </c>
    </row>
    <row r="13" spans="2:7" x14ac:dyDescent="0.3">
      <c r="B13" s="1" t="s">
        <v>2</v>
      </c>
      <c r="C13" s="4">
        <v>12.010999999999999</v>
      </c>
      <c r="F13" s="1" t="s">
        <v>5</v>
      </c>
      <c r="G13" s="4">
        <f>(C7*C13)+(C8*C14)+C15</f>
        <v>32.041200000000003</v>
      </c>
    </row>
    <row r="14" spans="2:7" x14ac:dyDescent="0.3">
      <c r="B14" s="1" t="s">
        <v>3</v>
      </c>
      <c r="C14" s="4">
        <v>1.0078</v>
      </c>
    </row>
    <row r="15" spans="2:7" x14ac:dyDescent="0.3">
      <c r="B15" s="1" t="s">
        <v>14</v>
      </c>
      <c r="C15" s="4">
        <v>15.999000000000001</v>
      </c>
      <c r="F15" s="1" t="s">
        <v>28</v>
      </c>
      <c r="G15" s="4">
        <f>G12/G13</f>
        <v>6.4315943223100245</v>
      </c>
    </row>
    <row r="16" spans="2:7" x14ac:dyDescent="0.3">
      <c r="B16" s="1" t="s">
        <v>15</v>
      </c>
      <c r="C16" s="4">
        <v>14.007</v>
      </c>
    </row>
    <row r="18" spans="2:9" x14ac:dyDescent="0.3">
      <c r="B18" s="6"/>
      <c r="C18" s="6"/>
      <c r="D18" s="5" t="s">
        <v>19</v>
      </c>
      <c r="E18" s="4">
        <f>(C7*C13)+(C8*C14)+C15</f>
        <v>32.041200000000003</v>
      </c>
      <c r="F18" s="7" t="s">
        <v>21</v>
      </c>
    </row>
    <row r="19" spans="2:9" x14ac:dyDescent="0.3">
      <c r="B19" s="6"/>
      <c r="C19" s="6"/>
      <c r="D19" s="5" t="s">
        <v>27</v>
      </c>
      <c r="E19" s="4">
        <f>C7*(C13+(C15*2))</f>
        <v>44.009</v>
      </c>
      <c r="F19" s="8" t="s">
        <v>21</v>
      </c>
    </row>
    <row r="20" spans="2:9" x14ac:dyDescent="0.3">
      <c r="B20" s="6"/>
      <c r="C20" s="6"/>
      <c r="D20" s="6"/>
      <c r="E20" s="6"/>
      <c r="F20" s="6"/>
    </row>
    <row r="21" spans="2:9" ht="14.4" customHeight="1" x14ac:dyDescent="0.3">
      <c r="B21" s="24" t="s">
        <v>41</v>
      </c>
      <c r="C21" s="24"/>
      <c r="D21" s="24"/>
      <c r="E21" s="5">
        <f>E19/E18</f>
        <v>1.3735128522027888</v>
      </c>
      <c r="F21" s="6" t="s">
        <v>23</v>
      </c>
    </row>
    <row r="22" spans="2:9" ht="14.4" customHeight="1" x14ac:dyDescent="0.3">
      <c r="G22" s="9"/>
    </row>
    <row r="23" spans="2:9" x14ac:dyDescent="0.3">
      <c r="B23" s="30" t="s">
        <v>31</v>
      </c>
      <c r="C23" s="30"/>
      <c r="D23" s="30"/>
      <c r="E23" s="30"/>
      <c r="F23" s="30"/>
      <c r="G23" s="30"/>
      <c r="H23" s="30"/>
    </row>
    <row r="24" spans="2:9" x14ac:dyDescent="0.3">
      <c r="B24" s="30"/>
      <c r="C24" s="30"/>
      <c r="D24" s="30"/>
      <c r="E24" s="30"/>
      <c r="F24" s="30"/>
      <c r="G24" s="30"/>
      <c r="H24" s="30"/>
    </row>
    <row r="26" spans="2:9" x14ac:dyDescent="0.3">
      <c r="B26" s="27" t="s">
        <v>32</v>
      </c>
      <c r="C26" s="28"/>
      <c r="D26" s="5">
        <f>IsoOctane!G15/Methanol!G15</f>
        <v>2.3375097611452147</v>
      </c>
      <c r="E26" s="29" t="s">
        <v>33</v>
      </c>
      <c r="F26" s="27"/>
      <c r="G26" s="27"/>
    </row>
    <row r="28" spans="2:9" x14ac:dyDescent="0.3">
      <c r="B28" s="27" t="s">
        <v>34</v>
      </c>
      <c r="C28" s="27"/>
      <c r="D28" s="27"/>
      <c r="E28" s="28"/>
      <c r="F28" s="5">
        <f>E21*D26</f>
        <v>3.2105996990824237</v>
      </c>
      <c r="G28" s="29" t="s">
        <v>35</v>
      </c>
      <c r="H28" s="27"/>
      <c r="I28" s="27"/>
    </row>
  </sheetData>
  <mergeCells count="9">
    <mergeCell ref="F2:G2"/>
    <mergeCell ref="C5:G5"/>
    <mergeCell ref="B11:C11"/>
    <mergeCell ref="B21:D21"/>
    <mergeCell ref="B28:E28"/>
    <mergeCell ref="B23:H24"/>
    <mergeCell ref="G28:I28"/>
    <mergeCell ref="B26:C26"/>
    <mergeCell ref="E26:G2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04212-5B21-4DB2-8AAD-8DE75B34E2A3}">
  <dimension ref="B2:L21"/>
  <sheetViews>
    <sheetView tabSelected="1" workbookViewId="0">
      <selection activeCell="E20" sqref="E20"/>
    </sheetView>
  </sheetViews>
  <sheetFormatPr defaultRowHeight="14.4" x14ac:dyDescent="0.3"/>
  <cols>
    <col min="2" max="2" width="9.6640625" bestFit="1" customWidth="1"/>
    <col min="3" max="3" width="5.5546875" bestFit="1" customWidth="1"/>
    <col min="4" max="4" width="9.88671875" bestFit="1" customWidth="1"/>
    <col min="5" max="5" width="20.21875" bestFit="1" customWidth="1"/>
    <col min="8" max="8" width="10.6640625" bestFit="1" customWidth="1"/>
    <col min="11" max="11" width="18.33203125" bestFit="1" customWidth="1"/>
  </cols>
  <sheetData>
    <row r="2" spans="2:12" x14ac:dyDescent="0.3">
      <c r="B2" s="1" t="s">
        <v>54</v>
      </c>
      <c r="C2" s="1" t="s">
        <v>47</v>
      </c>
      <c r="D2" s="1" t="s">
        <v>71</v>
      </c>
      <c r="E2" s="1" t="s">
        <v>72</v>
      </c>
      <c r="F2" s="15"/>
      <c r="H2" s="15"/>
      <c r="I2" s="15"/>
      <c r="K2" s="15"/>
      <c r="L2" s="15"/>
    </row>
    <row r="3" spans="2:12" x14ac:dyDescent="0.3">
      <c r="B3" s="1" t="s">
        <v>46</v>
      </c>
      <c r="C3" s="4">
        <f>IsoOctane!G15</f>
        <v>15.033914508125823</v>
      </c>
      <c r="D3" s="2">
        <f>44.651*1000000</f>
        <v>44651000</v>
      </c>
      <c r="E3" s="2">
        <v>690</v>
      </c>
    </row>
    <row r="4" spans="2:12" x14ac:dyDescent="0.3">
      <c r="B4" s="1" t="s">
        <v>53</v>
      </c>
      <c r="C4" s="4">
        <f>'E85'!I15</f>
        <v>9.585046103423732</v>
      </c>
      <c r="D4" s="2">
        <f>0.15*(D3)+0.85*(D5)</f>
        <v>29480200</v>
      </c>
      <c r="E4" s="2">
        <f>0.15*(E3)+0.85*(E5)</f>
        <v>774.15</v>
      </c>
      <c r="I4" s="11"/>
      <c r="L4" s="11"/>
    </row>
    <row r="5" spans="2:12" x14ac:dyDescent="0.3">
      <c r="B5" s="1" t="s">
        <v>55</v>
      </c>
      <c r="C5" s="4">
        <f>Ethanol!G15</f>
        <v>8.9466395182752372</v>
      </c>
      <c r="D5" s="13">
        <f>26.803*1000000</f>
        <v>26803000</v>
      </c>
      <c r="E5" s="13">
        <v>789</v>
      </c>
    </row>
    <row r="6" spans="2:12" x14ac:dyDescent="0.3">
      <c r="B6" s="1" t="s">
        <v>74</v>
      </c>
      <c r="C6" s="4">
        <f>Methanol!G15</f>
        <v>6.4315943223100245</v>
      </c>
      <c r="D6" s="2">
        <f>19.915*1000000</f>
        <v>19915000</v>
      </c>
      <c r="E6" s="4">
        <v>792</v>
      </c>
    </row>
    <row r="8" spans="2:12" x14ac:dyDescent="0.3">
      <c r="B8" s="34" t="s">
        <v>75</v>
      </c>
      <c r="C8" s="34"/>
      <c r="D8" s="34"/>
      <c r="E8" s="34"/>
    </row>
    <row r="9" spans="2:12" x14ac:dyDescent="0.3">
      <c r="B9" s="1" t="s">
        <v>54</v>
      </c>
      <c r="C9" s="1" t="s">
        <v>47</v>
      </c>
      <c r="D9" s="1" t="s">
        <v>71</v>
      </c>
      <c r="E9" s="1" t="s">
        <v>72</v>
      </c>
    </row>
    <row r="10" spans="2:12" x14ac:dyDescent="0.3">
      <c r="B10" s="1" t="s">
        <v>46</v>
      </c>
      <c r="C10" s="4">
        <v>15.03</v>
      </c>
      <c r="D10" s="2">
        <v>44430000</v>
      </c>
      <c r="E10" s="2">
        <v>702.67</v>
      </c>
    </row>
    <row r="11" spans="2:12" x14ac:dyDescent="0.3">
      <c r="B11" s="1" t="s">
        <v>53</v>
      </c>
      <c r="C11" s="4">
        <v>9.7899999999999991</v>
      </c>
      <c r="D11" s="2">
        <v>29282500</v>
      </c>
      <c r="E11" s="2">
        <v>773.53</v>
      </c>
    </row>
    <row r="12" spans="2:12" x14ac:dyDescent="0.3">
      <c r="B12" s="1" t="s">
        <v>55</v>
      </c>
      <c r="C12" s="4">
        <v>8.9499999999999993</v>
      </c>
      <c r="D12" s="13">
        <v>26830000</v>
      </c>
      <c r="E12" s="13">
        <v>789.37</v>
      </c>
    </row>
    <row r="13" spans="2:12" x14ac:dyDescent="0.3">
      <c r="B13" s="1" t="s">
        <v>74</v>
      </c>
      <c r="C13" s="4">
        <v>6.43</v>
      </c>
      <c r="D13" s="2">
        <v>2011000</v>
      </c>
      <c r="E13" s="4">
        <v>791.29</v>
      </c>
    </row>
    <row r="17" spans="2:4" x14ac:dyDescent="0.3">
      <c r="B17" s="12"/>
      <c r="C17" s="12"/>
      <c r="D17" s="12"/>
    </row>
    <row r="18" spans="2:4" x14ac:dyDescent="0.3">
      <c r="B18" s="12"/>
      <c r="C18" s="14"/>
      <c r="D18" s="14"/>
    </row>
    <row r="19" spans="2:4" x14ac:dyDescent="0.3">
      <c r="B19" s="12"/>
      <c r="C19" s="14"/>
      <c r="D19" s="14"/>
    </row>
    <row r="20" spans="2:4" x14ac:dyDescent="0.3">
      <c r="B20" s="12"/>
      <c r="C20" s="14"/>
      <c r="D20" s="14"/>
    </row>
    <row r="21" spans="2:4" x14ac:dyDescent="0.3">
      <c r="B21" s="12"/>
      <c r="C21" s="14"/>
      <c r="D21" s="14"/>
    </row>
  </sheetData>
  <mergeCells count="1">
    <mergeCell ref="B8:E8"/>
  </mergeCells>
  <pageMargins left="0.7" right="0.7" top="0.75" bottom="0.75" header="0.3" footer="0.3"/>
  <ignoredErrors>
    <ignoredError sqref="D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IsoDodecane</vt:lpstr>
      <vt:lpstr>M50</vt:lpstr>
      <vt:lpstr>E10</vt:lpstr>
      <vt:lpstr>IsoOctane</vt:lpstr>
      <vt:lpstr>E85</vt:lpstr>
      <vt:lpstr>Ethanol</vt:lpstr>
      <vt:lpstr>Methanol</vt:lpstr>
      <vt:lpstr>Alternative Fuel Values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Aron Evans (2304321)</dc:creator>
  <cp:lastModifiedBy>Aron Evans (2304321)</cp:lastModifiedBy>
  <dcterms:created xsi:type="dcterms:W3CDTF">2026-01-01T12:51:57Z</dcterms:created>
  <dcterms:modified xsi:type="dcterms:W3CDTF">2026-01-04T20:54:32Z</dcterms:modified>
</cp:coreProperties>
</file>