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fanh\Documents\"/>
    </mc:Choice>
  </mc:AlternateContent>
  <xr:revisionPtr revIDLastSave="0" documentId="13_ncr:1_{39A6603F-F6B5-4C53-918D-BA90BC91B322}" xr6:coauthVersionLast="45" xr6:coauthVersionMax="45" xr10:uidLastSave="{00000000-0000-0000-0000-000000000000}"/>
  <bookViews>
    <workbookView xWindow="-110" yWindow="-110" windowWidth="38620" windowHeight="21820" xr2:uid="{0A58D3E5-E3BE-C243-85B8-1509297EA93E}"/>
  </bookViews>
  <sheets>
    <sheet name="Specs" sheetId="1" r:id="rId1"/>
    <sheet name="Lumped mass model" sheetId="5" r:id="rId2"/>
    <sheet name="Torque Path" sheetId="2" r:id="rId3"/>
    <sheet name="Acceleration improvements" sheetId="3" r:id="rId4"/>
    <sheet name="Yaw rate gain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" i="2" l="1"/>
  <c r="M6" i="2"/>
  <c r="I5" i="2" l="1"/>
  <c r="B23" i="4" l="1"/>
  <c r="I7" i="2"/>
  <c r="I6" i="2"/>
  <c r="G35" i="4" l="1"/>
  <c r="G38" i="4"/>
  <c r="K38" i="4"/>
  <c r="G32" i="4"/>
  <c r="B13" i="4"/>
  <c r="K18" i="4"/>
  <c r="M9" i="4"/>
  <c r="M6" i="4"/>
  <c r="M7" i="4"/>
  <c r="G13" i="4"/>
  <c r="E8" i="3"/>
  <c r="E3" i="3"/>
  <c r="I38" i="2"/>
  <c r="I39" i="2"/>
  <c r="I9" i="2"/>
  <c r="I2" i="2"/>
  <c r="F2" i="2"/>
  <c r="E2" i="2"/>
  <c r="D2" i="2"/>
  <c r="A25" i="2"/>
  <c r="B5" i="3" l="1"/>
  <c r="I3" i="2"/>
  <c r="I27" i="2" l="1"/>
  <c r="C2" i="5" l="1"/>
  <c r="C1" i="5"/>
  <c r="B21" i="4" l="1"/>
  <c r="B14" i="4"/>
  <c r="B10" i="4"/>
  <c r="B4" i="4"/>
  <c r="B3" i="4"/>
  <c r="B5" i="4"/>
  <c r="M3" i="4" s="1"/>
  <c r="B2" i="4"/>
  <c r="B20" i="4" l="1"/>
  <c r="B22" i="4" s="1"/>
  <c r="B24" i="4" s="1"/>
  <c r="X3" i="4"/>
  <c r="X6" i="4"/>
  <c r="X7" i="4" s="1"/>
  <c r="R13" i="4" s="1"/>
  <c r="B1" i="3"/>
  <c r="I3" i="3" s="1"/>
  <c r="I26" i="2"/>
  <c r="I24" i="2"/>
  <c r="I25" i="2"/>
  <c r="I37" i="2"/>
  <c r="I35" i="2"/>
  <c r="I36" i="2"/>
  <c r="I17" i="2"/>
  <c r="I16" i="2"/>
  <c r="I15" i="2"/>
  <c r="I14" i="2" a="1"/>
  <c r="I14" i="2" s="1"/>
  <c r="I13" i="2"/>
  <c r="I4" i="2"/>
  <c r="K13" i="4" l="1"/>
  <c r="K15" i="4" s="1"/>
  <c r="V13" i="4"/>
  <c r="R15" i="4" s="1"/>
  <c r="M10" i="4"/>
  <c r="M3" i="3"/>
  <c r="B6" i="3"/>
  <c r="I42" i="2"/>
  <c r="I40" i="2"/>
  <c r="I31" i="2"/>
  <c r="I20" i="2"/>
  <c r="I28" i="2"/>
  <c r="I29" i="2" s="1"/>
  <c r="I18" i="2"/>
  <c r="F4" i="2"/>
  <c r="A28" i="2"/>
  <c r="E3" i="2"/>
  <c r="E4" i="2"/>
  <c r="E5" i="2"/>
  <c r="E6" i="2"/>
  <c r="E7" i="2"/>
  <c r="E8" i="2"/>
  <c r="D8" i="2"/>
  <c r="D3" i="2"/>
  <c r="D4" i="2"/>
  <c r="D5" i="2"/>
  <c r="D6" i="2"/>
  <c r="D7" i="2"/>
  <c r="B10" i="1"/>
  <c r="B9" i="1"/>
  <c r="G15" i="4" l="1"/>
  <c r="X10" i="4"/>
  <c r="E5" i="3"/>
  <c r="M5" i="3"/>
  <c r="M8" i="3" s="1"/>
  <c r="I5" i="3"/>
  <c r="V15" i="4"/>
  <c r="X9" i="4"/>
  <c r="V18" i="4" s="1"/>
  <c r="R18" i="4" s="1"/>
  <c r="R32" i="4" s="1"/>
  <c r="E11" i="3"/>
  <c r="M11" i="3" l="1"/>
  <c r="G18" i="4"/>
  <c r="K32" i="4"/>
  <c r="V32" i="4"/>
  <c r="R35" i="4" s="1"/>
  <c r="R38" i="4" s="1"/>
  <c r="V38" i="4" s="1"/>
  <c r="V39" i="4" s="1"/>
  <c r="I8" i="3"/>
  <c r="I11" i="3"/>
  <c r="K39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<sst xmlns="http://schemas.openxmlformats.org/spreadsheetml/2006/main" count="272" uniqueCount="155">
  <si>
    <t xml:space="preserve">Wheelbase </t>
  </si>
  <si>
    <t>Front Track</t>
  </si>
  <si>
    <t>Rear Track</t>
  </si>
  <si>
    <t>Kerb weight</t>
  </si>
  <si>
    <t>Dry weight</t>
  </si>
  <si>
    <t>Front tyre</t>
  </si>
  <si>
    <t>Rear tyre</t>
  </si>
  <si>
    <t>Front wheel</t>
  </si>
  <si>
    <t>Rear wheel</t>
  </si>
  <si>
    <t>245/35 ZR 20</t>
  </si>
  <si>
    <t>295/35 ZR 20</t>
  </si>
  <si>
    <t>8.5 J x 20"</t>
  </si>
  <si>
    <t>10.5 J x 20"</t>
  </si>
  <si>
    <t>Total displacement</t>
  </si>
  <si>
    <t xml:space="preserve">Maximum power </t>
  </si>
  <si>
    <t xml:space="preserve">Maximum torque </t>
  </si>
  <si>
    <t>Maximum RPM</t>
  </si>
  <si>
    <t>@6000RPM</t>
  </si>
  <si>
    <t>@8000RPM</t>
  </si>
  <si>
    <t>kg</t>
  </si>
  <si>
    <t>cm3</t>
  </si>
  <si>
    <t>kW</t>
  </si>
  <si>
    <t>Nm</t>
  </si>
  <si>
    <t>RPM</t>
  </si>
  <si>
    <t>m</t>
  </si>
  <si>
    <t>Mass on front axle</t>
  </si>
  <si>
    <t>Mass on rear axle</t>
  </si>
  <si>
    <t>Gear</t>
  </si>
  <si>
    <t>Gear Ratio</t>
  </si>
  <si>
    <t>Final drive</t>
  </si>
  <si>
    <t>Overall ratio</t>
  </si>
  <si>
    <r>
      <t>Front gearbox 1</t>
    </r>
    <r>
      <rPr>
        <i/>
        <vertAlign val="superscript"/>
        <sz val="12"/>
        <color theme="1"/>
        <rFont val="Calibri"/>
        <family val="2"/>
        <scheme val="minor"/>
      </rPr>
      <t>st</t>
    </r>
    <r>
      <rPr>
        <i/>
        <sz val="12"/>
        <color theme="1"/>
        <rFont val="Calibri"/>
        <family val="2"/>
        <scheme val="minor"/>
      </rPr>
      <t xml:space="preserve"> ratio</t>
    </r>
  </si>
  <si>
    <r>
      <t>Front gearbox 2</t>
    </r>
    <r>
      <rPr>
        <i/>
        <vertAlign val="superscript"/>
        <sz val="12"/>
        <color theme="1"/>
        <rFont val="Calibri"/>
        <family val="2"/>
        <scheme val="minor"/>
      </rPr>
      <t>nd</t>
    </r>
    <r>
      <rPr>
        <i/>
        <sz val="12"/>
        <color theme="1"/>
        <rFont val="Calibri"/>
        <family val="2"/>
        <scheme val="minor"/>
      </rPr>
      <t xml:space="preserve"> ratio</t>
    </r>
  </si>
  <si>
    <t>N/A</t>
  </si>
  <si>
    <t>@1000RPM engine</t>
  </si>
  <si>
    <t>Rear wheel road speed (RPM)</t>
  </si>
  <si>
    <t>Front wheel road speed (RPM)</t>
  </si>
  <si>
    <t xml:space="preserve">Maximum of 20% total torque available to front wheels </t>
  </si>
  <si>
    <r>
      <t>Front 1</t>
    </r>
    <r>
      <rPr>
        <i/>
        <vertAlign val="superscript"/>
        <sz val="10"/>
        <color theme="1"/>
        <rFont val="Calibri"/>
        <family val="2"/>
        <scheme val="minor"/>
      </rPr>
      <t>st</t>
    </r>
    <r>
      <rPr>
        <i/>
        <sz val="10"/>
        <color theme="1"/>
        <rFont val="Calibri"/>
        <family val="2"/>
        <scheme val="minor"/>
      </rPr>
      <t xml:space="preserve"> ratio is 6% taller than 2</t>
    </r>
    <r>
      <rPr>
        <i/>
        <vertAlign val="superscript"/>
        <sz val="10"/>
        <color theme="1"/>
        <rFont val="Calibri"/>
        <family val="2"/>
        <scheme val="minor"/>
      </rPr>
      <t>nd</t>
    </r>
    <r>
      <rPr>
        <i/>
        <sz val="10"/>
        <color theme="1"/>
        <rFont val="Calibri"/>
        <family val="2"/>
        <scheme val="minor"/>
      </rPr>
      <t xml:space="preserve"> ratio in main gearbox</t>
    </r>
  </si>
  <si>
    <r>
      <t>Front 2</t>
    </r>
    <r>
      <rPr>
        <i/>
        <vertAlign val="superscript"/>
        <sz val="10"/>
        <color theme="1"/>
        <rFont val="Calibri"/>
        <family val="2"/>
        <scheme val="minor"/>
      </rPr>
      <t>st</t>
    </r>
    <r>
      <rPr>
        <i/>
        <sz val="10"/>
        <color theme="1"/>
        <rFont val="Calibri"/>
        <family val="2"/>
        <scheme val="minor"/>
      </rPr>
      <t xml:space="preserve"> ratio is 6% taller than 4</t>
    </r>
    <r>
      <rPr>
        <i/>
        <vertAlign val="superscript"/>
        <sz val="10"/>
        <color theme="1"/>
        <rFont val="Calibri"/>
        <family val="2"/>
        <scheme val="minor"/>
      </rPr>
      <t>th</t>
    </r>
    <r>
      <rPr>
        <i/>
        <sz val="10"/>
        <color theme="1"/>
        <rFont val="Calibri"/>
        <family val="2"/>
        <scheme val="minor"/>
      </rPr>
      <t xml:space="preserve"> ratio in main gearbox</t>
    </r>
  </si>
  <si>
    <r>
      <t>1</t>
    </r>
    <r>
      <rPr>
        <i/>
        <vertAlign val="superscript"/>
        <sz val="14"/>
        <color theme="1"/>
        <rFont val="Calibri"/>
        <family val="2"/>
        <scheme val="minor"/>
      </rPr>
      <t>st</t>
    </r>
    <r>
      <rPr>
        <i/>
        <sz val="14"/>
        <color theme="1"/>
        <rFont val="Calibri"/>
        <family val="2"/>
        <scheme val="minor"/>
      </rPr>
      <t xml:space="preserve"> gear front box / 1</t>
    </r>
    <r>
      <rPr>
        <i/>
        <vertAlign val="superscript"/>
        <sz val="14"/>
        <color theme="1"/>
        <rFont val="Calibri"/>
        <family val="2"/>
        <scheme val="minor"/>
      </rPr>
      <t>st</t>
    </r>
    <r>
      <rPr>
        <i/>
        <sz val="14"/>
        <color theme="1"/>
        <rFont val="Calibri"/>
        <family val="2"/>
        <scheme val="minor"/>
      </rPr>
      <t xml:space="preserve"> gear main box </t>
    </r>
  </si>
  <si>
    <t>Maximum torque (Nm)</t>
  </si>
  <si>
    <t>@RPM</t>
  </si>
  <si>
    <t>Difference</t>
  </si>
  <si>
    <t>Torque</t>
  </si>
  <si>
    <t>Power</t>
  </si>
  <si>
    <t>W</t>
  </si>
  <si>
    <t>Power across clutch pack</t>
  </si>
  <si>
    <r>
      <t>1</t>
    </r>
    <r>
      <rPr>
        <i/>
        <vertAlign val="superscript"/>
        <sz val="10"/>
        <color theme="1"/>
        <rFont val="Calibri"/>
        <family val="2"/>
        <scheme val="minor"/>
      </rPr>
      <t>st</t>
    </r>
    <r>
      <rPr>
        <i/>
        <sz val="10"/>
        <color theme="1"/>
        <rFont val="Calibri"/>
        <family val="2"/>
        <scheme val="minor"/>
      </rPr>
      <t xml:space="preserve"> gear main </t>
    </r>
  </si>
  <si>
    <r>
      <t>1</t>
    </r>
    <r>
      <rPr>
        <i/>
        <vertAlign val="superscript"/>
        <sz val="10"/>
        <color theme="1"/>
        <rFont val="Calibri"/>
        <family val="2"/>
        <scheme val="minor"/>
      </rPr>
      <t>st</t>
    </r>
    <r>
      <rPr>
        <i/>
        <sz val="10"/>
        <color theme="1"/>
        <rFont val="Calibri"/>
        <family val="2"/>
        <scheme val="minor"/>
      </rPr>
      <t xml:space="preserve"> gear front </t>
    </r>
  </si>
  <si>
    <t>Slip across clutch pack</t>
  </si>
  <si>
    <t>%</t>
  </si>
  <si>
    <r>
      <t>1</t>
    </r>
    <r>
      <rPr>
        <i/>
        <vertAlign val="superscript"/>
        <sz val="14"/>
        <color theme="1"/>
        <rFont val="Calibri"/>
        <family val="2"/>
        <scheme val="minor"/>
      </rPr>
      <t>st</t>
    </r>
    <r>
      <rPr>
        <i/>
        <sz val="14"/>
        <color theme="1"/>
        <rFont val="Calibri"/>
        <family val="2"/>
        <scheme val="minor"/>
      </rPr>
      <t xml:space="preserve"> gear front box / 2</t>
    </r>
    <r>
      <rPr>
        <i/>
        <vertAlign val="superscript"/>
        <sz val="14"/>
        <color theme="1"/>
        <rFont val="Calibri"/>
        <family val="2"/>
        <scheme val="minor"/>
      </rPr>
      <t>nd</t>
    </r>
    <r>
      <rPr>
        <i/>
        <sz val="14"/>
        <color theme="1"/>
        <rFont val="Calibri"/>
        <family val="2"/>
        <scheme val="minor"/>
      </rPr>
      <t xml:space="preserve"> gear main box </t>
    </r>
  </si>
  <si>
    <r>
      <t>2</t>
    </r>
    <r>
      <rPr>
        <i/>
        <vertAlign val="superscript"/>
        <sz val="14"/>
        <color theme="1"/>
        <rFont val="Calibri"/>
        <family val="2"/>
        <scheme val="minor"/>
      </rPr>
      <t>nd</t>
    </r>
    <r>
      <rPr>
        <i/>
        <sz val="14"/>
        <color theme="1"/>
        <rFont val="Calibri"/>
        <family val="2"/>
        <scheme val="minor"/>
      </rPr>
      <t xml:space="preserve"> gear front box / 3</t>
    </r>
    <r>
      <rPr>
        <i/>
        <vertAlign val="superscript"/>
        <sz val="14"/>
        <color theme="1"/>
        <rFont val="Calibri"/>
        <family val="2"/>
        <scheme val="minor"/>
      </rPr>
      <t>rd</t>
    </r>
    <r>
      <rPr>
        <i/>
        <sz val="14"/>
        <color theme="1"/>
        <rFont val="Calibri"/>
        <family val="2"/>
        <scheme val="minor"/>
      </rPr>
      <t xml:space="preserve"> gear main box </t>
    </r>
  </si>
  <si>
    <r>
      <t>2</t>
    </r>
    <r>
      <rPr>
        <i/>
        <vertAlign val="superscript"/>
        <sz val="14"/>
        <color theme="1"/>
        <rFont val="Calibri"/>
        <family val="2"/>
        <scheme val="minor"/>
      </rPr>
      <t>nd</t>
    </r>
    <r>
      <rPr>
        <i/>
        <sz val="14"/>
        <color theme="1"/>
        <rFont val="Calibri"/>
        <family val="2"/>
        <scheme val="minor"/>
      </rPr>
      <t xml:space="preserve"> gear front box / 4</t>
    </r>
    <r>
      <rPr>
        <i/>
        <vertAlign val="superscript"/>
        <sz val="14"/>
        <color theme="1"/>
        <rFont val="Calibri"/>
        <family val="2"/>
        <scheme val="minor"/>
      </rPr>
      <t>th</t>
    </r>
    <r>
      <rPr>
        <i/>
        <sz val="14"/>
        <color theme="1"/>
        <rFont val="Calibri"/>
        <family val="2"/>
        <scheme val="minor"/>
      </rPr>
      <t xml:space="preserve"> gear main box </t>
    </r>
  </si>
  <si>
    <r>
      <t>2</t>
    </r>
    <r>
      <rPr>
        <i/>
        <vertAlign val="superscript"/>
        <sz val="10"/>
        <color theme="1"/>
        <rFont val="Calibri"/>
        <family val="2"/>
        <scheme val="minor"/>
      </rPr>
      <t>nd</t>
    </r>
    <r>
      <rPr>
        <i/>
        <sz val="10"/>
        <color theme="1"/>
        <rFont val="Calibri"/>
        <family val="2"/>
        <scheme val="minor"/>
      </rPr>
      <t xml:space="preserve"> gear main </t>
    </r>
  </si>
  <si>
    <r>
      <t>3</t>
    </r>
    <r>
      <rPr>
        <i/>
        <vertAlign val="superscript"/>
        <sz val="10"/>
        <color theme="1"/>
        <rFont val="Calibri"/>
        <family val="2"/>
        <scheme val="minor"/>
      </rPr>
      <t>rd</t>
    </r>
    <r>
      <rPr>
        <i/>
        <sz val="10"/>
        <color theme="1"/>
        <rFont val="Calibri"/>
        <family val="2"/>
        <scheme val="minor"/>
      </rPr>
      <t xml:space="preserve"> gear main </t>
    </r>
  </si>
  <si>
    <r>
      <t>2</t>
    </r>
    <r>
      <rPr>
        <i/>
        <vertAlign val="superscript"/>
        <sz val="10"/>
        <color theme="1"/>
        <rFont val="Calibri"/>
        <family val="2"/>
        <scheme val="minor"/>
      </rPr>
      <t>nd</t>
    </r>
    <r>
      <rPr>
        <i/>
        <sz val="10"/>
        <color theme="1"/>
        <rFont val="Calibri"/>
        <family val="2"/>
        <scheme val="minor"/>
      </rPr>
      <t xml:space="preserve"> gear front </t>
    </r>
  </si>
  <si>
    <r>
      <t>4</t>
    </r>
    <r>
      <rPr>
        <i/>
        <vertAlign val="superscript"/>
        <sz val="10"/>
        <color theme="1"/>
        <rFont val="Calibri"/>
        <family val="2"/>
        <scheme val="minor"/>
      </rPr>
      <t>th</t>
    </r>
    <r>
      <rPr>
        <i/>
        <sz val="10"/>
        <color theme="1"/>
        <rFont val="Calibri"/>
        <family val="2"/>
        <scheme val="minor"/>
      </rPr>
      <t xml:space="preserve"> gear main </t>
    </r>
  </si>
  <si>
    <t xml:space="preserve">Mass of car with driver </t>
  </si>
  <si>
    <t>Mass with 90kg driver</t>
  </si>
  <si>
    <t>Weight front</t>
  </si>
  <si>
    <t>Weight rear</t>
  </si>
  <si>
    <t>Vertical load on front axle</t>
  </si>
  <si>
    <t>N</t>
  </si>
  <si>
    <t>Vertical load on rear axle</t>
  </si>
  <si>
    <t>Hard packed snow (μ=0.15)</t>
  </si>
  <si>
    <r>
      <t>RWD max acceleration (m/s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>)</t>
    </r>
  </si>
  <si>
    <r>
      <t>4RM max acceleration (m/s</t>
    </r>
    <r>
      <rPr>
        <i/>
        <vertAlign val="superscript"/>
        <sz val="11"/>
        <color theme="1"/>
        <rFont val="Calibri"/>
        <family val="2"/>
        <scheme val="minor"/>
      </rPr>
      <t>2</t>
    </r>
    <r>
      <rPr>
        <i/>
        <sz val="11"/>
        <color theme="1"/>
        <rFont val="Calibri"/>
        <family val="2"/>
        <scheme val="minor"/>
      </rPr>
      <t>)</t>
    </r>
  </si>
  <si>
    <t>Available grip front (N)</t>
  </si>
  <si>
    <t>Available grip rear (N)</t>
  </si>
  <si>
    <t>Gravel (μ=0.6)</t>
  </si>
  <si>
    <r>
      <t>Asphalt (</t>
    </r>
    <r>
      <rPr>
        <b/>
        <sz val="12"/>
        <color theme="1"/>
        <rFont val="Calibri"/>
        <family val="2"/>
      </rPr>
      <t>μ=1)</t>
    </r>
  </si>
  <si>
    <t>*Assuming all available grip is used*</t>
  </si>
  <si>
    <t>4RM has an 88.7% improvement in acceleration</t>
  </si>
  <si>
    <t>Lateral acceleration</t>
  </si>
  <si>
    <r>
      <t>m/s</t>
    </r>
    <r>
      <rPr>
        <vertAlign val="superscript"/>
        <sz val="12"/>
        <color theme="1"/>
        <rFont val="Calibri"/>
        <family val="2"/>
        <scheme val="minor"/>
      </rPr>
      <t>2</t>
    </r>
  </si>
  <si>
    <t>Track width front</t>
  </si>
  <si>
    <t>Track width rear</t>
  </si>
  <si>
    <t>Cornering G</t>
  </si>
  <si>
    <t>*Assumed*</t>
  </si>
  <si>
    <t xml:space="preserve">Centre of gravity height </t>
  </si>
  <si>
    <t>Corner radius</t>
  </si>
  <si>
    <t xml:space="preserve">Velocity </t>
  </si>
  <si>
    <t>m/s</t>
  </si>
  <si>
    <t>Front</t>
  </si>
  <si>
    <t>Weight transfer (N)</t>
  </si>
  <si>
    <t>(per wheel)</t>
  </si>
  <si>
    <t>Rear</t>
  </si>
  <si>
    <t>Lateral load (N)</t>
  </si>
  <si>
    <t xml:space="preserve">Steady state yaw rate </t>
  </si>
  <si>
    <t>sec/lap</t>
  </si>
  <si>
    <t>deg/sec</t>
  </si>
  <si>
    <t>Lateral slip across one axle must be the same</t>
  </si>
  <si>
    <t>For steady state, slip angle L = slip angle R</t>
  </si>
  <si>
    <t>Therefore, lateral grip is shared across the axle in proportion to the vertical loading</t>
  </si>
  <si>
    <t>Left wheel vertical load</t>
  </si>
  <si>
    <t>Right wheel vertical load</t>
  </si>
  <si>
    <t>Left wheel lateral grip</t>
  </si>
  <si>
    <t>Right wheel lateral grip</t>
  </si>
  <si>
    <t xml:space="preserve">Left wheel lateral grip </t>
  </si>
  <si>
    <t>Left wheel longitudinal force</t>
  </si>
  <si>
    <t>Right wheel longitudinal force</t>
  </si>
  <si>
    <t>Drive force required</t>
  </si>
  <si>
    <t xml:space="preserve">Rolling resistance </t>
  </si>
  <si>
    <t>Aerodynamic resistance</t>
  </si>
  <si>
    <t xml:space="preserve">Power </t>
  </si>
  <si>
    <t>hp</t>
  </si>
  <si>
    <t>Difference in lateral grip</t>
  </si>
  <si>
    <t>Moment</t>
  </si>
  <si>
    <t>Yaw rate gain</t>
  </si>
  <si>
    <t>Moment of inertia (ZZ)</t>
  </si>
  <si>
    <r>
      <t>kgm</t>
    </r>
    <r>
      <rPr>
        <vertAlign val="superscript"/>
        <sz val="12"/>
        <color theme="1"/>
        <rFont val="Calibri"/>
        <family val="2"/>
        <scheme val="minor"/>
      </rPr>
      <t>2</t>
    </r>
  </si>
  <si>
    <t>rads/sec</t>
  </si>
  <si>
    <t>Weight Front</t>
  </si>
  <si>
    <t>Weight Rear</t>
  </si>
  <si>
    <t>*Assuming 90kg driver is positioned directly in centre of wheelbase*</t>
  </si>
  <si>
    <t>Taking moments about centre of gravity</t>
  </si>
  <si>
    <r>
      <t>M</t>
    </r>
    <r>
      <rPr>
        <sz val="8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(B - x) = M</t>
    </r>
    <r>
      <rPr>
        <sz val="8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(x) + M</t>
    </r>
    <r>
      <rPr>
        <sz val="8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>(A + x)</t>
    </r>
  </si>
  <si>
    <t>996.4(1.495 - x) = 90x + 883.6(1.495 + x)</t>
  </si>
  <si>
    <t>1489.6 - 996.4x = 90x + 1321.0 + 883.6x</t>
  </si>
  <si>
    <t>1489.6 - 1321.0 = 90x + 883.6x +996.4x</t>
  </si>
  <si>
    <t>168.6 = 1970x</t>
  </si>
  <si>
    <r>
      <t xml:space="preserve"> \ </t>
    </r>
    <r>
      <rPr>
        <sz val="12"/>
        <color theme="1"/>
        <rFont val="Calibri"/>
        <family val="2"/>
        <scheme val="minor"/>
      </rPr>
      <t xml:space="preserve"> </t>
    </r>
  </si>
  <si>
    <r>
      <rPr>
        <sz val="12"/>
        <color theme="1"/>
        <rFont val="Symbol"/>
        <family val="1"/>
        <charset val="2"/>
      </rPr>
      <t xml:space="preserve"> \ </t>
    </r>
    <r>
      <rPr>
        <sz val="12"/>
        <color theme="1"/>
        <rFont val="Calibri"/>
        <family val="2"/>
        <scheme val="minor"/>
      </rPr>
      <t xml:space="preserve"> F = 1.495</t>
    </r>
    <r>
      <rPr>
        <sz val="12"/>
        <color theme="1"/>
        <rFont val="Calibri"/>
        <family val="1"/>
        <charset val="2"/>
        <scheme val="minor"/>
      </rPr>
      <t xml:space="preserve"> - 0.08558</t>
    </r>
  </si>
  <si>
    <t>Centre of gravity from front = 1.581m</t>
  </si>
  <si>
    <t>Moment of inertia (about Z-Z axis)</t>
  </si>
  <si>
    <r>
      <t>I</t>
    </r>
    <r>
      <rPr>
        <vertAlign val="subscript"/>
        <sz val="12"/>
        <color theme="1"/>
        <rFont val="Calibri"/>
        <family val="2"/>
        <scheme val="minor"/>
      </rPr>
      <t>ZZ</t>
    </r>
    <r>
      <rPr>
        <sz val="12"/>
        <color theme="1"/>
        <rFont val="Calibri"/>
        <family val="2"/>
        <scheme val="minor"/>
      </rPr>
      <t xml:space="preserve"> = mk</t>
    </r>
    <r>
      <rPr>
        <vertAlign val="superscript"/>
        <sz val="12"/>
        <color theme="1"/>
        <rFont val="Calibri"/>
        <family val="2"/>
        <scheme val="minor"/>
      </rPr>
      <t>2</t>
    </r>
  </si>
  <si>
    <r>
      <t>I</t>
    </r>
    <r>
      <rPr>
        <vertAlign val="subscript"/>
        <sz val="12"/>
        <color theme="1"/>
        <rFont val="Calibri"/>
        <family val="2"/>
        <scheme val="minor"/>
      </rPr>
      <t>ZZ</t>
    </r>
    <r>
      <rPr>
        <sz val="12"/>
        <color theme="1"/>
        <rFont val="Calibri"/>
        <family val="2"/>
        <scheme val="minor"/>
      </rPr>
      <t xml:space="preserve"> = M</t>
    </r>
    <r>
      <rPr>
        <vertAlign val="subscript"/>
        <sz val="12"/>
        <color theme="1"/>
        <rFont val="Calibri"/>
        <family val="2"/>
        <scheme val="minor"/>
      </rPr>
      <t>1</t>
    </r>
    <r>
      <rPr>
        <sz val="12"/>
        <color theme="1"/>
        <rFont val="Calibri"/>
        <family val="2"/>
        <scheme val="minor"/>
      </rPr>
      <t>(A + x)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+ M</t>
    </r>
    <r>
      <rPr>
        <vertAlign val="sub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>(x)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+ M</t>
    </r>
    <r>
      <rPr>
        <vertAlign val="subscript"/>
        <sz val="12"/>
        <color theme="1"/>
        <rFont val="Calibri"/>
        <family val="2"/>
        <scheme val="minor"/>
      </rPr>
      <t>3</t>
    </r>
    <r>
      <rPr>
        <sz val="12"/>
        <color theme="1"/>
        <rFont val="Calibri"/>
        <family val="2"/>
        <scheme val="minor"/>
      </rPr>
      <t>(B - x)</t>
    </r>
    <r>
      <rPr>
        <vertAlign val="superscript"/>
        <sz val="12"/>
        <color theme="1"/>
        <rFont val="Calibri"/>
        <family val="2"/>
        <scheme val="minor"/>
      </rPr>
      <t>2</t>
    </r>
  </si>
  <si>
    <r>
      <t>I</t>
    </r>
    <r>
      <rPr>
        <vertAlign val="subscript"/>
        <sz val="12"/>
        <color theme="1"/>
        <rFont val="Calibri"/>
        <family val="2"/>
        <scheme val="minor"/>
      </rPr>
      <t>ZZ</t>
    </r>
    <r>
      <rPr>
        <sz val="12"/>
        <color theme="1"/>
        <rFont val="Calibri"/>
        <family val="2"/>
        <scheme val="minor"/>
      </rPr>
      <t xml:space="preserve"> = 883.6(1.495 + 0.0856)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+ 90(0.0856)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+ 996.4(1.495 - 0.0856)</t>
    </r>
    <r>
      <rPr>
        <vertAlign val="superscript"/>
        <sz val="12"/>
        <color theme="1"/>
        <rFont val="Calibri"/>
        <family val="2"/>
        <scheme val="minor"/>
      </rPr>
      <t>2</t>
    </r>
  </si>
  <si>
    <r>
      <t>I</t>
    </r>
    <r>
      <rPr>
        <vertAlign val="subscript"/>
        <sz val="12"/>
        <color theme="1"/>
        <rFont val="Calibri"/>
        <family val="2"/>
        <scheme val="minor"/>
      </rPr>
      <t>ZZ</t>
    </r>
    <r>
      <rPr>
        <sz val="12"/>
        <color theme="1"/>
        <rFont val="Calibri"/>
        <family val="2"/>
        <scheme val="minor"/>
      </rPr>
      <t xml:space="preserve"> = 883.6(1.5806)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+ 90(0.0856)</t>
    </r>
    <r>
      <rPr>
        <vertAlign val="superscript"/>
        <sz val="12"/>
        <color theme="1"/>
        <rFont val="Calibri"/>
        <family val="2"/>
        <scheme val="minor"/>
      </rPr>
      <t>2</t>
    </r>
    <r>
      <rPr>
        <sz val="12"/>
        <color theme="1"/>
        <rFont val="Calibri"/>
        <family val="2"/>
        <scheme val="minor"/>
      </rPr>
      <t xml:space="preserve"> + 996.4(1.4094)</t>
    </r>
    <r>
      <rPr>
        <vertAlign val="superscript"/>
        <sz val="12"/>
        <color theme="1"/>
        <rFont val="Calibri"/>
        <family val="2"/>
        <scheme val="minor"/>
      </rPr>
      <t>2</t>
    </r>
  </si>
  <si>
    <r>
      <t>I</t>
    </r>
    <r>
      <rPr>
        <vertAlign val="subscript"/>
        <sz val="12"/>
        <color theme="1"/>
        <rFont val="Calibri"/>
        <family val="2"/>
        <scheme val="minor"/>
      </rPr>
      <t>ZZ</t>
    </r>
    <r>
      <rPr>
        <sz val="12"/>
        <color theme="1"/>
        <rFont val="Calibri"/>
        <family val="2"/>
        <scheme val="minor"/>
      </rPr>
      <t xml:space="preserve"> = 2207.49 + 0.66 + 1979.26</t>
    </r>
  </si>
  <si>
    <r>
      <t>I</t>
    </r>
    <r>
      <rPr>
        <b/>
        <i/>
        <vertAlign val="subscript"/>
        <sz val="12"/>
        <color theme="1"/>
        <rFont val="Calibri"/>
        <family val="2"/>
        <scheme val="minor"/>
      </rPr>
      <t>ZZ</t>
    </r>
    <r>
      <rPr>
        <b/>
        <i/>
        <sz val="12"/>
        <color theme="1"/>
        <rFont val="Calibri"/>
        <family val="2"/>
        <scheme val="minor"/>
      </rPr>
      <t xml:space="preserve"> = 4187.4kgm</t>
    </r>
    <r>
      <rPr>
        <b/>
        <i/>
        <vertAlign val="superscript"/>
        <sz val="12"/>
        <color theme="1"/>
        <rFont val="Calibri"/>
        <family val="2"/>
        <scheme val="minor"/>
      </rPr>
      <t>2</t>
    </r>
  </si>
  <si>
    <t>Centre of gravity position</t>
  </si>
  <si>
    <t>Dynamic Index</t>
  </si>
  <si>
    <t>DI = 0.95</t>
  </si>
  <si>
    <t>Inertial conjugate</t>
  </si>
  <si>
    <t>Inertial conjugate = 1.344m</t>
  </si>
  <si>
    <t xml:space="preserve">7 speed F1 dual-clutch gearbox </t>
  </si>
  <si>
    <t xml:space="preserve">Compression ratio </t>
  </si>
  <si>
    <t>12.3 : 1</t>
  </si>
  <si>
    <t>Specific output</t>
  </si>
  <si>
    <t>kW / litre</t>
  </si>
  <si>
    <t>Fuel consumption</t>
  </si>
  <si>
    <t>l / 100km</t>
  </si>
  <si>
    <t>4RM control</t>
  </si>
  <si>
    <t>ABS / EBD</t>
  </si>
  <si>
    <t>ESC</t>
  </si>
  <si>
    <r>
      <rPr>
        <sz val="12"/>
        <color theme="1"/>
        <rFont val="Symbol"/>
        <family val="1"/>
        <charset val="2"/>
      </rPr>
      <t xml:space="preserve"> \ </t>
    </r>
    <r>
      <rPr>
        <sz val="12"/>
        <color theme="1"/>
        <rFont val="Calibri"/>
        <family val="2"/>
        <scheme val="minor"/>
      </rPr>
      <t xml:space="preserve"> F = 1.409m</t>
    </r>
  </si>
  <si>
    <t xml:space="preserve">Clutch torque capacity </t>
  </si>
  <si>
    <t>Number of friction surfaces</t>
  </si>
  <si>
    <t>Coefficient of friciton</t>
  </si>
  <si>
    <t xml:space="preserve">Inner radius </t>
  </si>
  <si>
    <t xml:space="preserve">Outer radius </t>
  </si>
  <si>
    <t xml:space="preserve">Axial force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</si>
</sst>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%"/>
    <numFmt numFmtId="166" formatCode="0.0"/>
  </numFmts>
  <fonts count="22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i/>
      <vertAlign val="superscript"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scheme val="minor"/>
    </font>
    <font>
      <i/>
      <vertAlign val="superscript"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vertAlign val="superscript"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vertAlign val="superscript"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Symbol"/>
      <family val="1"/>
      <charset val="2"/>
    </font>
    <font>
      <sz val="12"/>
      <color theme="1"/>
      <name val="Calibri"/>
      <family val="1"/>
      <charset val="2"/>
      <scheme val="minor"/>
    </font>
    <font>
      <vertAlign val="subscript"/>
      <sz val="12"/>
      <color theme="1"/>
      <name val="Calibri"/>
      <family val="2"/>
      <scheme val="minor"/>
    </font>
    <font>
      <b/>
      <i/>
      <vertAlign val="subscript"/>
      <sz val="12"/>
      <color theme="1"/>
      <name val="Calibri"/>
      <family val="2"/>
      <scheme val="minor"/>
    </font>
    <font>
      <b/>
      <i/>
      <vertAlign val="superscript"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2" fillId="0" borderId="0" xfId="0" quotePrefix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wrapText="1"/>
    </xf>
    <xf numFmtId="0" fontId="8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2" fontId="0" fillId="0" borderId="1" xfId="0" applyNumberFormat="1" applyBorder="1"/>
    <xf numFmtId="0" fontId="0" fillId="0" borderId="1" xfId="0" applyBorder="1"/>
    <xf numFmtId="0" fontId="3" fillId="0" borderId="1" xfId="0" applyFont="1" applyFill="1" applyBorder="1" applyAlignment="1">
      <alignment horizontal="center" vertical="center"/>
    </xf>
    <xf numFmtId="165" fontId="0" fillId="0" borderId="0" xfId="0" applyNumberFormat="1"/>
    <xf numFmtId="166" fontId="0" fillId="0" borderId="0" xfId="0" applyNumberFormat="1"/>
    <xf numFmtId="0" fontId="0" fillId="0" borderId="0" xfId="0" applyBorder="1"/>
    <xf numFmtId="0" fontId="0" fillId="0" borderId="0" xfId="0" applyAlignment="1">
      <alignment wrapText="1"/>
    </xf>
    <xf numFmtId="164" fontId="0" fillId="0" borderId="0" xfId="0" applyNumberFormat="1"/>
    <xf numFmtId="0" fontId="2" fillId="0" borderId="0" xfId="0" applyFont="1"/>
    <xf numFmtId="2" fontId="0" fillId="0" borderId="0" xfId="0" applyNumberFormat="1"/>
    <xf numFmtId="0" fontId="13" fillId="0" borderId="0" xfId="1"/>
    <xf numFmtId="0" fontId="0" fillId="0" borderId="0" xfId="0" applyAlignment="1"/>
    <xf numFmtId="166" fontId="0" fillId="0" borderId="0" xfId="0" applyNumberFormat="1" applyAlignment="1"/>
    <xf numFmtId="0" fontId="2" fillId="0" borderId="0" xfId="0" applyFont="1" applyAlignment="1">
      <alignment horizontal="center" vertical="center" wrapText="1"/>
    </xf>
    <xf numFmtId="0" fontId="10" fillId="0" borderId="0" xfId="0" applyFont="1"/>
    <xf numFmtId="164" fontId="10" fillId="0" borderId="0" xfId="0" applyNumberFormat="1" applyFont="1"/>
    <xf numFmtId="2" fontId="10" fillId="0" borderId="0" xfId="0" applyNumberFormat="1" applyFont="1"/>
    <xf numFmtId="0" fontId="0" fillId="0" borderId="0" xfId="0" applyNumberFormat="1"/>
    <xf numFmtId="10" fontId="0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15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2" fontId="0" fillId="0" borderId="2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166" fontId="0" fillId="0" borderId="0" xfId="0" applyNumberFormat="1" applyAlignment="1">
      <alignment horizontal="center"/>
    </xf>
    <xf numFmtId="0" fontId="14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758371</xdr:colOff>
      <xdr:row>13</xdr:row>
      <xdr:rowOff>87086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5A909AB-EC9C-B841-AB70-2E5A9DB95237}"/>
            </a:ext>
          </a:extLst>
        </xdr:cNvPr>
        <xdr:cNvSpPr txBox="1"/>
      </xdr:nvSpPr>
      <xdr:spPr>
        <a:xfrm>
          <a:off x="5920014" y="248194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39076</xdr:colOff>
      <xdr:row>0</xdr:row>
      <xdr:rowOff>48845</xdr:rowOff>
    </xdr:from>
    <xdr:to>
      <xdr:col>16</xdr:col>
      <xdr:colOff>620346</xdr:colOff>
      <xdr:row>9</xdr:row>
      <xdr:rowOff>131884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40603A2-2A8B-4831-84FE-AEDA941B8F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11" t="25933" r="18124" b="40439"/>
        <a:stretch/>
      </xdr:blipFill>
      <xdr:spPr>
        <a:xfrm>
          <a:off x="3888153" y="48845"/>
          <a:ext cx="7834924" cy="1841501"/>
        </a:xfrm>
        <a:prstGeom prst="rect">
          <a:avLst/>
        </a:prstGeom>
      </xdr:spPr>
    </xdr:pic>
    <xdr:clientData/>
  </xdr:twoCellAnchor>
  <xdr:twoCellAnchor>
    <xdr:from>
      <xdr:col>5</xdr:col>
      <xdr:colOff>576385</xdr:colOff>
      <xdr:row>3</xdr:row>
      <xdr:rowOff>4884</xdr:rowOff>
    </xdr:from>
    <xdr:to>
      <xdr:col>6</xdr:col>
      <xdr:colOff>410307</xdr:colOff>
      <xdr:row>4</xdr:row>
      <xdr:rowOff>78154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DC302BB-10D1-47A0-BC98-FF5155336957}"/>
            </a:ext>
          </a:extLst>
        </xdr:cNvPr>
        <xdr:cNvSpPr txBox="1"/>
      </xdr:nvSpPr>
      <xdr:spPr>
        <a:xfrm>
          <a:off x="3873500" y="591038"/>
          <a:ext cx="493345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/>
            <a:t>M</a:t>
          </a:r>
          <a:r>
            <a:rPr lang="en-GB" sz="900" b="1"/>
            <a:t>1</a:t>
          </a:r>
          <a:endParaRPr lang="en-GB" sz="1400" b="1"/>
        </a:p>
      </xdr:txBody>
    </xdr:sp>
    <xdr:clientData/>
  </xdr:twoCellAnchor>
  <xdr:twoCellAnchor>
    <xdr:from>
      <xdr:col>10</xdr:col>
      <xdr:colOff>484554</xdr:colOff>
      <xdr:row>2</xdr:row>
      <xdr:rowOff>171938</xdr:rowOff>
    </xdr:from>
    <xdr:to>
      <xdr:col>11</xdr:col>
      <xdr:colOff>318476</xdr:colOff>
      <xdr:row>4</xdr:row>
      <xdr:rowOff>49823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CBCCD42-8F58-4230-B174-2B4800A1CF24}"/>
            </a:ext>
          </a:extLst>
        </xdr:cNvPr>
        <xdr:cNvSpPr txBox="1"/>
      </xdr:nvSpPr>
      <xdr:spPr>
        <a:xfrm>
          <a:off x="7078785" y="562707"/>
          <a:ext cx="493345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/>
            <a:t>M</a:t>
          </a:r>
          <a:r>
            <a:rPr lang="en-GB" sz="900" b="1"/>
            <a:t>2</a:t>
          </a:r>
          <a:endParaRPr lang="en-GB" sz="1400" b="1"/>
        </a:p>
      </xdr:txBody>
    </xdr:sp>
    <xdr:clientData/>
  </xdr:twoCellAnchor>
  <xdr:twoCellAnchor>
    <xdr:from>
      <xdr:col>15</xdr:col>
      <xdr:colOff>302845</xdr:colOff>
      <xdr:row>2</xdr:row>
      <xdr:rowOff>166077</xdr:rowOff>
    </xdr:from>
    <xdr:to>
      <xdr:col>16</xdr:col>
      <xdr:colOff>136767</xdr:colOff>
      <xdr:row>4</xdr:row>
      <xdr:rowOff>43962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3697491-5C46-4B9E-B3DF-A9FFF557AF6B}"/>
            </a:ext>
          </a:extLst>
        </xdr:cNvPr>
        <xdr:cNvSpPr txBox="1"/>
      </xdr:nvSpPr>
      <xdr:spPr>
        <a:xfrm>
          <a:off x="10194191" y="556846"/>
          <a:ext cx="493345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/>
            <a:t>M</a:t>
          </a:r>
          <a:r>
            <a:rPr lang="en-GB" sz="900" b="1"/>
            <a:t>3</a:t>
          </a:r>
          <a:endParaRPr lang="en-GB" sz="1400" b="1"/>
        </a:p>
      </xdr:txBody>
    </xdr:sp>
    <xdr:clientData/>
  </xdr:twoCellAnchor>
  <xdr:twoCellAnchor>
    <xdr:from>
      <xdr:col>5</xdr:col>
      <xdr:colOff>445479</xdr:colOff>
      <xdr:row>5</xdr:row>
      <xdr:rowOff>157285</xdr:rowOff>
    </xdr:from>
    <xdr:to>
      <xdr:col>6</xdr:col>
      <xdr:colOff>517770</xdr:colOff>
      <xdr:row>7</xdr:row>
      <xdr:rowOff>35170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FE447664-B4B5-46F4-AF0E-D8A94C4D1AAD}"/>
            </a:ext>
          </a:extLst>
        </xdr:cNvPr>
        <xdr:cNvSpPr txBox="1"/>
      </xdr:nvSpPr>
      <xdr:spPr>
        <a:xfrm>
          <a:off x="3742594" y="1134208"/>
          <a:ext cx="731714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i="1"/>
            <a:t>883.6kg</a:t>
          </a:r>
        </a:p>
      </xdr:txBody>
    </xdr:sp>
    <xdr:clientData/>
  </xdr:twoCellAnchor>
  <xdr:twoCellAnchor>
    <xdr:from>
      <xdr:col>10</xdr:col>
      <xdr:colOff>456224</xdr:colOff>
      <xdr:row>6</xdr:row>
      <xdr:rowOff>1954</xdr:rowOff>
    </xdr:from>
    <xdr:to>
      <xdr:col>11</xdr:col>
      <xdr:colOff>528515</xdr:colOff>
      <xdr:row>7</xdr:row>
      <xdr:rowOff>75224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C99F27CC-9E62-411D-8D2C-DA4CAD836230}"/>
            </a:ext>
          </a:extLst>
        </xdr:cNvPr>
        <xdr:cNvSpPr txBox="1"/>
      </xdr:nvSpPr>
      <xdr:spPr>
        <a:xfrm>
          <a:off x="7050455" y="1174262"/>
          <a:ext cx="731714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i="1"/>
            <a:t>90kg</a:t>
          </a:r>
        </a:p>
      </xdr:txBody>
    </xdr:sp>
    <xdr:clientData/>
  </xdr:twoCellAnchor>
  <xdr:twoCellAnchor>
    <xdr:from>
      <xdr:col>15</xdr:col>
      <xdr:colOff>217855</xdr:colOff>
      <xdr:row>6</xdr:row>
      <xdr:rowOff>22470</xdr:rowOff>
    </xdr:from>
    <xdr:to>
      <xdr:col>16</xdr:col>
      <xdr:colOff>290146</xdr:colOff>
      <xdr:row>7</xdr:row>
      <xdr:rowOff>95740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3C4CF77-096C-4172-BF05-31402675A461}"/>
            </a:ext>
          </a:extLst>
        </xdr:cNvPr>
        <xdr:cNvSpPr txBox="1"/>
      </xdr:nvSpPr>
      <xdr:spPr>
        <a:xfrm>
          <a:off x="10109201" y="1194778"/>
          <a:ext cx="731714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i="1"/>
            <a:t>996.4kg</a:t>
          </a:r>
        </a:p>
      </xdr:txBody>
    </xdr:sp>
    <xdr:clientData/>
  </xdr:twoCellAnchor>
  <xdr:twoCellAnchor>
    <xdr:from>
      <xdr:col>8</xdr:col>
      <xdr:colOff>26378</xdr:colOff>
      <xdr:row>1</xdr:row>
      <xdr:rowOff>60569</xdr:rowOff>
    </xdr:from>
    <xdr:to>
      <xdr:col>9</xdr:col>
      <xdr:colOff>98669</xdr:colOff>
      <xdr:row>2</xdr:row>
      <xdr:rowOff>133839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7152465-FBAE-43D5-965D-7FE27EEA3053}"/>
            </a:ext>
          </a:extLst>
        </xdr:cNvPr>
        <xdr:cNvSpPr txBox="1"/>
      </xdr:nvSpPr>
      <xdr:spPr>
        <a:xfrm>
          <a:off x="5301763" y="255954"/>
          <a:ext cx="731714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i="1"/>
            <a:t>1.495m</a:t>
          </a:r>
        </a:p>
      </xdr:txBody>
    </xdr:sp>
    <xdr:clientData/>
  </xdr:twoCellAnchor>
  <xdr:twoCellAnchor>
    <xdr:from>
      <xdr:col>12</xdr:col>
      <xdr:colOff>642816</xdr:colOff>
      <xdr:row>1</xdr:row>
      <xdr:rowOff>46892</xdr:rowOff>
    </xdr:from>
    <xdr:to>
      <xdr:col>14</xdr:col>
      <xdr:colOff>55684</xdr:colOff>
      <xdr:row>2</xdr:row>
      <xdr:rowOff>120162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06DAF82-8C50-4219-8EA5-5CC01889009D}"/>
            </a:ext>
          </a:extLst>
        </xdr:cNvPr>
        <xdr:cNvSpPr txBox="1"/>
      </xdr:nvSpPr>
      <xdr:spPr>
        <a:xfrm>
          <a:off x="8555893" y="242277"/>
          <a:ext cx="731714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i="1"/>
            <a:t>1.495m</a:t>
          </a:r>
        </a:p>
      </xdr:txBody>
    </xdr:sp>
    <xdr:clientData/>
  </xdr:twoCellAnchor>
  <xdr:twoCellAnchor>
    <xdr:from>
      <xdr:col>14</xdr:col>
      <xdr:colOff>46893</xdr:colOff>
      <xdr:row>7</xdr:row>
      <xdr:rowOff>105508</xdr:rowOff>
    </xdr:from>
    <xdr:to>
      <xdr:col>14</xdr:col>
      <xdr:colOff>434731</xdr:colOff>
      <xdr:row>8</xdr:row>
      <xdr:rowOff>178777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F7B1F6B-4F16-48A0-B507-76D271DAA75B}"/>
            </a:ext>
          </a:extLst>
        </xdr:cNvPr>
        <xdr:cNvSpPr txBox="1"/>
      </xdr:nvSpPr>
      <xdr:spPr>
        <a:xfrm>
          <a:off x="9278816" y="1473200"/>
          <a:ext cx="387838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 i="1"/>
            <a:t>F</a:t>
          </a:r>
        </a:p>
      </xdr:txBody>
    </xdr:sp>
    <xdr:clientData/>
  </xdr:twoCellAnchor>
  <xdr:twoCellAnchor>
    <xdr:from>
      <xdr:col>11</xdr:col>
      <xdr:colOff>507024</xdr:colOff>
      <xdr:row>7</xdr:row>
      <xdr:rowOff>111369</xdr:rowOff>
    </xdr:from>
    <xdr:to>
      <xdr:col>12</xdr:col>
      <xdr:colOff>235439</xdr:colOff>
      <xdr:row>8</xdr:row>
      <xdr:rowOff>184638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B100B1A-2CCB-404F-A8C9-3E8BEA233062}"/>
            </a:ext>
          </a:extLst>
        </xdr:cNvPr>
        <xdr:cNvSpPr txBox="1"/>
      </xdr:nvSpPr>
      <xdr:spPr>
        <a:xfrm>
          <a:off x="7760678" y="1479061"/>
          <a:ext cx="387838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 i="1"/>
            <a:t>x</a:t>
          </a:r>
        </a:p>
      </xdr:txBody>
    </xdr:sp>
    <xdr:clientData/>
  </xdr:twoCellAnchor>
  <xdr:twoCellAnchor>
    <xdr:from>
      <xdr:col>8</xdr:col>
      <xdr:colOff>261816</xdr:colOff>
      <xdr:row>0</xdr:row>
      <xdr:rowOff>0</xdr:rowOff>
    </xdr:from>
    <xdr:to>
      <xdr:col>8</xdr:col>
      <xdr:colOff>649654</xdr:colOff>
      <xdr:row>1</xdr:row>
      <xdr:rowOff>73269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D2FB4D4-5D01-4F45-880C-83AE893E5D63}"/>
            </a:ext>
          </a:extLst>
        </xdr:cNvPr>
        <xdr:cNvSpPr txBox="1"/>
      </xdr:nvSpPr>
      <xdr:spPr>
        <a:xfrm>
          <a:off x="6089162" y="0"/>
          <a:ext cx="387838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 i="1"/>
            <a:t>A</a:t>
          </a:r>
        </a:p>
      </xdr:txBody>
    </xdr:sp>
    <xdr:clientData/>
  </xdr:twoCellAnchor>
  <xdr:twoCellAnchor>
    <xdr:from>
      <xdr:col>13</xdr:col>
      <xdr:colOff>184639</xdr:colOff>
      <xdr:row>0</xdr:row>
      <xdr:rowOff>0</xdr:rowOff>
    </xdr:from>
    <xdr:to>
      <xdr:col>13</xdr:col>
      <xdr:colOff>572477</xdr:colOff>
      <xdr:row>1</xdr:row>
      <xdr:rowOff>73269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88CA83B-E6A6-44AD-B7A5-A8BE24376AFF}"/>
            </a:ext>
          </a:extLst>
        </xdr:cNvPr>
        <xdr:cNvSpPr txBox="1"/>
      </xdr:nvSpPr>
      <xdr:spPr>
        <a:xfrm>
          <a:off x="9309101" y="0"/>
          <a:ext cx="387838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 b="1" i="1"/>
            <a:t>B</a:t>
          </a:r>
        </a:p>
      </xdr:txBody>
    </xdr:sp>
    <xdr:clientData/>
  </xdr:twoCellAnchor>
  <xdr:oneCellAnchor>
    <xdr:from>
      <xdr:col>5</xdr:col>
      <xdr:colOff>226644</xdr:colOff>
      <xdr:row>18</xdr:row>
      <xdr:rowOff>83040</xdr:rowOff>
    </xdr:from>
    <xdr:ext cx="1658816" cy="37611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7BB4B6C8-0546-4285-923E-944A49477AB2}"/>
                </a:ext>
              </a:extLst>
            </xdr:cNvPr>
            <xdr:cNvSpPr txBox="1"/>
          </xdr:nvSpPr>
          <xdr:spPr>
            <a:xfrm>
              <a:off x="4075721" y="4068886"/>
              <a:ext cx="1658816" cy="3761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𝑥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168.6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1970</m:t>
                        </m:r>
                      </m:den>
                    </m:f>
                    <m:r>
                      <a:rPr lang="en-GB" sz="1100" b="0" i="1">
                        <a:latin typeface="Cambria Math" panose="02040503050406030204" pitchFamily="18" charset="0"/>
                      </a:rPr>
                      <m:t>=0.08558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𝑚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7BB4B6C8-0546-4285-923E-944A49477AB2}"/>
                </a:ext>
              </a:extLst>
            </xdr:cNvPr>
            <xdr:cNvSpPr txBox="1"/>
          </xdr:nvSpPr>
          <xdr:spPr>
            <a:xfrm>
              <a:off x="4075721" y="4068886"/>
              <a:ext cx="1658816" cy="37611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𝑥 =  168.6/1970=0.08558𝑚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488459</xdr:colOff>
      <xdr:row>32</xdr:row>
      <xdr:rowOff>78158</xdr:rowOff>
    </xdr:from>
    <xdr:ext cx="1658816" cy="4445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06B9DFAE-6D88-4EA0-B3C4-7EC39B3A7933}"/>
                </a:ext>
              </a:extLst>
            </xdr:cNvPr>
            <xdr:cNvSpPr txBox="1"/>
          </xdr:nvSpPr>
          <xdr:spPr>
            <a:xfrm>
              <a:off x="3678113" y="7585812"/>
              <a:ext cx="1658816" cy="444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𝐷𝐼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𝐼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𝑍𝑍</m:t>
                            </m:r>
                          </m:sub>
                        </m:sSub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𝑀𝑎𝑠𝑠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𝑥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𝑥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𝐵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06B9DFAE-6D88-4EA0-B3C4-7EC39B3A7933}"/>
                </a:ext>
              </a:extLst>
            </xdr:cNvPr>
            <xdr:cNvSpPr txBox="1"/>
          </xdr:nvSpPr>
          <xdr:spPr>
            <a:xfrm>
              <a:off x="3678113" y="7585812"/>
              <a:ext cx="1658816" cy="444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𝐷𝐼 =  𝐼_𝑍𝑍/(𝑀𝑎𝑠𝑠 𝑥 𝐴 𝑥 𝐵)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49819</xdr:colOff>
      <xdr:row>33</xdr:row>
      <xdr:rowOff>74250</xdr:rowOff>
    </xdr:from>
    <xdr:ext cx="1658816" cy="4445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C7500C37-20A1-466C-9DD8-C06C306589FD}"/>
                </a:ext>
              </a:extLst>
            </xdr:cNvPr>
            <xdr:cNvSpPr txBox="1"/>
          </xdr:nvSpPr>
          <xdr:spPr>
            <a:xfrm>
              <a:off x="3898896" y="8065481"/>
              <a:ext cx="1658816" cy="444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𝐷𝐼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4187.4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1970 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𝑥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1.581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𝑥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1.409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C7500C37-20A1-466C-9DD8-C06C306589FD}"/>
                </a:ext>
              </a:extLst>
            </xdr:cNvPr>
            <xdr:cNvSpPr txBox="1"/>
          </xdr:nvSpPr>
          <xdr:spPr>
            <a:xfrm>
              <a:off x="3898896" y="8065481"/>
              <a:ext cx="1658816" cy="444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𝐷𝐼 =  4187.4/(1970 𝑥 1.581 𝑥 1.409)</a:t>
              </a:r>
              <a:endParaRPr lang="en-GB" sz="1100"/>
            </a:p>
          </xdr:txBody>
        </xdr:sp>
      </mc:Fallback>
    </mc:AlternateContent>
    <xdr:clientData/>
  </xdr:oneCellAnchor>
  <xdr:twoCellAnchor editAs="oneCell">
    <xdr:from>
      <xdr:col>8</xdr:col>
      <xdr:colOff>535463</xdr:colOff>
      <xdr:row>30</xdr:row>
      <xdr:rowOff>94871</xdr:rowOff>
    </xdr:from>
    <xdr:to>
      <xdr:col>14</xdr:col>
      <xdr:colOff>483998</xdr:colOff>
      <xdr:row>35</xdr:row>
      <xdr:rowOff>116878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E62112AC-0BA8-4108-AC44-1CF4D8FB68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397" r="3974" b="7295"/>
        <a:stretch/>
      </xdr:blipFill>
      <xdr:spPr>
        <a:xfrm>
          <a:off x="6443724" y="7112081"/>
          <a:ext cx="3979404" cy="1692333"/>
        </a:xfrm>
        <a:prstGeom prst="rect">
          <a:avLst/>
        </a:prstGeom>
      </xdr:spPr>
    </xdr:pic>
    <xdr:clientData/>
  </xdr:twoCellAnchor>
  <xdr:twoCellAnchor>
    <xdr:from>
      <xdr:col>10</xdr:col>
      <xdr:colOff>589195</xdr:colOff>
      <xdr:row>32</xdr:row>
      <xdr:rowOff>90906</xdr:rowOff>
    </xdr:from>
    <xdr:to>
      <xdr:col>11</xdr:col>
      <xdr:colOff>200690</xdr:colOff>
      <xdr:row>32</xdr:row>
      <xdr:rowOff>359135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2DD1AA1-69C9-4916-9521-ACFAD7AA3226}"/>
            </a:ext>
          </a:extLst>
        </xdr:cNvPr>
        <xdr:cNvSpPr txBox="1"/>
      </xdr:nvSpPr>
      <xdr:spPr>
        <a:xfrm>
          <a:off x="7841079" y="7614276"/>
          <a:ext cx="283307" cy="2682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 i="1">
              <a:solidFill>
                <a:schemeClr val="bg1"/>
              </a:solidFill>
            </a:rPr>
            <a:t>B</a:t>
          </a:r>
        </a:p>
      </xdr:txBody>
    </xdr:sp>
    <xdr:clientData/>
  </xdr:twoCellAnchor>
  <xdr:twoCellAnchor>
    <xdr:from>
      <xdr:col>12</xdr:col>
      <xdr:colOff>338438</xdr:colOff>
      <xdr:row>32</xdr:row>
      <xdr:rowOff>77229</xdr:rowOff>
    </xdr:from>
    <xdr:to>
      <xdr:col>12</xdr:col>
      <xdr:colOff>634133</xdr:colOff>
      <xdr:row>32</xdr:row>
      <xdr:rowOff>345458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D45634F-81D3-4FF5-93DC-A005B1D316A1}"/>
            </a:ext>
          </a:extLst>
        </xdr:cNvPr>
        <xdr:cNvSpPr txBox="1"/>
      </xdr:nvSpPr>
      <xdr:spPr>
        <a:xfrm>
          <a:off x="8933945" y="7600599"/>
          <a:ext cx="295695" cy="2682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 i="1">
              <a:solidFill>
                <a:schemeClr val="bg1"/>
              </a:solidFill>
            </a:rPr>
            <a:t>A</a:t>
          </a:r>
        </a:p>
      </xdr:txBody>
    </xdr:sp>
    <xdr:clientData/>
  </xdr:twoCellAnchor>
  <xdr:oneCellAnchor>
    <xdr:from>
      <xdr:col>4</xdr:col>
      <xdr:colOff>484551</xdr:colOff>
      <xdr:row>42</xdr:row>
      <xdr:rowOff>74251</xdr:rowOff>
    </xdr:from>
    <xdr:ext cx="2490180" cy="4445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8E18A39C-BBA4-4C4E-A7AD-5C498E1B1F4C}"/>
                </a:ext>
              </a:extLst>
            </xdr:cNvPr>
            <xdr:cNvSpPr txBox="1"/>
          </xdr:nvSpPr>
          <xdr:spPr>
            <a:xfrm>
              <a:off x="3674205" y="10229366"/>
              <a:ext cx="2490180" cy="444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𝐼𝑛𝑒𝑟𝑡𝑖𝑎𝑙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𝑐𝑜𝑛𝑗𝑢𝑔𝑎𝑡𝑒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𝐼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𝑍𝑍</m:t>
                            </m:r>
                          </m:sub>
                        </m:sSub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𝑀𝑎𝑠𝑠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𝑥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𝐴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8E18A39C-BBA4-4C4E-A7AD-5C498E1B1F4C}"/>
                </a:ext>
              </a:extLst>
            </xdr:cNvPr>
            <xdr:cNvSpPr txBox="1"/>
          </xdr:nvSpPr>
          <xdr:spPr>
            <a:xfrm>
              <a:off x="3674205" y="10229366"/>
              <a:ext cx="2490180" cy="444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𝐼𝑛𝑒𝑟𝑡𝑖𝑎𝑙 𝑐𝑜𝑛𝑗𝑢𝑔𝑎𝑡𝑒 =  𝐼_𝑍𝑍/(𝑀𝑎𝑠𝑠 𝑥 𝐴)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4</xdr:col>
      <xdr:colOff>588105</xdr:colOff>
      <xdr:row>43</xdr:row>
      <xdr:rowOff>70343</xdr:rowOff>
    </xdr:from>
    <xdr:ext cx="2490180" cy="44450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>
              <a:extLst>
                <a:ext uri="{FF2B5EF4-FFF2-40B4-BE49-F238E27FC236}">
                  <a16:creationId xmlns:a16="http://schemas.microsoft.com/office/drawing/2014/main" id="{CB8449D8-4467-44F2-925F-30422A5CC055}"/>
                </a:ext>
              </a:extLst>
            </xdr:cNvPr>
            <xdr:cNvSpPr txBox="1"/>
          </xdr:nvSpPr>
          <xdr:spPr>
            <a:xfrm>
              <a:off x="3777759" y="10709035"/>
              <a:ext cx="2490180" cy="444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𝐼𝑛𝑒𝑟𝑡𝑖𝑎𝑙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𝑐𝑜𝑛𝑗𝑢𝑔𝑎𝑡𝑒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= 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4187.4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1970 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𝑥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 1.581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5" name="TextBox 24">
              <a:extLst>
                <a:ext uri="{FF2B5EF4-FFF2-40B4-BE49-F238E27FC236}">
                  <a16:creationId xmlns:a16="http://schemas.microsoft.com/office/drawing/2014/main" id="{CB8449D8-4467-44F2-925F-30422A5CC055}"/>
                </a:ext>
              </a:extLst>
            </xdr:cNvPr>
            <xdr:cNvSpPr txBox="1"/>
          </xdr:nvSpPr>
          <xdr:spPr>
            <a:xfrm>
              <a:off x="3777759" y="10709035"/>
              <a:ext cx="2490180" cy="44450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𝐼𝑛𝑒𝑟𝑡𝑖𝑎𝑙 𝑐𝑜𝑛𝑗𝑢𝑔𝑎𝑡𝑒 =  4187.4/(1970 𝑥 1.581)</a:t>
              </a:r>
              <a:endParaRPr lang="en-GB" sz="1100"/>
            </a:p>
          </xdr:txBody>
        </xdr:sp>
      </mc:Fallback>
    </mc:AlternateContent>
    <xdr:clientData/>
  </xdr:oneCellAnchor>
  <xdr:twoCellAnchor editAs="oneCell">
    <xdr:from>
      <xdr:col>8</xdr:col>
      <xdr:colOff>541731</xdr:colOff>
      <xdr:row>40</xdr:row>
      <xdr:rowOff>75608</xdr:rowOff>
    </xdr:from>
    <xdr:to>
      <xdr:col>14</xdr:col>
      <xdr:colOff>493641</xdr:colOff>
      <xdr:row>45</xdr:row>
      <xdr:rowOff>124950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F4108D17-055A-481F-BBA6-E6F6F25BD9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76" r="4137" b="7174"/>
        <a:stretch/>
      </xdr:blipFill>
      <xdr:spPr>
        <a:xfrm>
          <a:off x="6449992" y="9752456"/>
          <a:ext cx="3982779" cy="1719668"/>
        </a:xfrm>
        <a:prstGeom prst="rect">
          <a:avLst/>
        </a:prstGeom>
      </xdr:spPr>
    </xdr:pic>
    <xdr:clientData/>
  </xdr:twoCellAnchor>
  <xdr:twoCellAnchor>
    <xdr:from>
      <xdr:col>10</xdr:col>
      <xdr:colOff>523168</xdr:colOff>
      <xdr:row>43</xdr:row>
      <xdr:rowOff>25261</xdr:rowOff>
    </xdr:from>
    <xdr:to>
      <xdr:col>11</xdr:col>
      <xdr:colOff>546614</xdr:colOff>
      <xdr:row>43</xdr:row>
      <xdr:rowOff>298871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DF506EE-C291-4487-8660-1BBDE85B32C5}"/>
            </a:ext>
          </a:extLst>
        </xdr:cNvPr>
        <xdr:cNvSpPr txBox="1"/>
      </xdr:nvSpPr>
      <xdr:spPr>
        <a:xfrm>
          <a:off x="7775052" y="10691420"/>
          <a:ext cx="695258" cy="2736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 i="1">
              <a:solidFill>
                <a:schemeClr val="bg1"/>
              </a:solidFill>
            </a:rPr>
            <a:t>1.344m</a:t>
          </a:r>
        </a:p>
      </xdr:txBody>
    </xdr:sp>
    <xdr:clientData/>
  </xdr:twoCellAnchor>
  <xdr:twoCellAnchor>
    <xdr:from>
      <xdr:col>10</xdr:col>
      <xdr:colOff>401937</xdr:colOff>
      <xdr:row>32</xdr:row>
      <xdr:rowOff>462688</xdr:rowOff>
    </xdr:from>
    <xdr:to>
      <xdr:col>11</xdr:col>
      <xdr:colOff>459574</xdr:colOff>
      <xdr:row>33</xdr:row>
      <xdr:rowOff>248190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45A93BBD-BB91-4666-8627-767970FA3E8F}"/>
            </a:ext>
          </a:extLst>
        </xdr:cNvPr>
        <xdr:cNvSpPr txBox="1"/>
      </xdr:nvSpPr>
      <xdr:spPr>
        <a:xfrm>
          <a:off x="7653821" y="7986058"/>
          <a:ext cx="729449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 i="1">
              <a:solidFill>
                <a:schemeClr val="bg1"/>
              </a:solidFill>
            </a:rPr>
            <a:t>1.409m</a:t>
          </a:r>
        </a:p>
      </xdr:txBody>
    </xdr:sp>
    <xdr:clientData/>
  </xdr:twoCellAnchor>
  <xdr:twoCellAnchor>
    <xdr:from>
      <xdr:col>12</xdr:col>
      <xdr:colOff>114723</xdr:colOff>
      <xdr:row>32</xdr:row>
      <xdr:rowOff>468550</xdr:rowOff>
    </xdr:from>
    <xdr:to>
      <xdr:col>13</xdr:col>
      <xdr:colOff>172359</xdr:colOff>
      <xdr:row>33</xdr:row>
      <xdr:rowOff>254052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998B28F0-D763-46B7-AB5C-984B0A55A422}"/>
            </a:ext>
          </a:extLst>
        </xdr:cNvPr>
        <xdr:cNvSpPr txBox="1"/>
      </xdr:nvSpPr>
      <xdr:spPr>
        <a:xfrm>
          <a:off x="8710230" y="7991920"/>
          <a:ext cx="729448" cy="2686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00" b="1" i="1">
              <a:solidFill>
                <a:schemeClr val="bg1"/>
              </a:solidFill>
            </a:rPr>
            <a:t>1.581m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39077</xdr:colOff>
      <xdr:row>1</xdr:row>
      <xdr:rowOff>24420</xdr:rowOff>
    </xdr:from>
    <xdr:to>
      <xdr:col>11</xdr:col>
      <xdr:colOff>623494</xdr:colOff>
      <xdr:row>10</xdr:row>
      <xdr:rowOff>162519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708A7244-0CBC-40D5-B9AE-C9661C7DED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78" t="48519" r="19144"/>
        <a:stretch/>
      </xdr:blipFill>
      <xdr:spPr>
        <a:xfrm>
          <a:off x="4244731" y="219805"/>
          <a:ext cx="4540955" cy="1925868"/>
        </a:xfrm>
        <a:prstGeom prst="rect">
          <a:avLst/>
        </a:prstGeom>
      </xdr:spPr>
    </xdr:pic>
    <xdr:clientData/>
  </xdr:twoCellAnchor>
  <xdr:twoCellAnchor>
    <xdr:from>
      <xdr:col>7</xdr:col>
      <xdr:colOff>161191</xdr:colOff>
      <xdr:row>2</xdr:row>
      <xdr:rowOff>131884</xdr:rowOff>
    </xdr:from>
    <xdr:to>
      <xdr:col>8</xdr:col>
      <xdr:colOff>97692</xdr:colOff>
      <xdr:row>4</xdr:row>
      <xdr:rowOff>127001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9345CA2-3A57-41DB-B96E-F2A04A922F4A}"/>
            </a:ext>
          </a:extLst>
        </xdr:cNvPr>
        <xdr:cNvSpPr txBox="1"/>
      </xdr:nvSpPr>
      <xdr:spPr>
        <a:xfrm>
          <a:off x="5685691" y="551961"/>
          <a:ext cx="595924" cy="3858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8174.8N (total)</a:t>
          </a:r>
        </a:p>
      </xdr:txBody>
    </xdr:sp>
    <xdr:clientData/>
  </xdr:twoCellAnchor>
  <xdr:twoCellAnchor>
    <xdr:from>
      <xdr:col>8</xdr:col>
      <xdr:colOff>64476</xdr:colOff>
      <xdr:row>5</xdr:row>
      <xdr:rowOff>191477</xdr:rowOff>
    </xdr:from>
    <xdr:to>
      <xdr:col>9</xdr:col>
      <xdr:colOff>977</xdr:colOff>
      <xdr:row>7</xdr:row>
      <xdr:rowOff>63500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B38F478-EA74-4141-BBE0-DEBD846E256C}"/>
            </a:ext>
          </a:extLst>
        </xdr:cNvPr>
        <xdr:cNvSpPr txBox="1"/>
      </xdr:nvSpPr>
      <xdr:spPr>
        <a:xfrm>
          <a:off x="6248399" y="1197708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1.676m</a:t>
          </a:r>
        </a:p>
      </xdr:txBody>
    </xdr:sp>
    <xdr:clientData/>
  </xdr:twoCellAnchor>
  <xdr:twoCellAnchor>
    <xdr:from>
      <xdr:col>11</xdr:col>
      <xdr:colOff>210038</xdr:colOff>
      <xdr:row>4</xdr:row>
      <xdr:rowOff>39077</xdr:rowOff>
    </xdr:from>
    <xdr:to>
      <xdr:col>12</xdr:col>
      <xdr:colOff>146539</xdr:colOff>
      <xdr:row>6</xdr:row>
      <xdr:rowOff>34194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1A13866-B355-4FBA-9D89-A5F6660B594F}"/>
            </a:ext>
          </a:extLst>
        </xdr:cNvPr>
        <xdr:cNvSpPr txBox="1"/>
      </xdr:nvSpPr>
      <xdr:spPr>
        <a:xfrm>
          <a:off x="8372230" y="849923"/>
          <a:ext cx="595924" cy="3858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0.6m</a:t>
          </a:r>
        </a:p>
      </xdr:txBody>
    </xdr:sp>
    <xdr:clientData/>
  </xdr:twoCellAnchor>
  <xdr:oneCellAnchor>
    <xdr:from>
      <xdr:col>16</xdr:col>
      <xdr:colOff>39077</xdr:colOff>
      <xdr:row>1</xdr:row>
      <xdr:rowOff>24420</xdr:rowOff>
    </xdr:from>
    <xdr:ext cx="4540955" cy="1925868"/>
    <xdr:pic>
      <xdr:nvPicPr>
        <xdr:cNvPr id="13" name="Picture 12">
          <a:extLst>
            <a:ext uri="{FF2B5EF4-FFF2-40B4-BE49-F238E27FC236}">
              <a16:creationId xmlns:a16="http://schemas.microsoft.com/office/drawing/2014/main" id="{78BC7406-7688-4237-B0EF-0378AB376F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578" t="48519" r="19144"/>
        <a:stretch/>
      </xdr:blipFill>
      <xdr:spPr>
        <a:xfrm>
          <a:off x="4244731" y="219805"/>
          <a:ext cx="4540955" cy="1925868"/>
        </a:xfrm>
        <a:prstGeom prst="rect">
          <a:avLst/>
        </a:prstGeom>
      </xdr:spPr>
    </xdr:pic>
    <xdr:clientData/>
  </xdr:oneCellAnchor>
  <xdr:twoCellAnchor>
    <xdr:from>
      <xdr:col>18</xdr:col>
      <xdr:colOff>161191</xdr:colOff>
      <xdr:row>2</xdr:row>
      <xdr:rowOff>131884</xdr:rowOff>
    </xdr:from>
    <xdr:to>
      <xdr:col>19</xdr:col>
      <xdr:colOff>97692</xdr:colOff>
      <xdr:row>4</xdr:row>
      <xdr:rowOff>127001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563B645-CEBA-47A6-B80E-B833096FF273}"/>
            </a:ext>
          </a:extLst>
        </xdr:cNvPr>
        <xdr:cNvSpPr txBox="1"/>
      </xdr:nvSpPr>
      <xdr:spPr>
        <a:xfrm>
          <a:off x="5685691" y="551961"/>
          <a:ext cx="595924" cy="3858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9218.4N (total)</a:t>
          </a:r>
        </a:p>
      </xdr:txBody>
    </xdr:sp>
    <xdr:clientData/>
  </xdr:twoCellAnchor>
  <xdr:twoCellAnchor>
    <xdr:from>
      <xdr:col>19</xdr:col>
      <xdr:colOff>64476</xdr:colOff>
      <xdr:row>5</xdr:row>
      <xdr:rowOff>191477</xdr:rowOff>
    </xdr:from>
    <xdr:to>
      <xdr:col>20</xdr:col>
      <xdr:colOff>977</xdr:colOff>
      <xdr:row>7</xdr:row>
      <xdr:rowOff>63500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2077419-D81E-4541-B751-D25F11939D4E}"/>
            </a:ext>
          </a:extLst>
        </xdr:cNvPr>
        <xdr:cNvSpPr txBox="1"/>
      </xdr:nvSpPr>
      <xdr:spPr>
        <a:xfrm>
          <a:off x="6248399" y="1197708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1.660m</a:t>
          </a:r>
        </a:p>
      </xdr:txBody>
    </xdr:sp>
    <xdr:clientData/>
  </xdr:twoCellAnchor>
  <xdr:twoCellAnchor>
    <xdr:from>
      <xdr:col>22</xdr:col>
      <xdr:colOff>210038</xdr:colOff>
      <xdr:row>4</xdr:row>
      <xdr:rowOff>39077</xdr:rowOff>
    </xdr:from>
    <xdr:to>
      <xdr:col>23</xdr:col>
      <xdr:colOff>146539</xdr:colOff>
      <xdr:row>6</xdr:row>
      <xdr:rowOff>34194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A07A445-EE38-4C0B-B742-A0E80080A6E1}"/>
            </a:ext>
          </a:extLst>
        </xdr:cNvPr>
        <xdr:cNvSpPr txBox="1"/>
      </xdr:nvSpPr>
      <xdr:spPr>
        <a:xfrm>
          <a:off x="8372230" y="849923"/>
          <a:ext cx="595924" cy="3858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0.6m</a:t>
          </a:r>
        </a:p>
      </xdr:txBody>
    </xdr:sp>
    <xdr:clientData/>
  </xdr:twoCellAnchor>
  <xdr:twoCellAnchor editAs="oneCell">
    <xdr:from>
      <xdr:col>5</xdr:col>
      <xdr:colOff>53730</xdr:colOff>
      <xdr:row>19</xdr:row>
      <xdr:rowOff>43964</xdr:rowOff>
    </xdr:from>
    <xdr:to>
      <xdr:col>7</xdr:col>
      <xdr:colOff>615461</xdr:colOff>
      <xdr:row>28</xdr:row>
      <xdr:rowOff>157241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A8BA565A-BAD0-4845-BB4A-2E12C6F126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26" t="11224" r="29147" b="15652"/>
        <a:stretch/>
      </xdr:blipFill>
      <xdr:spPr>
        <a:xfrm>
          <a:off x="4259384" y="3824656"/>
          <a:ext cx="1880577" cy="1871738"/>
        </a:xfrm>
        <a:prstGeom prst="rect">
          <a:avLst/>
        </a:prstGeom>
      </xdr:spPr>
    </xdr:pic>
    <xdr:clientData/>
  </xdr:twoCellAnchor>
  <xdr:twoCellAnchor editAs="oneCell">
    <xdr:from>
      <xdr:col>9</xdr:col>
      <xdr:colOff>49823</xdr:colOff>
      <xdr:row>19</xdr:row>
      <xdr:rowOff>44943</xdr:rowOff>
    </xdr:from>
    <xdr:to>
      <xdr:col>11</xdr:col>
      <xdr:colOff>611554</xdr:colOff>
      <xdr:row>28</xdr:row>
      <xdr:rowOff>158220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C2160F65-7E2E-4647-91F2-2DCC4000119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26" t="11224" r="29147" b="15652"/>
        <a:stretch/>
      </xdr:blipFill>
      <xdr:spPr>
        <a:xfrm>
          <a:off x="6893169" y="3825635"/>
          <a:ext cx="1880577" cy="1871738"/>
        </a:xfrm>
        <a:prstGeom prst="rect">
          <a:avLst/>
        </a:prstGeom>
      </xdr:spPr>
    </xdr:pic>
    <xdr:clientData/>
  </xdr:twoCellAnchor>
  <xdr:twoCellAnchor editAs="oneCell">
    <xdr:from>
      <xdr:col>16</xdr:col>
      <xdr:colOff>53730</xdr:colOff>
      <xdr:row>19</xdr:row>
      <xdr:rowOff>39076</xdr:rowOff>
    </xdr:from>
    <xdr:to>
      <xdr:col>18</xdr:col>
      <xdr:colOff>615461</xdr:colOff>
      <xdr:row>28</xdr:row>
      <xdr:rowOff>152353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A3139E79-FD5B-4ACB-B5C6-06D77F231F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26" t="11224" r="29147" b="15652"/>
        <a:stretch/>
      </xdr:blipFill>
      <xdr:spPr>
        <a:xfrm>
          <a:off x="11513038" y="3819768"/>
          <a:ext cx="1880577" cy="1871738"/>
        </a:xfrm>
        <a:prstGeom prst="rect">
          <a:avLst/>
        </a:prstGeom>
      </xdr:spPr>
    </xdr:pic>
    <xdr:clientData/>
  </xdr:twoCellAnchor>
  <xdr:twoCellAnchor editAs="oneCell">
    <xdr:from>
      <xdr:col>20</xdr:col>
      <xdr:colOff>43953</xdr:colOff>
      <xdr:row>19</xdr:row>
      <xdr:rowOff>43962</xdr:rowOff>
    </xdr:from>
    <xdr:to>
      <xdr:col>22</xdr:col>
      <xdr:colOff>605684</xdr:colOff>
      <xdr:row>28</xdr:row>
      <xdr:rowOff>157239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9412E79A-EBE3-4CB3-A9A4-E49404AA897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526" t="11224" r="29147" b="15652"/>
        <a:stretch/>
      </xdr:blipFill>
      <xdr:spPr>
        <a:xfrm>
          <a:off x="14140953" y="3824654"/>
          <a:ext cx="1880577" cy="1871738"/>
        </a:xfrm>
        <a:prstGeom prst="rect">
          <a:avLst/>
        </a:prstGeom>
      </xdr:spPr>
    </xdr:pic>
    <xdr:clientData/>
  </xdr:twoCellAnchor>
  <xdr:twoCellAnchor>
    <xdr:from>
      <xdr:col>5</xdr:col>
      <xdr:colOff>976</xdr:colOff>
      <xdr:row>19</xdr:row>
      <xdr:rowOff>40054</xdr:rowOff>
    </xdr:from>
    <xdr:to>
      <xdr:col>5</xdr:col>
      <xdr:colOff>596900</xdr:colOff>
      <xdr:row>20</xdr:row>
      <xdr:rowOff>107461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69DB697-8758-4876-9BD1-E2417303A175}"/>
            </a:ext>
          </a:extLst>
        </xdr:cNvPr>
        <xdr:cNvSpPr txBox="1"/>
      </xdr:nvSpPr>
      <xdr:spPr>
        <a:xfrm>
          <a:off x="4206630" y="3820746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6004.8N</a:t>
          </a:r>
        </a:p>
      </xdr:txBody>
    </xdr:sp>
    <xdr:clientData/>
  </xdr:twoCellAnchor>
  <xdr:twoCellAnchor>
    <xdr:from>
      <xdr:col>5</xdr:col>
      <xdr:colOff>270607</xdr:colOff>
      <xdr:row>24</xdr:row>
      <xdr:rowOff>11724</xdr:rowOff>
    </xdr:from>
    <xdr:to>
      <xdr:col>6</xdr:col>
      <xdr:colOff>207108</xdr:colOff>
      <xdr:row>25</xdr:row>
      <xdr:rowOff>79131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59F617B3-FF70-4413-9171-EF5842FDD802}"/>
            </a:ext>
          </a:extLst>
        </xdr:cNvPr>
        <xdr:cNvSpPr txBox="1"/>
      </xdr:nvSpPr>
      <xdr:spPr>
        <a:xfrm>
          <a:off x="4476261" y="4769339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5404.3N</a:t>
          </a:r>
        </a:p>
      </xdr:txBody>
    </xdr:sp>
    <xdr:clientData/>
  </xdr:twoCellAnchor>
  <xdr:twoCellAnchor>
    <xdr:from>
      <xdr:col>9</xdr:col>
      <xdr:colOff>252046</xdr:colOff>
      <xdr:row>24</xdr:row>
      <xdr:rowOff>17586</xdr:rowOff>
    </xdr:from>
    <xdr:to>
      <xdr:col>10</xdr:col>
      <xdr:colOff>188547</xdr:colOff>
      <xdr:row>25</xdr:row>
      <xdr:rowOff>84993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69C377EF-0736-46AE-926F-ECC90EBA85F9}"/>
            </a:ext>
          </a:extLst>
        </xdr:cNvPr>
        <xdr:cNvSpPr txBox="1"/>
      </xdr:nvSpPr>
      <xdr:spPr>
        <a:xfrm>
          <a:off x="7095392" y="4775201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2770.4N</a:t>
          </a:r>
        </a:p>
      </xdr:txBody>
    </xdr:sp>
    <xdr:clientData/>
  </xdr:twoCellAnchor>
  <xdr:twoCellAnchor>
    <xdr:from>
      <xdr:col>8</xdr:col>
      <xdr:colOff>656492</xdr:colOff>
      <xdr:row>19</xdr:row>
      <xdr:rowOff>45915</xdr:rowOff>
    </xdr:from>
    <xdr:to>
      <xdr:col>9</xdr:col>
      <xdr:colOff>592993</xdr:colOff>
      <xdr:row>20</xdr:row>
      <xdr:rowOff>113322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E111DF97-789F-4A19-927B-FE8CC106F832}"/>
            </a:ext>
          </a:extLst>
        </xdr:cNvPr>
        <xdr:cNvSpPr txBox="1"/>
      </xdr:nvSpPr>
      <xdr:spPr>
        <a:xfrm>
          <a:off x="6840415" y="3826607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3078.3N</a:t>
          </a:r>
        </a:p>
      </xdr:txBody>
    </xdr:sp>
    <xdr:clientData/>
  </xdr:twoCellAnchor>
  <xdr:twoCellAnchor>
    <xdr:from>
      <xdr:col>16</xdr:col>
      <xdr:colOff>14654</xdr:colOff>
      <xdr:row>19</xdr:row>
      <xdr:rowOff>34193</xdr:rowOff>
    </xdr:from>
    <xdr:to>
      <xdr:col>16</xdr:col>
      <xdr:colOff>610578</xdr:colOff>
      <xdr:row>20</xdr:row>
      <xdr:rowOff>101600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4A97B4B6-77DE-4608-A530-D2A87D986491}"/>
            </a:ext>
          </a:extLst>
        </xdr:cNvPr>
        <xdr:cNvSpPr txBox="1"/>
      </xdr:nvSpPr>
      <xdr:spPr>
        <a:xfrm>
          <a:off x="11473962" y="3814885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6787.3N</a:t>
          </a:r>
        </a:p>
      </xdr:txBody>
    </xdr:sp>
    <xdr:clientData/>
  </xdr:twoCellAnchor>
  <xdr:twoCellAnchor>
    <xdr:from>
      <xdr:col>16</xdr:col>
      <xdr:colOff>264747</xdr:colOff>
      <xdr:row>24</xdr:row>
      <xdr:rowOff>10746</xdr:rowOff>
    </xdr:from>
    <xdr:to>
      <xdr:col>17</xdr:col>
      <xdr:colOff>201248</xdr:colOff>
      <xdr:row>25</xdr:row>
      <xdr:rowOff>78153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D64B785F-1BE0-477B-993A-2AE5420D65A9}"/>
            </a:ext>
          </a:extLst>
        </xdr:cNvPr>
        <xdr:cNvSpPr txBox="1"/>
      </xdr:nvSpPr>
      <xdr:spPr>
        <a:xfrm>
          <a:off x="11724055" y="4768361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6108.6N</a:t>
          </a:r>
        </a:p>
      </xdr:txBody>
    </xdr:sp>
    <xdr:clientData/>
  </xdr:twoCellAnchor>
  <xdr:twoCellAnchor>
    <xdr:from>
      <xdr:col>20</xdr:col>
      <xdr:colOff>270609</xdr:colOff>
      <xdr:row>24</xdr:row>
      <xdr:rowOff>6839</xdr:rowOff>
    </xdr:from>
    <xdr:to>
      <xdr:col>21</xdr:col>
      <xdr:colOff>207110</xdr:colOff>
      <xdr:row>25</xdr:row>
      <xdr:rowOff>74246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FA291A4A-EFD2-49E1-9E57-EA4604300914}"/>
            </a:ext>
          </a:extLst>
        </xdr:cNvPr>
        <xdr:cNvSpPr txBox="1"/>
      </xdr:nvSpPr>
      <xdr:spPr>
        <a:xfrm>
          <a:off x="14367609" y="4764454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3109.8N</a:t>
          </a:r>
        </a:p>
      </xdr:txBody>
    </xdr:sp>
    <xdr:clientData/>
  </xdr:twoCellAnchor>
  <xdr:twoCellAnchor>
    <xdr:from>
      <xdr:col>19</xdr:col>
      <xdr:colOff>657471</xdr:colOff>
      <xdr:row>19</xdr:row>
      <xdr:rowOff>17584</xdr:rowOff>
    </xdr:from>
    <xdr:to>
      <xdr:col>20</xdr:col>
      <xdr:colOff>593972</xdr:colOff>
      <xdr:row>20</xdr:row>
      <xdr:rowOff>84991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0FBBEA65-EABF-469E-AA32-48BE3784E420}"/>
            </a:ext>
          </a:extLst>
        </xdr:cNvPr>
        <xdr:cNvSpPr txBox="1"/>
      </xdr:nvSpPr>
      <xdr:spPr>
        <a:xfrm>
          <a:off x="14095048" y="3798276"/>
          <a:ext cx="595924" cy="262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900" i="1"/>
            <a:t>3455.3N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52AFD-3F96-BA4C-A5F3-5DA2815A4222}">
  <dimension ref="A1:D28"/>
  <sheetViews>
    <sheetView tabSelected="1" zoomScaleNormal="100" workbookViewId="0">
      <selection activeCell="G37" sqref="G37"/>
    </sheetView>
  </sheetViews>
  <sheetFormatPr defaultColWidth="10.6640625" defaultRowHeight="15.5"/>
  <cols>
    <col min="1" max="1" width="27.6640625" bestFit="1" customWidth="1"/>
    <col min="2" max="2" width="16.83203125" bestFit="1" customWidth="1"/>
    <col min="3" max="3" width="11.1640625" bestFit="1" customWidth="1"/>
  </cols>
  <sheetData>
    <row r="1" spans="1:4">
      <c r="A1" s="3" t="s">
        <v>0</v>
      </c>
      <c r="B1" s="9">
        <v>2.99</v>
      </c>
      <c r="C1" s="7" t="s">
        <v>24</v>
      </c>
      <c r="D1" s="6"/>
    </row>
    <row r="2" spans="1:4">
      <c r="A2" s="3" t="s">
        <v>1</v>
      </c>
      <c r="B2" s="9">
        <v>1.6759999999999999</v>
      </c>
      <c r="C2" s="3" t="s">
        <v>24</v>
      </c>
      <c r="D2" s="5"/>
    </row>
    <row r="3" spans="1:4">
      <c r="A3" s="3" t="s">
        <v>2</v>
      </c>
      <c r="B3" s="9">
        <v>1.66</v>
      </c>
      <c r="C3" s="3" t="s">
        <v>24</v>
      </c>
      <c r="D3" s="5"/>
    </row>
    <row r="4" spans="1:4">
      <c r="A4" s="3" t="s">
        <v>3</v>
      </c>
      <c r="B4" s="2">
        <v>1880</v>
      </c>
      <c r="C4" s="3" t="s">
        <v>19</v>
      </c>
      <c r="D4" s="5"/>
    </row>
    <row r="5" spans="1:4">
      <c r="A5" s="3" t="s">
        <v>4</v>
      </c>
      <c r="B5" s="2">
        <v>1790</v>
      </c>
      <c r="C5" s="3" t="s">
        <v>19</v>
      </c>
      <c r="D5" s="5"/>
    </row>
    <row r="6" spans="1:4">
      <c r="A6" s="3" t="s">
        <v>60</v>
      </c>
      <c r="B6" s="2">
        <v>1970</v>
      </c>
      <c r="C6" s="3" t="s">
        <v>19</v>
      </c>
      <c r="D6" s="5"/>
    </row>
    <row r="7" spans="1:4">
      <c r="A7" s="3" t="s">
        <v>114</v>
      </c>
      <c r="B7" s="39">
        <v>0.47</v>
      </c>
      <c r="C7" s="8"/>
      <c r="D7" s="5"/>
    </row>
    <row r="8" spans="1:4">
      <c r="A8" s="3" t="s">
        <v>115</v>
      </c>
      <c r="B8" s="39">
        <v>0.53</v>
      </c>
    </row>
    <row r="9" spans="1:4">
      <c r="A9" s="3" t="s">
        <v>25</v>
      </c>
      <c r="B9" s="2">
        <f>B6*0.47</f>
        <v>925.9</v>
      </c>
      <c r="C9" s="8" t="s">
        <v>19</v>
      </c>
      <c r="D9" s="5"/>
    </row>
    <row r="10" spans="1:4">
      <c r="A10" s="3" t="s">
        <v>26</v>
      </c>
      <c r="B10" s="10">
        <f>B6*0.53</f>
        <v>1044.1000000000001</v>
      </c>
      <c r="C10" s="8" t="s">
        <v>19</v>
      </c>
      <c r="D10" s="5"/>
    </row>
    <row r="11" spans="1:4">
      <c r="C11" s="7"/>
      <c r="D11" s="5"/>
    </row>
    <row r="12" spans="1:4">
      <c r="A12" s="3" t="s">
        <v>5</v>
      </c>
      <c r="B12" s="2" t="s">
        <v>9</v>
      </c>
      <c r="C12" s="8"/>
      <c r="D12" s="5"/>
    </row>
    <row r="13" spans="1:4">
      <c r="A13" s="3" t="s">
        <v>6</v>
      </c>
      <c r="B13" s="2" t="s">
        <v>10</v>
      </c>
      <c r="C13" s="8"/>
      <c r="D13" s="5"/>
    </row>
    <row r="14" spans="1:4">
      <c r="A14" s="3" t="s">
        <v>7</v>
      </c>
      <c r="B14" s="2" t="s">
        <v>11</v>
      </c>
      <c r="C14" s="8"/>
      <c r="D14" s="5"/>
    </row>
    <row r="15" spans="1:4">
      <c r="A15" s="3" t="s">
        <v>8</v>
      </c>
      <c r="B15" s="2" t="s">
        <v>12</v>
      </c>
      <c r="C15" s="8"/>
      <c r="D15" s="5"/>
    </row>
    <row r="16" spans="1:4" ht="18.5" customHeight="1">
      <c r="A16" s="1"/>
      <c r="B16" s="2"/>
      <c r="C16" s="8"/>
      <c r="D16" s="5"/>
    </row>
    <row r="17" spans="1:4">
      <c r="A17" s="3" t="s">
        <v>13</v>
      </c>
      <c r="B17" s="2">
        <v>6262</v>
      </c>
      <c r="C17" s="8" t="s">
        <v>20</v>
      </c>
      <c r="D17" s="5"/>
    </row>
    <row r="18" spans="1:4">
      <c r="A18" s="3" t="s">
        <v>14</v>
      </c>
      <c r="B18" s="2">
        <v>486</v>
      </c>
      <c r="C18" s="7" t="s">
        <v>21</v>
      </c>
      <c r="D18" s="4" t="s">
        <v>18</v>
      </c>
    </row>
    <row r="19" spans="1:4">
      <c r="A19" s="3" t="s">
        <v>15</v>
      </c>
      <c r="B19" s="5">
        <v>683</v>
      </c>
      <c r="C19" s="7" t="s">
        <v>22</v>
      </c>
      <c r="D19" s="4" t="s">
        <v>17</v>
      </c>
    </row>
    <row r="20" spans="1:4">
      <c r="A20" s="3" t="s">
        <v>16</v>
      </c>
      <c r="B20" s="5">
        <v>8000</v>
      </c>
      <c r="C20" s="8" t="s">
        <v>23</v>
      </c>
    </row>
    <row r="21" spans="1:4">
      <c r="A21" s="3" t="s">
        <v>141</v>
      </c>
      <c r="B21" s="42">
        <v>77</v>
      </c>
      <c r="C21" t="s">
        <v>142</v>
      </c>
    </row>
    <row r="22" spans="1:4">
      <c r="A22" s="3" t="s">
        <v>139</v>
      </c>
      <c r="B22" s="42" t="s">
        <v>140</v>
      </c>
    </row>
    <row r="23" spans="1:4">
      <c r="A23" s="3" t="s">
        <v>143</v>
      </c>
      <c r="B23" s="42">
        <v>15.4</v>
      </c>
      <c r="C23" t="s">
        <v>144</v>
      </c>
    </row>
    <row r="24" spans="1:4">
      <c r="B24" s="42"/>
    </row>
    <row r="25" spans="1:4">
      <c r="A25" s="3" t="s">
        <v>138</v>
      </c>
      <c r="B25" s="42"/>
    </row>
    <row r="26" spans="1:4">
      <c r="A26" s="3" t="s">
        <v>145</v>
      </c>
    </row>
    <row r="27" spans="1:4">
      <c r="A27" s="3" t="s">
        <v>146</v>
      </c>
    </row>
    <row r="28" spans="1:4">
      <c r="A28" s="3" t="s">
        <v>147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1564E-8F97-491F-91F6-03232E530B9E}">
  <dimension ref="B1:Q46"/>
  <sheetViews>
    <sheetView zoomScaleNormal="100" workbookViewId="0">
      <selection activeCell="R43" sqref="R43"/>
    </sheetView>
  </sheetViews>
  <sheetFormatPr defaultColWidth="8.83203125" defaultRowHeight="15.5"/>
  <cols>
    <col min="2" max="2" width="15.83203125" bestFit="1" customWidth="1"/>
  </cols>
  <sheetData>
    <row r="1" spans="2:17">
      <c r="B1" t="s">
        <v>25</v>
      </c>
      <c r="C1" s="38">
        <f>Specs!B4*Specs!B7</f>
        <v>883.59999999999991</v>
      </c>
      <c r="D1" t="s">
        <v>19</v>
      </c>
    </row>
    <row r="2" spans="2:17">
      <c r="B2" t="s">
        <v>26</v>
      </c>
      <c r="C2">
        <f>Specs!B4*Specs!B8</f>
        <v>996.40000000000009</v>
      </c>
      <c r="D2" t="s">
        <v>19</v>
      </c>
    </row>
    <row r="4" spans="2:17">
      <c r="B4" s="47" t="s">
        <v>116</v>
      </c>
      <c r="C4" s="47"/>
      <c r="D4" s="47"/>
    </row>
    <row r="5" spans="2:17">
      <c r="B5" s="47"/>
      <c r="C5" s="47"/>
      <c r="D5" s="47"/>
    </row>
    <row r="11" spans="2:17" ht="20" customHeight="1">
      <c r="F11" s="52" t="s">
        <v>133</v>
      </c>
      <c r="G11" s="52"/>
      <c r="H11" s="52"/>
      <c r="I11" s="52"/>
      <c r="J11" s="52"/>
    </row>
    <row r="12" spans="2:17" ht="20" customHeight="1"/>
    <row r="13" spans="2:17" ht="20" customHeight="1">
      <c r="F13" s="48" t="s">
        <v>117</v>
      </c>
      <c r="G13" s="48"/>
      <c r="H13" s="48"/>
      <c r="I13" s="48"/>
      <c r="J13" s="48"/>
      <c r="K13" s="26"/>
      <c r="L13" s="26"/>
      <c r="M13" s="26"/>
      <c r="N13" s="26"/>
      <c r="O13" s="26"/>
      <c r="P13" s="26"/>
      <c r="Q13" s="26"/>
    </row>
    <row r="14" spans="2:17" s="40" customFormat="1" ht="20" customHeight="1">
      <c r="F14" s="49" t="s">
        <v>118</v>
      </c>
      <c r="G14" s="49"/>
      <c r="H14" s="49"/>
      <c r="I14" s="49"/>
      <c r="J14" s="49"/>
      <c r="K14" s="45" t="s">
        <v>124</v>
      </c>
      <c r="L14" s="43"/>
      <c r="N14" s="43"/>
      <c r="O14" s="43"/>
      <c r="P14" s="43"/>
      <c r="Q14" s="43"/>
    </row>
    <row r="15" spans="2:17" s="40" customFormat="1" ht="20" customHeight="1">
      <c r="F15" s="49" t="s">
        <v>119</v>
      </c>
      <c r="G15" s="49"/>
      <c r="H15" s="49"/>
      <c r="I15" s="49"/>
      <c r="J15" s="49"/>
      <c r="K15" s="45" t="s">
        <v>148</v>
      </c>
      <c r="L15" s="43"/>
      <c r="M15" s="43"/>
      <c r="N15" s="43"/>
      <c r="O15" s="43"/>
    </row>
    <row r="16" spans="2:17" s="40" customFormat="1" ht="20" customHeight="1">
      <c r="F16" s="49" t="s">
        <v>120</v>
      </c>
      <c r="G16" s="49"/>
      <c r="H16" s="49"/>
      <c r="I16" s="49"/>
      <c r="J16" s="49"/>
      <c r="K16" s="43"/>
      <c r="L16" s="43"/>
      <c r="M16" s="43"/>
      <c r="N16" s="43"/>
      <c r="O16" s="43"/>
      <c r="P16" s="43"/>
      <c r="Q16" s="43"/>
    </row>
    <row r="17" spans="6:17" s="40" customFormat="1" ht="20" customHeight="1">
      <c r="F17" s="49" t="s">
        <v>121</v>
      </c>
      <c r="G17" s="49"/>
      <c r="H17" s="49"/>
      <c r="I17" s="49"/>
      <c r="J17" s="49"/>
      <c r="K17" s="44" t="s">
        <v>125</v>
      </c>
      <c r="L17" s="43"/>
      <c r="N17" s="44"/>
      <c r="O17" s="44"/>
      <c r="P17" s="44"/>
      <c r="Q17" s="44"/>
    </row>
    <row r="18" spans="6:17" s="40" customFormat="1" ht="20" customHeight="1">
      <c r="F18" s="49" t="s">
        <v>122</v>
      </c>
      <c r="G18" s="49"/>
      <c r="H18" s="49"/>
      <c r="I18" s="49"/>
      <c r="J18" s="49"/>
      <c r="K18" s="43"/>
      <c r="L18" s="43"/>
      <c r="M18" s="43"/>
      <c r="N18" s="43"/>
      <c r="O18" s="43"/>
      <c r="P18" s="43"/>
      <c r="Q18" s="43"/>
    </row>
    <row r="19" spans="6:17" s="40" customFormat="1" ht="38" customHeight="1">
      <c r="F19" s="53" t="s">
        <v>123</v>
      </c>
      <c r="G19" s="53"/>
      <c r="H19" s="53"/>
      <c r="I19" s="53"/>
      <c r="J19" s="53"/>
      <c r="K19" s="43"/>
      <c r="L19" s="43"/>
      <c r="M19" s="43"/>
      <c r="N19" s="43"/>
      <c r="O19" s="43"/>
      <c r="P19" s="43"/>
      <c r="Q19" s="43"/>
    </row>
    <row r="22" spans="6:17" ht="20" customHeight="1">
      <c r="F22" s="52" t="s">
        <v>126</v>
      </c>
      <c r="G22" s="52"/>
      <c r="H22" s="52"/>
      <c r="I22" s="52"/>
      <c r="J22" s="52"/>
    </row>
    <row r="23" spans="6:17" ht="20" customHeight="1"/>
    <row r="24" spans="6:17" ht="20" customHeight="1">
      <c r="F24" s="51" t="s">
        <v>127</v>
      </c>
      <c r="G24" s="51"/>
      <c r="H24" s="51"/>
      <c r="I24" s="51"/>
      <c r="J24" s="51"/>
      <c r="K24" s="40"/>
      <c r="L24" s="40"/>
    </row>
    <row r="25" spans="6:17" ht="20" customHeight="1">
      <c r="F25" s="51" t="s">
        <v>128</v>
      </c>
      <c r="G25" s="51"/>
      <c r="H25" s="51"/>
      <c r="I25" s="51"/>
      <c r="J25" s="51"/>
      <c r="K25" s="40"/>
      <c r="L25" s="40"/>
    </row>
    <row r="26" spans="6:17" ht="20" customHeight="1">
      <c r="F26" s="51" t="s">
        <v>129</v>
      </c>
      <c r="G26" s="51"/>
      <c r="H26" s="51"/>
      <c r="I26" s="51"/>
      <c r="J26" s="51"/>
      <c r="K26" s="51"/>
      <c r="L26" s="51"/>
    </row>
    <row r="27" spans="6:17" ht="20" customHeight="1">
      <c r="F27" s="51" t="s">
        <v>130</v>
      </c>
      <c r="G27" s="51"/>
      <c r="H27" s="51"/>
      <c r="I27" s="51"/>
      <c r="J27" s="51"/>
      <c r="K27" s="40"/>
      <c r="L27" s="40"/>
    </row>
    <row r="28" spans="6:17" ht="17.5">
      <c r="F28" s="51" t="s">
        <v>131</v>
      </c>
      <c r="G28" s="51"/>
      <c r="H28" s="51"/>
      <c r="I28" s="51"/>
      <c r="J28" s="51"/>
      <c r="K28" s="40"/>
      <c r="L28" s="40"/>
      <c r="M28" s="46" t="s">
        <v>132</v>
      </c>
      <c r="N28" s="46"/>
      <c r="O28" s="46"/>
      <c r="P28" s="46"/>
      <c r="Q28" s="46"/>
    </row>
    <row r="31" spans="6:17" ht="20" customHeight="1">
      <c r="F31" s="52" t="s">
        <v>134</v>
      </c>
      <c r="G31" s="52"/>
      <c r="H31" s="52"/>
      <c r="I31" s="52"/>
      <c r="J31" s="52"/>
    </row>
    <row r="32" spans="6:17" ht="20" customHeight="1"/>
    <row r="33" spans="6:17" ht="38" customHeight="1">
      <c r="F33" s="50"/>
      <c r="G33" s="50"/>
      <c r="H33" s="50"/>
    </row>
    <row r="34" spans="6:17" ht="38" customHeight="1"/>
    <row r="36" spans="6:17">
      <c r="F36" s="41" t="s">
        <v>135</v>
      </c>
    </row>
    <row r="39" spans="6:17">
      <c r="N39" s="46"/>
      <c r="O39" s="46"/>
      <c r="P39" s="46"/>
    </row>
    <row r="41" spans="6:17" ht="20" customHeight="1">
      <c r="F41" s="41" t="s">
        <v>136</v>
      </c>
      <c r="G41" s="41"/>
      <c r="H41" s="41"/>
      <c r="I41" s="41"/>
      <c r="J41" s="41"/>
    </row>
    <row r="42" spans="6:17" ht="20" customHeight="1"/>
    <row r="43" spans="6:17" ht="38" customHeight="1">
      <c r="F43" s="50"/>
      <c r="G43" s="50"/>
      <c r="H43" s="50"/>
      <c r="I43" s="50"/>
      <c r="J43" s="50"/>
    </row>
    <row r="44" spans="6:17" ht="38" customHeight="1">
      <c r="M44" s="46"/>
      <c r="N44" s="46"/>
      <c r="O44" s="46"/>
      <c r="P44" s="46"/>
      <c r="Q44" s="46"/>
    </row>
    <row r="46" spans="6:17">
      <c r="F46" s="41" t="s">
        <v>137</v>
      </c>
    </row>
  </sheetData>
  <mergeCells count="18">
    <mergeCell ref="F43:J43"/>
    <mergeCell ref="F28:J28"/>
    <mergeCell ref="F11:J11"/>
    <mergeCell ref="F31:J31"/>
    <mergeCell ref="F33:H33"/>
    <mergeCell ref="F24:J24"/>
    <mergeCell ref="F25:J25"/>
    <mergeCell ref="F27:J27"/>
    <mergeCell ref="F26:L26"/>
    <mergeCell ref="F18:J18"/>
    <mergeCell ref="F19:J19"/>
    <mergeCell ref="F22:J22"/>
    <mergeCell ref="F17:J17"/>
    <mergeCell ref="B4:D5"/>
    <mergeCell ref="F13:J13"/>
    <mergeCell ref="F14:J14"/>
    <mergeCell ref="F15:J15"/>
    <mergeCell ref="F16:J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53D24-0386-42D8-9130-921E31D4143B}">
  <dimension ref="A1:N43"/>
  <sheetViews>
    <sheetView zoomScaleNormal="100" workbookViewId="0">
      <selection activeCell="M2" sqref="M2"/>
    </sheetView>
  </sheetViews>
  <sheetFormatPr defaultColWidth="8.83203125" defaultRowHeight="15.5"/>
  <cols>
    <col min="1" max="1" width="10.6640625" customWidth="1"/>
    <col min="2" max="2" width="11.6640625" bestFit="1" customWidth="1"/>
    <col min="3" max="3" width="11.33203125" bestFit="1" customWidth="1"/>
    <col min="4" max="4" width="13.1640625" bestFit="1" customWidth="1"/>
    <col min="5" max="5" width="29.6640625" bestFit="1" customWidth="1"/>
    <col min="6" max="6" width="30.33203125" bestFit="1" customWidth="1"/>
    <col min="8" max="8" width="10.6640625" customWidth="1"/>
    <col min="9" max="9" width="37.6640625" bestFit="1" customWidth="1"/>
    <col min="12" max="12" width="24.1640625" bestFit="1" customWidth="1"/>
  </cols>
  <sheetData>
    <row r="1" spans="1:14" ht="21">
      <c r="A1" s="13" t="s">
        <v>27</v>
      </c>
      <c r="B1" s="13" t="s">
        <v>28</v>
      </c>
      <c r="C1" s="13" t="s">
        <v>29</v>
      </c>
      <c r="D1" s="13" t="s">
        <v>30</v>
      </c>
      <c r="E1" s="13" t="s">
        <v>35</v>
      </c>
      <c r="F1" s="13" t="s">
        <v>36</v>
      </c>
      <c r="H1" s="14"/>
      <c r="I1" s="23" t="s">
        <v>40</v>
      </c>
      <c r="L1" s="22" t="s">
        <v>149</v>
      </c>
      <c r="M1" s="21">
        <f>I5/M2</f>
        <v>205.08041509433963</v>
      </c>
      <c r="N1" s="22" t="s">
        <v>22</v>
      </c>
    </row>
    <row r="2" spans="1:14">
      <c r="A2" s="11">
        <v>1</v>
      </c>
      <c r="B2" s="11">
        <v>3.4</v>
      </c>
      <c r="C2" s="67">
        <v>4.38</v>
      </c>
      <c r="D2" s="12">
        <f>B2*$C$2</f>
        <v>14.891999999999999</v>
      </c>
      <c r="E2" s="15">
        <f>1000/D2</f>
        <v>67.150147730325003</v>
      </c>
      <c r="F2" s="54">
        <f>1000/A25</f>
        <v>111.01336349545474</v>
      </c>
      <c r="H2" s="20" t="s">
        <v>48</v>
      </c>
      <c r="I2" s="21">
        <f>C11/D2</f>
        <v>402.90088638195004</v>
      </c>
      <c r="J2" s="22" t="s">
        <v>23</v>
      </c>
      <c r="L2" s="22" t="s">
        <v>150</v>
      </c>
      <c r="M2" s="22">
        <v>6</v>
      </c>
      <c r="N2" s="22"/>
    </row>
    <row r="3" spans="1:14">
      <c r="A3" s="11">
        <v>2</v>
      </c>
      <c r="B3" s="11">
        <v>2.1800000000000002</v>
      </c>
      <c r="C3" s="67"/>
      <c r="D3" s="12">
        <f t="shared" ref="D3:D7" si="0">B3*$C$2</f>
        <v>9.5484000000000009</v>
      </c>
      <c r="E3" s="15">
        <f t="shared" ref="E3:E8" si="1">1000/D3</f>
        <v>104.72958820325917</v>
      </c>
      <c r="F3" s="55"/>
      <c r="H3" s="20" t="s">
        <v>49</v>
      </c>
      <c r="I3" s="21">
        <f>C11/A25</f>
        <v>666.08018097272839</v>
      </c>
      <c r="J3" s="22" t="s">
        <v>23</v>
      </c>
      <c r="L3" s="22" t="s">
        <v>151</v>
      </c>
      <c r="M3" s="22">
        <v>0.1</v>
      </c>
      <c r="N3" s="22"/>
    </row>
    <row r="4" spans="1:14">
      <c r="A4" s="11">
        <v>3</v>
      </c>
      <c r="B4" s="11">
        <v>1.63</v>
      </c>
      <c r="C4" s="67"/>
      <c r="D4" s="12">
        <f t="shared" si="0"/>
        <v>7.1393999999999993</v>
      </c>
      <c r="E4" s="15">
        <f t="shared" si="1"/>
        <v>140.06779281172089</v>
      </c>
      <c r="F4" s="54">
        <f>1000/A28</f>
        <v>187.60397862022586</v>
      </c>
      <c r="H4" s="20" t="s">
        <v>43</v>
      </c>
      <c r="I4" s="21">
        <f>I3-I2</f>
        <v>263.17929459077834</v>
      </c>
      <c r="J4" s="22" t="s">
        <v>23</v>
      </c>
      <c r="L4" s="22" t="s">
        <v>152</v>
      </c>
      <c r="M4" s="22">
        <v>6.0000000000000001E-3</v>
      </c>
      <c r="N4" s="22" t="s">
        <v>24</v>
      </c>
    </row>
    <row r="5" spans="1:14">
      <c r="A5" s="11">
        <v>4</v>
      </c>
      <c r="B5" s="11">
        <v>1.29</v>
      </c>
      <c r="C5" s="67"/>
      <c r="D5" s="12">
        <f t="shared" si="0"/>
        <v>5.6501999999999999</v>
      </c>
      <c r="E5" s="15">
        <f t="shared" si="1"/>
        <v>176.98488549077908</v>
      </c>
      <c r="F5" s="55"/>
      <c r="H5" s="20" t="s">
        <v>44</v>
      </c>
      <c r="I5" s="21">
        <f>A16*A25</f>
        <v>1230.4824905660378</v>
      </c>
      <c r="J5" s="22" t="s">
        <v>22</v>
      </c>
      <c r="L5" s="22" t="s">
        <v>153</v>
      </c>
      <c r="M5" s="22">
        <v>0.01</v>
      </c>
      <c r="N5" s="22" t="s">
        <v>24</v>
      </c>
    </row>
    <row r="6" spans="1:14">
      <c r="A6" s="11">
        <v>5</v>
      </c>
      <c r="B6" s="11">
        <v>1.03</v>
      </c>
      <c r="C6" s="67"/>
      <c r="D6" s="12">
        <f t="shared" si="0"/>
        <v>4.5114000000000001</v>
      </c>
      <c r="E6" s="15">
        <f t="shared" si="1"/>
        <v>221.66068182825731</v>
      </c>
      <c r="F6" s="56" t="s">
        <v>33</v>
      </c>
      <c r="H6" s="20" t="s">
        <v>45</v>
      </c>
      <c r="I6" s="21">
        <f>I5*((I4*2*PI())/60)</f>
        <v>33912.185151389611</v>
      </c>
      <c r="J6" s="22" t="s">
        <v>46</v>
      </c>
      <c r="L6" s="22" t="s">
        <v>154</v>
      </c>
      <c r="M6" s="22">
        <f>(3*M1*(M5^2-M4^2))/(2*M3*M2*(M5^3-M4^3))</f>
        <v>41853.145937620327</v>
      </c>
      <c r="N6" s="22" t="s">
        <v>64</v>
      </c>
    </row>
    <row r="7" spans="1:14">
      <c r="A7" s="11">
        <v>6</v>
      </c>
      <c r="B7" s="11">
        <v>0.84</v>
      </c>
      <c r="C7" s="67"/>
      <c r="D7" s="12">
        <f t="shared" si="0"/>
        <v>3.6791999999999998</v>
      </c>
      <c r="E7" s="15">
        <f t="shared" si="1"/>
        <v>271.79821700369649</v>
      </c>
      <c r="F7" s="57"/>
      <c r="H7" s="63" t="s">
        <v>47</v>
      </c>
      <c r="I7" s="64">
        <f>I6/1000</f>
        <v>33.912185151389608</v>
      </c>
      <c r="J7" s="65" t="s">
        <v>21</v>
      </c>
    </row>
    <row r="8" spans="1:14">
      <c r="A8" s="11">
        <v>7</v>
      </c>
      <c r="B8" s="11">
        <v>0.63</v>
      </c>
      <c r="C8" s="67"/>
      <c r="D8" s="12">
        <f>B8*$C$2</f>
        <v>2.7593999999999999</v>
      </c>
      <c r="E8" s="15">
        <f t="shared" si="1"/>
        <v>362.39762267159529</v>
      </c>
      <c r="F8" s="58"/>
      <c r="H8" s="63"/>
      <c r="I8" s="64"/>
      <c r="J8" s="65"/>
    </row>
    <row r="9" spans="1:14">
      <c r="E9" s="4" t="s">
        <v>34</v>
      </c>
      <c r="F9" s="4" t="s">
        <v>34</v>
      </c>
      <c r="H9" s="66" t="s">
        <v>50</v>
      </c>
      <c r="I9" s="64">
        <f>(I3/I2*100)-100</f>
        <v>65.321100917431181</v>
      </c>
      <c r="J9" s="65" t="s">
        <v>51</v>
      </c>
    </row>
    <row r="10" spans="1:14">
      <c r="A10" s="59" t="s">
        <v>41</v>
      </c>
      <c r="B10" s="59"/>
      <c r="C10" s="4" t="s">
        <v>42</v>
      </c>
      <c r="H10" s="66"/>
      <c r="I10" s="64"/>
      <c r="J10" s="65"/>
    </row>
    <row r="11" spans="1:14">
      <c r="A11" s="59">
        <v>683</v>
      </c>
      <c r="B11" s="59"/>
      <c r="C11" s="19">
        <v>6000</v>
      </c>
    </row>
    <row r="12" spans="1:14" ht="21">
      <c r="H12" s="14"/>
      <c r="I12" s="23" t="s">
        <v>52</v>
      </c>
    </row>
    <row r="13" spans="1:14">
      <c r="H13" s="20" t="s">
        <v>55</v>
      </c>
      <c r="I13" s="21">
        <f>C11/D3</f>
        <v>628.37752921955507</v>
      </c>
      <c r="J13" s="22" t="s">
        <v>23</v>
      </c>
    </row>
    <row r="14" spans="1:14">
      <c r="A14" s="62" t="s">
        <v>37</v>
      </c>
      <c r="B14" s="62"/>
      <c r="H14" s="20" t="s">
        <v>49</v>
      </c>
      <c r="I14" s="21" cm="1">
        <f t="array" ref="I14">C11/_xlfn.ANCHORARRAY(A25)</f>
        <v>666.08018097272839</v>
      </c>
      <c r="J14" s="22" t="s">
        <v>23</v>
      </c>
    </row>
    <row r="15" spans="1:14" ht="15.5" customHeight="1">
      <c r="A15" s="62"/>
      <c r="B15" s="62"/>
      <c r="H15" s="20" t="s">
        <v>43</v>
      </c>
      <c r="I15" s="21">
        <f>I14-I13</f>
        <v>37.702651753173313</v>
      </c>
      <c r="J15" s="22" t="s">
        <v>23</v>
      </c>
    </row>
    <row r="16" spans="1:14">
      <c r="A16" s="16">
        <v>136.6</v>
      </c>
      <c r="B16" s="16" t="s">
        <v>22</v>
      </c>
      <c r="H16" s="20" t="s">
        <v>44</v>
      </c>
      <c r="I16" s="21">
        <f>A16*A25</f>
        <v>1230.4824905660378</v>
      </c>
      <c r="J16" s="22" t="s">
        <v>22</v>
      </c>
    </row>
    <row r="17" spans="1:10">
      <c r="H17" s="20" t="s">
        <v>45</v>
      </c>
      <c r="I17" s="21">
        <f>I16*((I15*2*PI())/60)</f>
        <v>4858.2062997777257</v>
      </c>
      <c r="J17" s="22" t="s">
        <v>46</v>
      </c>
    </row>
    <row r="18" spans="1:10" ht="15.5" customHeight="1">
      <c r="A18" s="62" t="s">
        <v>38</v>
      </c>
      <c r="B18" s="62"/>
      <c r="H18" s="63" t="s">
        <v>47</v>
      </c>
      <c r="I18" s="64">
        <f>I17/1000</f>
        <v>4.8582062997777253</v>
      </c>
      <c r="J18" s="65" t="s">
        <v>21</v>
      </c>
    </row>
    <row r="19" spans="1:10">
      <c r="A19" s="62"/>
      <c r="B19" s="62"/>
      <c r="H19" s="63"/>
      <c r="I19" s="64"/>
      <c r="J19" s="65"/>
    </row>
    <row r="20" spans="1:10">
      <c r="A20" s="17"/>
      <c r="B20" s="17"/>
      <c r="H20" s="66" t="s">
        <v>50</v>
      </c>
      <c r="I20" s="64">
        <f>(I14/I13*100)-100</f>
        <v>6</v>
      </c>
      <c r="J20" s="65" t="s">
        <v>51</v>
      </c>
    </row>
    <row r="21" spans="1:10">
      <c r="A21" s="62" t="s">
        <v>39</v>
      </c>
      <c r="B21" s="62"/>
      <c r="H21" s="66"/>
      <c r="I21" s="64"/>
      <c r="J21" s="65"/>
    </row>
    <row r="22" spans="1:10">
      <c r="A22" s="62"/>
      <c r="B22" s="62"/>
    </row>
    <row r="23" spans="1:10" ht="21">
      <c r="H23" s="14"/>
      <c r="I23" s="23" t="s">
        <v>53</v>
      </c>
    </row>
    <row r="24" spans="1:10" ht="17.5">
      <c r="A24" s="61" t="s">
        <v>31</v>
      </c>
      <c r="B24" s="61"/>
      <c r="H24" s="20" t="s">
        <v>56</v>
      </c>
      <c r="I24" s="21">
        <f>C11/D4</f>
        <v>840.40675687032535</v>
      </c>
      <c r="J24" s="22" t="s">
        <v>23</v>
      </c>
    </row>
    <row r="25" spans="1:10">
      <c r="A25" s="60">
        <f>D3/1.06</f>
        <v>9.0079245283018867</v>
      </c>
      <c r="B25" s="60"/>
      <c r="H25" s="20" t="s">
        <v>57</v>
      </c>
      <c r="I25" s="21">
        <f>C11/A28</f>
        <v>1125.623871721355</v>
      </c>
      <c r="J25" s="22" t="s">
        <v>23</v>
      </c>
    </row>
    <row r="26" spans="1:10">
      <c r="H26" s="20" t="s">
        <v>43</v>
      </c>
      <c r="I26" s="21">
        <f>I25-I24</f>
        <v>285.21711485102969</v>
      </c>
      <c r="J26" s="22" t="s">
        <v>23</v>
      </c>
    </row>
    <row r="27" spans="1:10" ht="17.5">
      <c r="A27" s="61" t="s">
        <v>32</v>
      </c>
      <c r="B27" s="61"/>
      <c r="H27" s="20" t="s">
        <v>44</v>
      </c>
      <c r="I27" s="21">
        <f>A16*A28</f>
        <v>728.12954716981119</v>
      </c>
      <c r="J27" s="22" t="s">
        <v>22</v>
      </c>
    </row>
    <row r="28" spans="1:10">
      <c r="A28" s="60">
        <f>D5/1.06</f>
        <v>5.3303773584905656</v>
      </c>
      <c r="B28" s="60"/>
      <c r="H28" s="20" t="s">
        <v>45</v>
      </c>
      <c r="I28" s="21">
        <f>I27*((I26*2*PI())/60)</f>
        <v>21747.67605360621</v>
      </c>
      <c r="J28" s="22" t="s">
        <v>46</v>
      </c>
    </row>
    <row r="29" spans="1:10">
      <c r="H29" s="63" t="s">
        <v>47</v>
      </c>
      <c r="I29" s="64">
        <f>I28/1000</f>
        <v>21.747676053606209</v>
      </c>
      <c r="J29" s="65" t="s">
        <v>21</v>
      </c>
    </row>
    <row r="30" spans="1:10">
      <c r="H30" s="63"/>
      <c r="I30" s="64"/>
      <c r="J30" s="65"/>
    </row>
    <row r="31" spans="1:10">
      <c r="H31" s="66" t="s">
        <v>50</v>
      </c>
      <c r="I31" s="64">
        <f>(I25/I24*100)-100</f>
        <v>33.937984496124017</v>
      </c>
      <c r="J31" s="65" t="s">
        <v>51</v>
      </c>
    </row>
    <row r="32" spans="1:10">
      <c r="H32" s="66"/>
      <c r="I32" s="64"/>
      <c r="J32" s="65"/>
    </row>
    <row r="34" spans="8:10" ht="21">
      <c r="H34" s="14"/>
      <c r="I34" s="23" t="s">
        <v>54</v>
      </c>
    </row>
    <row r="35" spans="8:10">
      <c r="H35" s="20" t="s">
        <v>58</v>
      </c>
      <c r="I35" s="21">
        <f>C11/D5</f>
        <v>1061.9093129446746</v>
      </c>
      <c r="J35" s="22" t="s">
        <v>23</v>
      </c>
    </row>
    <row r="36" spans="8:10">
      <c r="H36" s="20" t="s">
        <v>57</v>
      </c>
      <c r="I36" s="21">
        <f>C11/A28</f>
        <v>1125.623871721355</v>
      </c>
      <c r="J36" s="22" t="s">
        <v>23</v>
      </c>
    </row>
    <row r="37" spans="8:10">
      <c r="H37" s="20" t="s">
        <v>43</v>
      </c>
      <c r="I37" s="21">
        <f>I36-I35</f>
        <v>63.714558776680406</v>
      </c>
      <c r="J37" s="22" t="s">
        <v>23</v>
      </c>
    </row>
    <row r="38" spans="8:10">
      <c r="H38" s="20" t="s">
        <v>44</v>
      </c>
      <c r="I38" s="21">
        <f>A16*A28</f>
        <v>728.12954716981119</v>
      </c>
      <c r="J38" s="22" t="s">
        <v>22</v>
      </c>
    </row>
    <row r="39" spans="8:10">
      <c r="H39" s="20" t="s">
        <v>45</v>
      </c>
      <c r="I39" s="21">
        <f>I38*((I37*2*PI())/60)</f>
        <v>4858.2062997777193</v>
      </c>
      <c r="J39" s="22" t="s">
        <v>46</v>
      </c>
    </row>
    <row r="40" spans="8:10">
      <c r="H40" s="63" t="s">
        <v>47</v>
      </c>
      <c r="I40" s="64">
        <f>I39/1000</f>
        <v>4.8582062997777191</v>
      </c>
      <c r="J40" s="65" t="s">
        <v>21</v>
      </c>
    </row>
    <row r="41" spans="8:10">
      <c r="H41" s="63"/>
      <c r="I41" s="64"/>
      <c r="J41" s="65"/>
    </row>
    <row r="42" spans="8:10">
      <c r="H42" s="66" t="s">
        <v>50</v>
      </c>
      <c r="I42" s="64">
        <f>(I36/I35*100)-100</f>
        <v>5.9999999999999858</v>
      </c>
      <c r="J42" s="65" t="s">
        <v>51</v>
      </c>
    </row>
    <row r="43" spans="8:10">
      <c r="H43" s="66"/>
      <c r="I43" s="64"/>
      <c r="J43" s="65"/>
    </row>
  </sheetData>
  <mergeCells count="37">
    <mergeCell ref="H40:H41"/>
    <mergeCell ref="I40:I41"/>
    <mergeCell ref="J40:J41"/>
    <mergeCell ref="H42:H43"/>
    <mergeCell ref="I42:I43"/>
    <mergeCell ref="J42:J43"/>
    <mergeCell ref="H29:H30"/>
    <mergeCell ref="I29:I30"/>
    <mergeCell ref="J29:J30"/>
    <mergeCell ref="H31:H32"/>
    <mergeCell ref="I31:I32"/>
    <mergeCell ref="J31:J32"/>
    <mergeCell ref="A27:B27"/>
    <mergeCell ref="A28:B28"/>
    <mergeCell ref="H7:H8"/>
    <mergeCell ref="I7:I8"/>
    <mergeCell ref="J7:J8"/>
    <mergeCell ref="H9:H10"/>
    <mergeCell ref="I9:I10"/>
    <mergeCell ref="J9:J10"/>
    <mergeCell ref="H18:H19"/>
    <mergeCell ref="I18:I19"/>
    <mergeCell ref="J18:J19"/>
    <mergeCell ref="H20:H21"/>
    <mergeCell ref="I20:I21"/>
    <mergeCell ref="J20:J21"/>
    <mergeCell ref="C2:C8"/>
    <mergeCell ref="F2:F3"/>
    <mergeCell ref="F4:F5"/>
    <mergeCell ref="F6:F8"/>
    <mergeCell ref="A10:B10"/>
    <mergeCell ref="A25:B25"/>
    <mergeCell ref="A24:B24"/>
    <mergeCell ref="A14:B15"/>
    <mergeCell ref="A18:B19"/>
    <mergeCell ref="A11:B11"/>
    <mergeCell ref="A21:B22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1F286-EE48-4399-8C7A-1C2C9DFF203F}">
  <dimension ref="A1:P13"/>
  <sheetViews>
    <sheetView zoomScaleNormal="160" workbookViewId="0">
      <selection activeCell="S12" sqref="S12"/>
    </sheetView>
  </sheetViews>
  <sheetFormatPr defaultColWidth="8.83203125" defaultRowHeight="15.5"/>
  <cols>
    <col min="1" max="1" width="22.1640625" bestFit="1" customWidth="1"/>
    <col min="2" max="2" width="9.83203125" customWidth="1"/>
    <col min="8" max="8" width="6.83203125" customWidth="1"/>
    <col min="12" max="12" width="6.83203125" customWidth="1"/>
  </cols>
  <sheetData>
    <row r="1" spans="1:16">
      <c r="A1" t="s">
        <v>59</v>
      </c>
      <c r="B1">
        <f>Specs!B6</f>
        <v>1970</v>
      </c>
      <c r="C1" t="s">
        <v>19</v>
      </c>
      <c r="E1" s="68" t="s">
        <v>72</v>
      </c>
      <c r="F1" s="68"/>
      <c r="G1" s="68"/>
      <c r="I1" s="68" t="s">
        <v>71</v>
      </c>
      <c r="J1" s="68"/>
      <c r="K1" s="68"/>
      <c r="M1" s="68" t="s">
        <v>66</v>
      </c>
      <c r="N1" s="68"/>
      <c r="O1" s="68"/>
    </row>
    <row r="2" spans="1:16">
      <c r="A2" t="s">
        <v>61</v>
      </c>
      <c r="B2" s="24">
        <v>0.47</v>
      </c>
      <c r="E2" s="70" t="s">
        <v>69</v>
      </c>
      <c r="F2" s="70"/>
      <c r="G2" s="70"/>
      <c r="I2" s="70" t="s">
        <v>69</v>
      </c>
      <c r="J2" s="70"/>
      <c r="K2" s="70"/>
      <c r="M2" s="70" t="s">
        <v>69</v>
      </c>
      <c r="N2" s="70"/>
      <c r="O2" s="70"/>
    </row>
    <row r="3" spans="1:16">
      <c r="A3" t="s">
        <v>62</v>
      </c>
      <c r="B3" s="24">
        <v>0.53</v>
      </c>
      <c r="E3" s="71">
        <f>B5*1</f>
        <v>9083.0789999999997</v>
      </c>
      <c r="F3" s="72"/>
      <c r="G3" s="73"/>
      <c r="H3" s="25"/>
      <c r="I3" s="71">
        <f>B5*0.6</f>
        <v>5449.8473999999997</v>
      </c>
      <c r="J3" s="72"/>
      <c r="K3" s="73"/>
      <c r="L3" s="25"/>
      <c r="M3" s="71">
        <f>B5*0.15</f>
        <v>1362.4618499999999</v>
      </c>
      <c r="N3" s="72"/>
      <c r="O3" s="73"/>
    </row>
    <row r="4" spans="1:16">
      <c r="E4" s="69" t="s">
        <v>70</v>
      </c>
      <c r="F4" s="69"/>
      <c r="G4" s="69"/>
      <c r="I4" s="69" t="s">
        <v>70</v>
      </c>
      <c r="J4" s="69"/>
      <c r="K4" s="69"/>
      <c r="M4" s="69" t="s">
        <v>70</v>
      </c>
      <c r="N4" s="69"/>
      <c r="O4" s="69"/>
    </row>
    <row r="5" spans="1:16">
      <c r="A5" t="s">
        <v>63</v>
      </c>
      <c r="B5" s="25">
        <f>B1*B2*9.81</f>
        <v>9083.0789999999997</v>
      </c>
      <c r="C5" t="s">
        <v>64</v>
      </c>
      <c r="E5" s="74">
        <f>B6*1</f>
        <v>10242.621000000001</v>
      </c>
      <c r="F5" s="74"/>
      <c r="G5" s="74"/>
      <c r="H5" s="25"/>
      <c r="I5" s="74">
        <f>B6*0.6</f>
        <v>6145.5726000000004</v>
      </c>
      <c r="J5" s="74"/>
      <c r="K5" s="74"/>
      <c r="L5" s="25"/>
      <c r="M5" s="74">
        <f>B6*0.15</f>
        <v>1536.3931500000001</v>
      </c>
      <c r="N5" s="74"/>
      <c r="O5" s="74"/>
    </row>
    <row r="6" spans="1:16">
      <c r="A6" t="s">
        <v>65</v>
      </c>
      <c r="B6">
        <f>B1*B3*9.81</f>
        <v>10242.621000000001</v>
      </c>
      <c r="C6" t="s">
        <v>64</v>
      </c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 ht="16.5">
      <c r="E7" s="69" t="s">
        <v>67</v>
      </c>
      <c r="F7" s="69"/>
      <c r="G7" s="69"/>
      <c r="H7" s="18"/>
      <c r="I7" s="70" t="s">
        <v>67</v>
      </c>
      <c r="J7" s="70"/>
      <c r="K7" s="70"/>
      <c r="L7" s="18"/>
      <c r="M7" s="69" t="s">
        <v>67</v>
      </c>
      <c r="N7" s="69"/>
      <c r="O7" s="69"/>
    </row>
    <row r="8" spans="1:16" ht="15.5" customHeight="1">
      <c r="A8" s="47" t="s">
        <v>73</v>
      </c>
      <c r="B8" s="47"/>
      <c r="E8" s="78">
        <f>E5/B1</f>
        <v>5.1993000000000009</v>
      </c>
      <c r="F8" s="78"/>
      <c r="G8" s="78"/>
      <c r="I8" s="78">
        <f>I5/B1</f>
        <v>3.11958</v>
      </c>
      <c r="J8" s="78"/>
      <c r="K8" s="78"/>
      <c r="M8" s="78">
        <f>M5/B1</f>
        <v>0.779895</v>
      </c>
      <c r="N8" s="78"/>
      <c r="O8" s="78"/>
    </row>
    <row r="9" spans="1:16">
      <c r="A9" s="27"/>
      <c r="B9" s="27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</row>
    <row r="10" spans="1:16" ht="16.5" customHeight="1">
      <c r="A10" s="47" t="s">
        <v>74</v>
      </c>
      <c r="B10" s="47"/>
      <c r="E10" s="70" t="s">
        <v>68</v>
      </c>
      <c r="F10" s="70"/>
      <c r="G10" s="70"/>
      <c r="I10" s="70" t="s">
        <v>68</v>
      </c>
      <c r="J10" s="70"/>
      <c r="K10" s="70"/>
      <c r="M10" s="70" t="s">
        <v>68</v>
      </c>
      <c r="N10" s="70"/>
      <c r="O10" s="70"/>
    </row>
    <row r="11" spans="1:16">
      <c r="A11" s="47"/>
      <c r="B11" s="47"/>
      <c r="E11" s="75">
        <f>(E3+E5)/B1</f>
        <v>9.81</v>
      </c>
      <c r="F11" s="76"/>
      <c r="G11" s="77"/>
      <c r="I11" s="75">
        <f>(I3+I5)/B1</f>
        <v>5.8860000000000001</v>
      </c>
      <c r="J11" s="76"/>
      <c r="K11" s="77"/>
      <c r="M11" s="75">
        <f>(M3+M5)/B1</f>
        <v>1.4715</v>
      </c>
      <c r="N11" s="76"/>
      <c r="O11" s="77"/>
    </row>
    <row r="13" spans="1:16">
      <c r="D13" s="25"/>
      <c r="E13" s="25"/>
      <c r="F13" s="25"/>
      <c r="G13" s="25"/>
      <c r="H13" s="25"/>
      <c r="I13" s="25"/>
      <c r="J13" s="25"/>
      <c r="K13" s="25"/>
      <c r="L13" s="25"/>
      <c r="M13" s="25"/>
    </row>
  </sheetData>
  <mergeCells count="29">
    <mergeCell ref="A8:B8"/>
    <mergeCell ref="A10:B11"/>
    <mergeCell ref="E10:G10"/>
    <mergeCell ref="I10:K10"/>
    <mergeCell ref="M10:O10"/>
    <mergeCell ref="E8:G8"/>
    <mergeCell ref="I8:K8"/>
    <mergeCell ref="M8:O8"/>
    <mergeCell ref="M3:O3"/>
    <mergeCell ref="M5:O5"/>
    <mergeCell ref="M11:O11"/>
    <mergeCell ref="I11:K11"/>
    <mergeCell ref="E11:G11"/>
    <mergeCell ref="E1:G1"/>
    <mergeCell ref="I1:K1"/>
    <mergeCell ref="E7:G7"/>
    <mergeCell ref="I7:K7"/>
    <mergeCell ref="M7:O7"/>
    <mergeCell ref="M1:O1"/>
    <mergeCell ref="E2:G2"/>
    <mergeCell ref="I2:K2"/>
    <mergeCell ref="M2:O2"/>
    <mergeCell ref="E4:G4"/>
    <mergeCell ref="I4:K4"/>
    <mergeCell ref="M4:O4"/>
    <mergeCell ref="E3:G3"/>
    <mergeCell ref="E5:G5"/>
    <mergeCell ref="I5:K5"/>
    <mergeCell ref="I3:K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AF02C-9137-4B27-A367-162F34395E59}">
  <dimension ref="A1:Z39"/>
  <sheetViews>
    <sheetView zoomScaleNormal="140" workbookViewId="0">
      <selection activeCell="AD33" sqref="AD33"/>
    </sheetView>
  </sheetViews>
  <sheetFormatPr defaultColWidth="8.83203125" defaultRowHeight="15.5"/>
  <cols>
    <col min="1" max="1" width="20.5" bestFit="1" customWidth="1"/>
  </cols>
  <sheetData>
    <row r="1" spans="1:26" ht="18.5">
      <c r="A1" t="s">
        <v>79</v>
      </c>
      <c r="B1">
        <v>0.9</v>
      </c>
      <c r="D1" s="29" t="s">
        <v>80</v>
      </c>
      <c r="F1" s="82" t="s">
        <v>85</v>
      </c>
      <c r="G1" s="82"/>
      <c r="H1" s="82"/>
      <c r="I1" s="82"/>
      <c r="J1" s="82"/>
      <c r="K1" s="82"/>
      <c r="L1" s="82"/>
      <c r="Q1" s="82" t="s">
        <v>88</v>
      </c>
      <c r="R1" s="82"/>
      <c r="S1" s="82"/>
      <c r="T1" s="82"/>
      <c r="U1" s="82"/>
      <c r="V1" s="82"/>
      <c r="W1" s="82"/>
    </row>
    <row r="2" spans="1:26" ht="17.5">
      <c r="A2" t="s">
        <v>75</v>
      </c>
      <c r="B2" s="30">
        <f>B1*9.81</f>
        <v>8.8290000000000006</v>
      </c>
      <c r="C2" t="s">
        <v>76</v>
      </c>
      <c r="M2" s="61" t="s">
        <v>89</v>
      </c>
      <c r="N2" s="61"/>
      <c r="X2" s="61" t="s">
        <v>89</v>
      </c>
      <c r="Y2" s="61"/>
    </row>
    <row r="3" spans="1:26">
      <c r="A3" t="s">
        <v>77</v>
      </c>
      <c r="B3">
        <f>Specs!B2</f>
        <v>1.6759999999999999</v>
      </c>
      <c r="C3" t="s">
        <v>24</v>
      </c>
      <c r="M3" s="81">
        <f>(B5*B6)*B2</f>
        <v>8174.7710999999999</v>
      </c>
      <c r="N3" s="81"/>
      <c r="X3" s="81">
        <f>(B5*B7)*B2</f>
        <v>9218.3589000000011</v>
      </c>
      <c r="Y3" s="81"/>
    </row>
    <row r="4" spans="1:26">
      <c r="A4" t="s">
        <v>78</v>
      </c>
      <c r="B4" s="28">
        <f>Specs!B3</f>
        <v>1.66</v>
      </c>
      <c r="C4" t="s">
        <v>24</v>
      </c>
    </row>
    <row r="5" spans="1:26">
      <c r="A5" t="s">
        <v>59</v>
      </c>
      <c r="B5">
        <f>Specs!B6</f>
        <v>1970</v>
      </c>
      <c r="C5" t="s">
        <v>19</v>
      </c>
      <c r="M5" s="61" t="s">
        <v>86</v>
      </c>
      <c r="N5" s="61"/>
      <c r="X5" s="61" t="s">
        <v>86</v>
      </c>
      <c r="Y5" s="61"/>
    </row>
    <row r="6" spans="1:26">
      <c r="A6" t="s">
        <v>61</v>
      </c>
      <c r="B6" s="24">
        <v>0.47</v>
      </c>
      <c r="M6" s="81">
        <f>((B5*B6*B2*B8)/B3)</f>
        <v>2926.5290334128877</v>
      </c>
      <c r="N6" s="81"/>
      <c r="X6" s="81">
        <f>((B5*B7*B2*B8)/B4)</f>
        <v>3331.9369518072294</v>
      </c>
      <c r="Y6" s="81"/>
    </row>
    <row r="7" spans="1:26">
      <c r="A7" t="s">
        <v>62</v>
      </c>
      <c r="B7" s="24">
        <v>0.53</v>
      </c>
      <c r="M7" s="81">
        <f>M6/2</f>
        <v>1463.2645167064438</v>
      </c>
      <c r="N7" s="81"/>
      <c r="O7" s="29" t="s">
        <v>87</v>
      </c>
      <c r="X7" s="81">
        <f>X6/2</f>
        <v>1665.9684759036147</v>
      </c>
      <c r="Y7" s="81"/>
      <c r="Z7" s="29" t="s">
        <v>87</v>
      </c>
    </row>
    <row r="8" spans="1:26">
      <c r="A8" t="s">
        <v>81</v>
      </c>
      <c r="B8">
        <v>0.6</v>
      </c>
      <c r="C8" t="s">
        <v>24</v>
      </c>
      <c r="D8" s="29" t="s">
        <v>80</v>
      </c>
    </row>
    <row r="9" spans="1:26">
      <c r="A9" t="s">
        <v>82</v>
      </c>
      <c r="B9">
        <v>25</v>
      </c>
      <c r="C9" t="s">
        <v>24</v>
      </c>
      <c r="D9" s="29" t="s">
        <v>80</v>
      </c>
      <c r="M9" s="60">
        <f>K13/K13</f>
        <v>1</v>
      </c>
      <c r="N9" s="60"/>
      <c r="X9" s="60">
        <f>V13/V13</f>
        <v>1</v>
      </c>
      <c r="Y9" s="60"/>
    </row>
    <row r="10" spans="1:26">
      <c r="A10" t="s">
        <v>83</v>
      </c>
      <c r="B10" s="30">
        <f>SQRT(B2*B9)</f>
        <v>14.856816617297261</v>
      </c>
      <c r="C10" t="s">
        <v>84</v>
      </c>
      <c r="M10" s="60">
        <f>G13/K13</f>
        <v>1.9507042253521127</v>
      </c>
      <c r="N10" s="60"/>
      <c r="X10" s="60">
        <f>R13/V13</f>
        <v>1.9642857142857142</v>
      </c>
      <c r="Y10" s="60"/>
    </row>
    <row r="11" spans="1:26" ht="17.5">
      <c r="A11" t="s">
        <v>111</v>
      </c>
      <c r="B11" s="1">
        <v>4187.3999999999996</v>
      </c>
      <c r="C11" t="s">
        <v>112</v>
      </c>
    </row>
    <row r="12" spans="1:26">
      <c r="F12" s="61" t="s">
        <v>96</v>
      </c>
      <c r="G12" s="61"/>
      <c r="H12" s="61"/>
      <c r="J12" s="61" t="s">
        <v>97</v>
      </c>
      <c r="K12" s="61"/>
      <c r="L12" s="61"/>
      <c r="Q12" s="61" t="s">
        <v>96</v>
      </c>
      <c r="R12" s="61"/>
      <c r="S12" s="61"/>
      <c r="U12" s="61" t="s">
        <v>97</v>
      </c>
      <c r="V12" s="61"/>
      <c r="W12" s="61"/>
    </row>
    <row r="13" spans="1:26">
      <c r="A13" s="32" t="s">
        <v>90</v>
      </c>
      <c r="B13" s="30">
        <f>(PI()*B9*2)/B10</f>
        <v>10.572899748699022</v>
      </c>
      <c r="C13" t="s">
        <v>91</v>
      </c>
      <c r="G13" s="25">
        <f>((B5*B6)/2*9.81)+M7</f>
        <v>6004.8040167064437</v>
      </c>
      <c r="H13" s="25" t="s">
        <v>64</v>
      </c>
      <c r="I13" s="25"/>
      <c r="J13" s="25"/>
      <c r="K13" s="25">
        <f>((B5*B6)/2*9.81)-M7</f>
        <v>3078.274983293556</v>
      </c>
      <c r="L13" t="s">
        <v>64</v>
      </c>
      <c r="O13" s="31"/>
      <c r="R13" s="25">
        <f>((B5*B7)/2*9.81)+X7</f>
        <v>6787.278975903615</v>
      </c>
      <c r="S13" s="25" t="s">
        <v>64</v>
      </c>
      <c r="T13" s="25"/>
      <c r="U13" s="25"/>
      <c r="V13" s="25">
        <f>((B5*B7)/2*9.81)-X7</f>
        <v>3455.342024096386</v>
      </c>
      <c r="W13" t="s">
        <v>64</v>
      </c>
      <c r="Z13" s="31"/>
    </row>
    <row r="14" spans="1:26">
      <c r="B14" s="30">
        <f>360/B13</f>
        <v>34.049315566838452</v>
      </c>
      <c r="C14" t="s">
        <v>92</v>
      </c>
    </row>
    <row r="15" spans="1:26">
      <c r="G15" s="30">
        <f>(G13/(G13+K13))*100</f>
        <v>66.109785202863961</v>
      </c>
      <c r="H15" s="25" t="s">
        <v>51</v>
      </c>
      <c r="I15" s="25"/>
      <c r="J15" s="25"/>
      <c r="K15" s="30">
        <f>(K13/(G13+K13))*100</f>
        <v>33.890214797136039</v>
      </c>
      <c r="L15" t="s">
        <v>51</v>
      </c>
      <c r="R15" s="30">
        <f>(R13/(R13+V13))*100</f>
        <v>66.265060240963862</v>
      </c>
      <c r="S15" t="s">
        <v>51</v>
      </c>
      <c r="V15" s="30">
        <f>(V13/(R13+V13))*100</f>
        <v>33.734939759036145</v>
      </c>
      <c r="W15" t="s">
        <v>51</v>
      </c>
    </row>
    <row r="16" spans="1:26">
      <c r="A16" s="59" t="s">
        <v>93</v>
      </c>
      <c r="B16" s="59"/>
      <c r="C16" s="59"/>
    </row>
    <row r="17" spans="1:23" ht="15.5" customHeight="1">
      <c r="A17" s="59" t="s">
        <v>94</v>
      </c>
      <c r="B17" s="59"/>
      <c r="C17" s="59"/>
      <c r="F17" s="61" t="s">
        <v>98</v>
      </c>
      <c r="G17" s="61"/>
      <c r="H17" s="61"/>
      <c r="I17" s="32"/>
      <c r="J17" s="61" t="s">
        <v>99</v>
      </c>
      <c r="K17" s="61"/>
      <c r="L17" s="61"/>
      <c r="Q17" s="61" t="s">
        <v>100</v>
      </c>
      <c r="R17" s="61"/>
      <c r="S17" s="61"/>
      <c r="T17" s="32"/>
      <c r="U17" s="61" t="s">
        <v>99</v>
      </c>
      <c r="V17" s="61"/>
      <c r="W17" s="61"/>
    </row>
    <row r="18" spans="1:23" ht="29" customHeight="1">
      <c r="A18" s="80" t="s">
        <v>95</v>
      </c>
      <c r="B18" s="80"/>
      <c r="C18" s="80"/>
      <c r="G18" s="33">
        <f>K18*M10</f>
        <v>5404.3236150357989</v>
      </c>
      <c r="H18" s="33" t="s">
        <v>64</v>
      </c>
      <c r="K18" s="33">
        <f>M3/(M9+M10)</f>
        <v>2770.4474849642002</v>
      </c>
      <c r="L18" t="s">
        <v>64</v>
      </c>
      <c r="R18" s="33">
        <f>V18*X10</f>
        <v>6108.5510783132531</v>
      </c>
      <c r="S18" t="s">
        <v>64</v>
      </c>
      <c r="V18" s="33">
        <f>X3/(X9+X10)</f>
        <v>3109.807821686747</v>
      </c>
      <c r="W18" t="s">
        <v>64</v>
      </c>
    </row>
    <row r="19" spans="1:23">
      <c r="A19" s="34"/>
      <c r="B19" s="34"/>
      <c r="C19" s="34"/>
    </row>
    <row r="20" spans="1:23">
      <c r="A20" s="29" t="s">
        <v>104</v>
      </c>
      <c r="B20" s="25">
        <f>B5*9.81*0.015</f>
        <v>289.88549999999998</v>
      </c>
      <c r="C20" t="s">
        <v>64</v>
      </c>
    </row>
    <row r="21" spans="1:23">
      <c r="A21" s="29" t="s">
        <v>105</v>
      </c>
      <c r="B21" s="25">
        <f>0.5*1.22*(2*1.6)*0.6*(B10)^2</f>
        <v>258.51312000000001</v>
      </c>
      <c r="C21" t="s">
        <v>64</v>
      </c>
    </row>
    <row r="22" spans="1:23">
      <c r="A22" t="s">
        <v>103</v>
      </c>
      <c r="B22" s="25">
        <f>B20+B21</f>
        <v>548.39861999999994</v>
      </c>
      <c r="C22" t="s">
        <v>64</v>
      </c>
    </row>
    <row r="23" spans="1:23">
      <c r="A23" t="s">
        <v>106</v>
      </c>
      <c r="B23" s="25">
        <f>B22*B10</f>
        <v>8147.457730518885</v>
      </c>
      <c r="C23" t="s">
        <v>46</v>
      </c>
    </row>
    <row r="24" spans="1:23">
      <c r="B24" s="25">
        <f>B23/746</f>
        <v>10.921525107934162</v>
      </c>
      <c r="C24" t="s">
        <v>107</v>
      </c>
    </row>
    <row r="31" spans="1:23">
      <c r="F31" s="61" t="s">
        <v>101</v>
      </c>
      <c r="G31" s="61"/>
      <c r="H31" s="61"/>
      <c r="J31" s="61" t="s">
        <v>102</v>
      </c>
      <c r="K31" s="61"/>
      <c r="L31" s="61"/>
      <c r="Q31" s="61" t="s">
        <v>101</v>
      </c>
      <c r="R31" s="61"/>
      <c r="S31" s="61"/>
      <c r="U31" s="61" t="s">
        <v>102</v>
      </c>
      <c r="V31" s="61"/>
      <c r="W31" s="61"/>
    </row>
    <row r="32" spans="1:23">
      <c r="G32">
        <f>SQRT(G13^2-G18^2)</f>
        <v>2617.433388459051</v>
      </c>
      <c r="H32" t="s">
        <v>64</v>
      </c>
      <c r="K32">
        <f>SQRT(K13^2-K18^2)</f>
        <v>1341.788957260597</v>
      </c>
      <c r="L32" t="s">
        <v>64</v>
      </c>
      <c r="R32">
        <f>SQRT(R13^2-R18^2)</f>
        <v>2958.5063157582094</v>
      </c>
      <c r="S32" t="s">
        <v>64</v>
      </c>
      <c r="V32">
        <f>SQRT(V13^2-V18^2)</f>
        <v>1506.148669840544</v>
      </c>
      <c r="W32" t="s">
        <v>64</v>
      </c>
    </row>
    <row r="34" spans="6:23">
      <c r="F34" s="61" t="s">
        <v>108</v>
      </c>
      <c r="G34" s="61"/>
      <c r="H34" s="61"/>
      <c r="Q34" s="61" t="s">
        <v>108</v>
      </c>
      <c r="R34" s="61"/>
      <c r="S34" s="61"/>
    </row>
    <row r="35" spans="6:23">
      <c r="G35" s="30">
        <f>G32-K32</f>
        <v>1275.644431198454</v>
      </c>
      <c r="H35" t="s">
        <v>64</v>
      </c>
      <c r="R35" s="30">
        <f>R32-V32</f>
        <v>1452.3576459176654</v>
      </c>
      <c r="S35" t="s">
        <v>64</v>
      </c>
    </row>
    <row r="37" spans="6:23">
      <c r="F37" s="61" t="s">
        <v>109</v>
      </c>
      <c r="G37" s="61"/>
      <c r="H37" s="61"/>
      <c r="J37" s="79" t="s">
        <v>110</v>
      </c>
      <c r="K37" s="79"/>
      <c r="L37" s="79"/>
      <c r="Q37" s="61" t="s">
        <v>109</v>
      </c>
      <c r="R37" s="61"/>
      <c r="S37" s="61"/>
      <c r="U37" s="79" t="s">
        <v>110</v>
      </c>
      <c r="V37" s="79"/>
      <c r="W37" s="79"/>
    </row>
    <row r="38" spans="6:23">
      <c r="G38" s="30">
        <f>G35*(B3/2)</f>
        <v>1068.9900333443043</v>
      </c>
      <c r="H38" t="s">
        <v>22</v>
      </c>
      <c r="J38" s="35"/>
      <c r="K38" s="36">
        <f>G38/B11</f>
        <v>0.25528729840576597</v>
      </c>
      <c r="L38" s="35" t="s">
        <v>113</v>
      </c>
      <c r="R38" s="30">
        <f>R35*(B4/2)</f>
        <v>1205.4568461116623</v>
      </c>
      <c r="S38" t="s">
        <v>22</v>
      </c>
      <c r="U38" s="35"/>
      <c r="V38" s="36">
        <f>R38/B11</f>
        <v>0.2878771662873531</v>
      </c>
      <c r="W38" s="35" t="s">
        <v>113</v>
      </c>
    </row>
    <row r="39" spans="6:23">
      <c r="K39" s="37">
        <f>K38*(180/PI())</f>
        <v>14.626884761947219</v>
      </c>
      <c r="L39" s="35" t="s">
        <v>92</v>
      </c>
      <c r="V39" s="37">
        <f>V38*(180/PI())</f>
        <v>16.494146646451121</v>
      </c>
      <c r="W39" s="35" t="s">
        <v>92</v>
      </c>
    </row>
  </sheetData>
  <mergeCells count="37">
    <mergeCell ref="Q1:W1"/>
    <mergeCell ref="X2:Y2"/>
    <mergeCell ref="X3:Y3"/>
    <mergeCell ref="F1:L1"/>
    <mergeCell ref="M5:N5"/>
    <mergeCell ref="M2:N2"/>
    <mergeCell ref="M3:N3"/>
    <mergeCell ref="X5:Y5"/>
    <mergeCell ref="X6:Y6"/>
    <mergeCell ref="X7:Y7"/>
    <mergeCell ref="M6:N6"/>
    <mergeCell ref="M7:N7"/>
    <mergeCell ref="A16:C16"/>
    <mergeCell ref="M10:N10"/>
    <mergeCell ref="X10:Y10"/>
    <mergeCell ref="X9:Y9"/>
    <mergeCell ref="A18:C18"/>
    <mergeCell ref="A17:C17"/>
    <mergeCell ref="Q12:S12"/>
    <mergeCell ref="J12:L12"/>
    <mergeCell ref="F12:H12"/>
    <mergeCell ref="F17:H17"/>
    <mergeCell ref="J17:L17"/>
    <mergeCell ref="U17:W17"/>
    <mergeCell ref="Q17:S17"/>
    <mergeCell ref="U12:W12"/>
    <mergeCell ref="M9:N9"/>
    <mergeCell ref="F37:H37"/>
    <mergeCell ref="Q34:S34"/>
    <mergeCell ref="Q37:S37"/>
    <mergeCell ref="J37:L37"/>
    <mergeCell ref="U37:W37"/>
    <mergeCell ref="F31:H31"/>
    <mergeCell ref="J31:L31"/>
    <mergeCell ref="Q31:S31"/>
    <mergeCell ref="U31:W31"/>
    <mergeCell ref="F34:H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Specs</vt:lpstr>
      <vt:lpstr>Lumped mass model</vt:lpstr>
      <vt:lpstr>Torque Path</vt:lpstr>
      <vt:lpstr>Acceleration improvements</vt:lpstr>
      <vt:lpstr>Yaw rate gain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Ifan Hopkins</cp:lastModifiedBy>
  <dcterms:created xsi:type="dcterms:W3CDTF">2020-04-24T08:21:50Z</dcterms:created>
  <dcterms:modified xsi:type="dcterms:W3CDTF">2020-05-18T16:07:22Z</dcterms:modified>
</cp:coreProperties>
</file>