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304028_student_uwtsd_ac_uk/Documents/Documents/Year 3/Powertrain/Assignment/"/>
    </mc:Choice>
  </mc:AlternateContent>
  <xr:revisionPtr revIDLastSave="68" documentId="8_{9E31C1E4-C808-4C85-8BD6-73C394CA3C69}" xr6:coauthVersionLast="47" xr6:coauthVersionMax="47" xr10:uidLastSave="{AE0FB2A1-06DB-4B94-8729-8CC6E224BDA6}"/>
  <bookViews>
    <workbookView xWindow="-120" yWindow="-120" windowWidth="38640" windowHeight="21840" activeTab="1" xr2:uid="{CCFE05A0-CB21-49CD-8743-D0F4D45B9691}"/>
  </bookViews>
  <sheets>
    <sheet name="Octane" sheetId="1" r:id="rId1"/>
    <sheet name="Methanol" sheetId="7" r:id="rId2"/>
    <sheet name="Ethanol" sheetId="6" r:id="rId3"/>
    <sheet name="E85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6" l="1"/>
  <c r="D22" i="7"/>
  <c r="F9" i="5"/>
  <c r="F8" i="5"/>
  <c r="N21" i="5"/>
  <c r="K21" i="5"/>
  <c r="C10" i="5"/>
  <c r="C9" i="5"/>
  <c r="C8" i="5"/>
  <c r="N20" i="5"/>
  <c r="K20" i="5"/>
  <c r="N16" i="5"/>
  <c r="N15" i="5"/>
  <c r="L18" i="5"/>
  <c r="N8" i="5"/>
  <c r="N7" i="5"/>
  <c r="Q7" i="5"/>
  <c r="O5" i="5"/>
  <c r="D14" i="6"/>
  <c r="H11" i="6"/>
  <c r="H11" i="7"/>
  <c r="D14" i="1"/>
  <c r="D20" i="1" s="1"/>
  <c r="D14" i="7"/>
  <c r="H9" i="7"/>
  <c r="H8" i="7"/>
  <c r="H9" i="6"/>
  <c r="H8" i="6"/>
  <c r="D13" i="1"/>
  <c r="H10" i="1"/>
  <c r="H11" i="1"/>
  <c r="H9" i="1"/>
  <c r="H8" i="1"/>
  <c r="I9" i="5" l="1"/>
  <c r="D14" i="5"/>
  <c r="D16" i="5"/>
  <c r="D15" i="5"/>
  <c r="I8" i="5"/>
  <c r="D13" i="7"/>
  <c r="D17" i="7" s="1"/>
  <c r="H10" i="7"/>
  <c r="D13" i="6"/>
  <c r="D16" i="6" s="1"/>
  <c r="H10" i="6"/>
  <c r="L14" i="5" l="1"/>
  <c r="L15" i="5"/>
  <c r="I11" i="5"/>
  <c r="D13" i="5" s="1"/>
  <c r="D17" i="5" s="1"/>
  <c r="I10" i="5" l="1"/>
</calcChain>
</file>

<file path=xl/sharedStrings.xml><?xml version="1.0" encoding="utf-8"?>
<sst xmlns="http://schemas.openxmlformats.org/spreadsheetml/2006/main" count="105" uniqueCount="32">
  <si>
    <t>O2</t>
  </si>
  <si>
    <t>N2</t>
  </si>
  <si>
    <t>atmospheric</t>
  </si>
  <si>
    <t>composition</t>
  </si>
  <si>
    <t>ratio</t>
  </si>
  <si>
    <t>Carbon</t>
  </si>
  <si>
    <t xml:space="preserve">Hydrogen </t>
  </si>
  <si>
    <t>Oxygen</t>
  </si>
  <si>
    <t>X</t>
  </si>
  <si>
    <t>N1</t>
  </si>
  <si>
    <t>N3</t>
  </si>
  <si>
    <t>Chemical Composition</t>
  </si>
  <si>
    <t>m(Fuel)</t>
  </si>
  <si>
    <t>m(Air)</t>
  </si>
  <si>
    <t xml:space="preserve">Molecular Weight </t>
  </si>
  <si>
    <t>Air</t>
  </si>
  <si>
    <t>Stoich</t>
  </si>
  <si>
    <t>Hydrogen</t>
  </si>
  <si>
    <t>Nitrogen</t>
  </si>
  <si>
    <t>C8H18 + x (O2 + 3.76 N2) → n1 CO2 + n2 H2O + n3 N2</t>
  </si>
  <si>
    <t>AFR</t>
  </si>
  <si>
    <t>CH4O + x (O2 + 3.76 N2) → n1 CO2 + n2 H2O + n3 N2</t>
  </si>
  <si>
    <t>C2H6O + x (O2 + 3.76 N2) → n1 CO2 + n2 H2O + n3 N2</t>
  </si>
  <si>
    <t xml:space="preserve">Density </t>
  </si>
  <si>
    <t>m/v</t>
  </si>
  <si>
    <t>m</t>
  </si>
  <si>
    <t>E=789.37</t>
  </si>
  <si>
    <t>O=702.67</t>
  </si>
  <si>
    <t>Em(Fuel)</t>
  </si>
  <si>
    <t>Om(Fuel)</t>
  </si>
  <si>
    <t>2.956522(C2H6O)+ 0.210526(C8H18) + x (O2 + 3.76 N2) → n1 CO2 + n2 H2O + n3 N2</t>
  </si>
  <si>
    <t>less than 1 lean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</si>
</sst>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0" fontId="0" fillId="0" borderId="0" xfId="0" applyNumberFormat="1"/>
    <xf numFmtId="0" fontId="0" fillId="0" borderId="1" xfId="0" applyBorder="1"/>
    <xf numFmtId="0" fontId="0" fillId="0" borderId="2" xfId="0" applyBorder="1"/>
    <xf numFmtId="10" fontId="0" fillId="0" borderId="3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0" fontId="0" fillId="0" borderId="6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/>
    <xf numFmtId="0" fontId="0" fillId="0" borderId="13" xfId="0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C6FDE-BFB3-4F44-B8B4-91E9BC38E00C}">
  <dimension ref="C2:H20"/>
  <sheetViews>
    <sheetView workbookViewId="0">
      <selection activeCell="L32" sqref="L32"/>
    </sheetView>
  </sheetViews>
  <sheetFormatPr defaultRowHeight="15" x14ac:dyDescent="0.25"/>
  <cols>
    <col min="4" max="4" width="13.42578125" customWidth="1"/>
    <col min="7" max="7" width="16.85546875" bestFit="1" customWidth="1"/>
    <col min="8" max="8" width="13.42578125" customWidth="1"/>
  </cols>
  <sheetData>
    <row r="2" spans="3:8" ht="15.75" thickBot="1" x14ac:dyDescent="0.3"/>
    <row r="3" spans="3:8" x14ac:dyDescent="0.25">
      <c r="C3" s="3" t="s">
        <v>0</v>
      </c>
      <c r="D3" s="4">
        <v>0.21</v>
      </c>
      <c r="E3" s="5"/>
      <c r="F3" s="5">
        <v>20.95</v>
      </c>
      <c r="G3" s="5" t="s">
        <v>2</v>
      </c>
      <c r="H3" s="6" t="s">
        <v>4</v>
      </c>
    </row>
    <row r="4" spans="3:8" ht="15.75" thickBot="1" x14ac:dyDescent="0.3">
      <c r="C4" s="7" t="s">
        <v>1</v>
      </c>
      <c r="D4" s="8">
        <v>0.79</v>
      </c>
      <c r="E4" s="9"/>
      <c r="F4" s="9">
        <v>78.09</v>
      </c>
      <c r="G4" s="9" t="s">
        <v>3</v>
      </c>
      <c r="H4" s="10">
        <v>3.76</v>
      </c>
    </row>
    <row r="5" spans="3:8" ht="15.75" thickBot="1" x14ac:dyDescent="0.3"/>
    <row r="6" spans="3:8" ht="15.75" thickBot="1" x14ac:dyDescent="0.3">
      <c r="C6" s="14" t="s">
        <v>11</v>
      </c>
      <c r="D6" s="15"/>
      <c r="E6" s="15" t="s">
        <v>19</v>
      </c>
      <c r="F6" s="15"/>
      <c r="G6" s="15"/>
      <c r="H6" s="16"/>
    </row>
    <row r="7" spans="3:8" ht="15.75" thickBot="1" x14ac:dyDescent="0.3"/>
    <row r="8" spans="3:8" x14ac:dyDescent="0.25">
      <c r="C8" s="3" t="s">
        <v>5</v>
      </c>
      <c r="D8" s="6">
        <v>8</v>
      </c>
      <c r="G8" s="3" t="s">
        <v>9</v>
      </c>
      <c r="H8" s="6">
        <f>D8</f>
        <v>8</v>
      </c>
    </row>
    <row r="9" spans="3:8" x14ac:dyDescent="0.25">
      <c r="C9" s="12" t="s">
        <v>6</v>
      </c>
      <c r="D9" s="13">
        <v>18</v>
      </c>
      <c r="G9" s="12" t="s">
        <v>1</v>
      </c>
      <c r="H9" s="13">
        <f>D9/2</f>
        <v>9</v>
      </c>
    </row>
    <row r="10" spans="3:8" ht="15.75" thickBot="1" x14ac:dyDescent="0.3">
      <c r="C10" s="7" t="s">
        <v>7</v>
      </c>
      <c r="D10" s="10">
        <v>0</v>
      </c>
      <c r="G10" s="12" t="s">
        <v>10</v>
      </c>
      <c r="H10" s="13">
        <f>H11*3.76</f>
        <v>47</v>
      </c>
    </row>
    <row r="11" spans="3:8" ht="15.75" thickBot="1" x14ac:dyDescent="0.3">
      <c r="G11" s="7" t="s">
        <v>8</v>
      </c>
      <c r="H11" s="10">
        <f>((2*H8)+H9)/2</f>
        <v>12.5</v>
      </c>
    </row>
    <row r="12" spans="3:8" ht="15.75" thickBot="1" x14ac:dyDescent="0.3"/>
    <row r="13" spans="3:8" ht="15.75" thickBot="1" x14ac:dyDescent="0.3">
      <c r="C13" s="3" t="s">
        <v>13</v>
      </c>
      <c r="D13" s="6">
        <f>H11*((2*H17)+(3.76*2*H18))</f>
        <v>1716</v>
      </c>
      <c r="G13" s="14" t="s">
        <v>14</v>
      </c>
      <c r="H13" s="16"/>
    </row>
    <row r="14" spans="3:8" ht="15.75" thickBot="1" x14ac:dyDescent="0.3">
      <c r="C14" s="7" t="s">
        <v>12</v>
      </c>
      <c r="D14" s="10">
        <f>(D8*H15)+(D9*1)+(H17*D10)</f>
        <v>114</v>
      </c>
      <c r="G14" s="21" t="s">
        <v>15</v>
      </c>
      <c r="H14" s="22">
        <v>137.4</v>
      </c>
    </row>
    <row r="15" spans="3:8" ht="15.75" thickBot="1" x14ac:dyDescent="0.3">
      <c r="G15" s="12" t="s">
        <v>5</v>
      </c>
      <c r="H15" s="13">
        <v>12</v>
      </c>
    </row>
    <row r="16" spans="3:8" ht="15.75" thickBot="1" x14ac:dyDescent="0.3">
      <c r="C16" s="17" t="s">
        <v>16</v>
      </c>
      <c r="D16" s="18">
        <v>15</v>
      </c>
      <c r="G16" s="12" t="s">
        <v>17</v>
      </c>
      <c r="H16" s="13">
        <v>1</v>
      </c>
    </row>
    <row r="17" spans="3:8" x14ac:dyDescent="0.25">
      <c r="G17" s="12" t="s">
        <v>7</v>
      </c>
      <c r="H17" s="13">
        <v>16</v>
      </c>
    </row>
    <row r="18" spans="3:8" ht="15.75" thickBot="1" x14ac:dyDescent="0.3">
      <c r="G18" s="7" t="s">
        <v>18</v>
      </c>
      <c r="H18" s="10">
        <v>14</v>
      </c>
    </row>
    <row r="19" spans="3:8" ht="15.75" thickBot="1" x14ac:dyDescent="0.3"/>
    <row r="20" spans="3:8" ht="15.75" thickBot="1" x14ac:dyDescent="0.3">
      <c r="C20" s="17" t="s">
        <v>20</v>
      </c>
      <c r="D20" s="18">
        <f>D13/D14</f>
        <v>15.052631578947368</v>
      </c>
    </row>
  </sheetData>
  <mergeCells count="3">
    <mergeCell ref="C6:D6"/>
    <mergeCell ref="E6:H6"/>
    <mergeCell ref="G13:H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A8512-30B5-4FB9-8A78-9C1987BFCA9C}">
  <dimension ref="C2:H22"/>
  <sheetViews>
    <sheetView tabSelected="1" workbookViewId="0">
      <selection activeCell="G26" sqref="G26"/>
    </sheetView>
  </sheetViews>
  <sheetFormatPr defaultRowHeight="15" x14ac:dyDescent="0.25"/>
  <cols>
    <col min="4" max="4" width="13.42578125" customWidth="1"/>
    <col min="5" max="5" width="14.85546875" bestFit="1" customWidth="1"/>
    <col min="7" max="7" width="16.85546875" bestFit="1" customWidth="1"/>
    <col min="8" max="8" width="13.42578125" customWidth="1"/>
  </cols>
  <sheetData>
    <row r="2" spans="3:8" ht="15.75" thickBot="1" x14ac:dyDescent="0.3"/>
    <row r="3" spans="3:8" x14ac:dyDescent="0.25">
      <c r="C3" s="3" t="s">
        <v>0</v>
      </c>
      <c r="D3" s="4">
        <v>0.21</v>
      </c>
      <c r="E3" s="5"/>
      <c r="F3" s="5">
        <v>20.95</v>
      </c>
      <c r="G3" s="5" t="s">
        <v>2</v>
      </c>
      <c r="H3" s="6" t="s">
        <v>4</v>
      </c>
    </row>
    <row r="4" spans="3:8" ht="15.75" thickBot="1" x14ac:dyDescent="0.3">
      <c r="C4" s="7" t="s">
        <v>1</v>
      </c>
      <c r="D4" s="8">
        <v>0.79</v>
      </c>
      <c r="E4" s="9"/>
      <c r="F4" s="9">
        <v>78.09</v>
      </c>
      <c r="G4" s="9" t="s">
        <v>3</v>
      </c>
      <c r="H4" s="10">
        <v>3.76</v>
      </c>
    </row>
    <row r="5" spans="3:8" ht="15.75" thickBot="1" x14ac:dyDescent="0.3"/>
    <row r="6" spans="3:8" ht="15.75" thickBot="1" x14ac:dyDescent="0.3">
      <c r="C6" s="14" t="s">
        <v>11</v>
      </c>
      <c r="D6" s="15"/>
      <c r="E6" s="15" t="s">
        <v>21</v>
      </c>
      <c r="F6" s="15"/>
      <c r="G6" s="15"/>
      <c r="H6" s="16"/>
    </row>
    <row r="7" spans="3:8" ht="15.75" thickBot="1" x14ac:dyDescent="0.3"/>
    <row r="8" spans="3:8" x14ac:dyDescent="0.25">
      <c r="C8" s="3" t="s">
        <v>5</v>
      </c>
      <c r="D8" s="6">
        <v>1</v>
      </c>
      <c r="G8" s="3" t="s">
        <v>9</v>
      </c>
      <c r="H8" s="6">
        <f>D8</f>
        <v>1</v>
      </c>
    </row>
    <row r="9" spans="3:8" x14ac:dyDescent="0.25">
      <c r="C9" s="12" t="s">
        <v>6</v>
      </c>
      <c r="D9" s="13">
        <v>4</v>
      </c>
      <c r="G9" s="12" t="s">
        <v>1</v>
      </c>
      <c r="H9" s="13">
        <f>D9/2</f>
        <v>2</v>
      </c>
    </row>
    <row r="10" spans="3:8" ht="15.75" thickBot="1" x14ac:dyDescent="0.3">
      <c r="C10" s="7" t="s">
        <v>7</v>
      </c>
      <c r="D10" s="10">
        <v>1</v>
      </c>
      <c r="G10" s="12" t="s">
        <v>10</v>
      </c>
      <c r="H10" s="13">
        <f>H11*3.76</f>
        <v>5.64</v>
      </c>
    </row>
    <row r="11" spans="3:8" ht="15.75" thickBot="1" x14ac:dyDescent="0.3">
      <c r="G11" s="7" t="s">
        <v>8</v>
      </c>
      <c r="H11" s="10">
        <f>((2*H8)+H9-D10)/2</f>
        <v>1.5</v>
      </c>
    </row>
    <row r="12" spans="3:8" ht="15.75" thickBot="1" x14ac:dyDescent="0.3"/>
    <row r="13" spans="3:8" x14ac:dyDescent="0.25">
      <c r="C13" s="3" t="s">
        <v>13</v>
      </c>
      <c r="D13" s="6">
        <f>H11*((2*H17)+(3.76*2*H18))</f>
        <v>205.92000000000002</v>
      </c>
      <c r="G13" s="19" t="s">
        <v>14</v>
      </c>
      <c r="H13" s="20"/>
    </row>
    <row r="14" spans="3:8" ht="15.75" thickBot="1" x14ac:dyDescent="0.3">
      <c r="C14" s="7" t="s">
        <v>12</v>
      </c>
      <c r="D14" s="10">
        <f>(D8*H15)+(D9*1)+(H17*D10)</f>
        <v>32</v>
      </c>
      <c r="G14" s="12" t="s">
        <v>15</v>
      </c>
      <c r="H14" s="13">
        <v>137.4</v>
      </c>
    </row>
    <row r="15" spans="3:8" x14ac:dyDescent="0.25">
      <c r="G15" s="12" t="s">
        <v>5</v>
      </c>
      <c r="H15" s="13">
        <v>12</v>
      </c>
    </row>
    <row r="16" spans="3:8" ht="15.75" thickBot="1" x14ac:dyDescent="0.3">
      <c r="G16" s="12" t="s">
        <v>17</v>
      </c>
      <c r="H16" s="13">
        <v>1</v>
      </c>
    </row>
    <row r="17" spans="3:8" ht="15.75" thickBot="1" x14ac:dyDescent="0.3">
      <c r="C17" s="17" t="s">
        <v>20</v>
      </c>
      <c r="D17" s="18">
        <f>D13/D14</f>
        <v>6.4350000000000005</v>
      </c>
      <c r="G17" s="12" t="s">
        <v>7</v>
      </c>
      <c r="H17" s="13">
        <v>16</v>
      </c>
    </row>
    <row r="18" spans="3:8" ht="15.75" thickBot="1" x14ac:dyDescent="0.3">
      <c r="G18" s="7" t="s">
        <v>18</v>
      </c>
      <c r="H18" s="10">
        <v>14</v>
      </c>
    </row>
    <row r="22" spans="3:8" x14ac:dyDescent="0.25">
      <c r="D22">
        <f>D17/6.5</f>
        <v>0.9900000000000001</v>
      </c>
      <c r="E22" t="s">
        <v>31</v>
      </c>
    </row>
  </sheetData>
  <mergeCells count="3">
    <mergeCell ref="C6:D6"/>
    <mergeCell ref="E6:H6"/>
    <mergeCell ref="G13:H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5DEEF-332C-487F-9C30-E9B32B5B2B45}">
  <dimension ref="C2:H25"/>
  <sheetViews>
    <sheetView workbookViewId="0">
      <selection activeCell="C16" sqref="C16:D16"/>
    </sheetView>
  </sheetViews>
  <sheetFormatPr defaultRowHeight="15" x14ac:dyDescent="0.25"/>
  <cols>
    <col min="4" max="4" width="13.42578125" customWidth="1"/>
    <col min="7" max="7" width="16.85546875" bestFit="1" customWidth="1"/>
    <col min="8" max="8" width="13.42578125" customWidth="1"/>
  </cols>
  <sheetData>
    <row r="2" spans="3:8" ht="15.75" thickBot="1" x14ac:dyDescent="0.3"/>
    <row r="3" spans="3:8" x14ac:dyDescent="0.25">
      <c r="C3" s="3" t="s">
        <v>0</v>
      </c>
      <c r="D3" s="4">
        <v>0.21</v>
      </c>
      <c r="E3" s="5"/>
      <c r="F3" s="5">
        <v>20.95</v>
      </c>
      <c r="G3" s="5" t="s">
        <v>2</v>
      </c>
      <c r="H3" s="6" t="s">
        <v>4</v>
      </c>
    </row>
    <row r="4" spans="3:8" ht="15.75" thickBot="1" x14ac:dyDescent="0.3">
      <c r="C4" s="7" t="s">
        <v>1</v>
      </c>
      <c r="D4" s="8">
        <v>0.79</v>
      </c>
      <c r="E4" s="9"/>
      <c r="F4" s="9">
        <v>78.09</v>
      </c>
      <c r="G4" s="9" t="s">
        <v>3</v>
      </c>
      <c r="H4" s="10">
        <v>3.76</v>
      </c>
    </row>
    <row r="5" spans="3:8" ht="15.75" thickBot="1" x14ac:dyDescent="0.3"/>
    <row r="6" spans="3:8" ht="15.75" thickBot="1" x14ac:dyDescent="0.3">
      <c r="C6" s="14" t="s">
        <v>11</v>
      </c>
      <c r="D6" s="15"/>
      <c r="E6" s="15" t="s">
        <v>22</v>
      </c>
      <c r="F6" s="15"/>
      <c r="G6" s="15"/>
      <c r="H6" s="16"/>
    </row>
    <row r="7" spans="3:8" ht="15.75" thickBot="1" x14ac:dyDescent="0.3"/>
    <row r="8" spans="3:8" x14ac:dyDescent="0.25">
      <c r="C8" s="3" t="s">
        <v>5</v>
      </c>
      <c r="D8" s="6">
        <v>2</v>
      </c>
      <c r="G8" s="3" t="s">
        <v>9</v>
      </c>
      <c r="H8" s="6">
        <f>D8</f>
        <v>2</v>
      </c>
    </row>
    <row r="9" spans="3:8" x14ac:dyDescent="0.25">
      <c r="C9" s="12" t="s">
        <v>6</v>
      </c>
      <c r="D9" s="13">
        <v>6</v>
      </c>
      <c r="G9" s="12" t="s">
        <v>1</v>
      </c>
      <c r="H9" s="13">
        <f>D9/2</f>
        <v>3</v>
      </c>
    </row>
    <row r="10" spans="3:8" ht="15.75" thickBot="1" x14ac:dyDescent="0.3">
      <c r="C10" s="7" t="s">
        <v>7</v>
      </c>
      <c r="D10" s="10">
        <v>1</v>
      </c>
      <c r="G10" s="12" t="s">
        <v>10</v>
      </c>
      <c r="H10" s="13">
        <f>H11*3.76</f>
        <v>11.28</v>
      </c>
    </row>
    <row r="11" spans="3:8" ht="15.75" thickBot="1" x14ac:dyDescent="0.3">
      <c r="G11" s="7" t="s">
        <v>8</v>
      </c>
      <c r="H11" s="10">
        <f>((2*H8)+H9-D10)/2</f>
        <v>3</v>
      </c>
    </row>
    <row r="12" spans="3:8" ht="15.75" thickBot="1" x14ac:dyDescent="0.3"/>
    <row r="13" spans="3:8" ht="15.75" thickBot="1" x14ac:dyDescent="0.3">
      <c r="C13" s="3" t="s">
        <v>13</v>
      </c>
      <c r="D13" s="6">
        <f>H11*((2*H17)+(3.76*2*H18))</f>
        <v>411.84000000000003</v>
      </c>
      <c r="G13" s="14" t="s">
        <v>14</v>
      </c>
      <c r="H13" s="16"/>
    </row>
    <row r="14" spans="3:8" ht="15.75" thickBot="1" x14ac:dyDescent="0.3">
      <c r="C14" s="7" t="s">
        <v>12</v>
      </c>
      <c r="D14" s="10">
        <f>(D8*H15)+(D9*1)+(H17*D10)</f>
        <v>46</v>
      </c>
      <c r="G14" s="21" t="s">
        <v>15</v>
      </c>
      <c r="H14" s="22">
        <v>137.4</v>
      </c>
    </row>
    <row r="15" spans="3:8" ht="15.75" thickBot="1" x14ac:dyDescent="0.3">
      <c r="G15" s="12" t="s">
        <v>5</v>
      </c>
      <c r="H15" s="13">
        <v>12</v>
      </c>
    </row>
    <row r="16" spans="3:8" ht="15.75" thickBot="1" x14ac:dyDescent="0.3">
      <c r="C16" s="17" t="s">
        <v>20</v>
      </c>
      <c r="D16" s="18">
        <f>D13/D14</f>
        <v>8.9530434782608701</v>
      </c>
      <c r="G16" s="12" t="s">
        <v>17</v>
      </c>
      <c r="H16" s="13">
        <v>1</v>
      </c>
    </row>
    <row r="17" spans="4:8" x14ac:dyDescent="0.25">
      <c r="G17" s="12" t="s">
        <v>7</v>
      </c>
      <c r="H17" s="13">
        <v>16</v>
      </c>
    </row>
    <row r="18" spans="4:8" ht="15.75" thickBot="1" x14ac:dyDescent="0.3">
      <c r="G18" s="7" t="s">
        <v>18</v>
      </c>
      <c r="H18" s="10">
        <v>14</v>
      </c>
    </row>
    <row r="25" spans="4:8" x14ac:dyDescent="0.25">
      <c r="D25">
        <f>D16/9</f>
        <v>0.99478260869565227</v>
      </c>
    </row>
  </sheetData>
  <mergeCells count="3">
    <mergeCell ref="C6:D6"/>
    <mergeCell ref="E6:H6"/>
    <mergeCell ref="G13:H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70540-828D-4C0F-A4C8-D8E7D79292CF}">
  <dimension ref="B2:R25"/>
  <sheetViews>
    <sheetView workbookViewId="0">
      <selection activeCell="C13" sqref="C13:D17"/>
    </sheetView>
  </sheetViews>
  <sheetFormatPr defaultRowHeight="15" x14ac:dyDescent="0.25"/>
  <cols>
    <col min="4" max="4" width="13.42578125" customWidth="1"/>
    <col min="7" max="7" width="16.85546875" bestFit="1" customWidth="1"/>
    <col min="8" max="8" width="39.28515625" customWidth="1"/>
  </cols>
  <sheetData>
    <row r="2" spans="2:18" ht="15.75" thickBot="1" x14ac:dyDescent="0.3"/>
    <row r="3" spans="2:18" x14ac:dyDescent="0.25">
      <c r="C3" s="3" t="s">
        <v>0</v>
      </c>
      <c r="D3" s="4">
        <v>0.21</v>
      </c>
      <c r="E3" s="5"/>
      <c r="F3" s="5">
        <v>20.95</v>
      </c>
      <c r="G3" s="5" t="s">
        <v>2</v>
      </c>
      <c r="H3" s="6" t="s">
        <v>4</v>
      </c>
      <c r="M3" t="s">
        <v>23</v>
      </c>
      <c r="N3" t="s">
        <v>24</v>
      </c>
      <c r="R3">
        <v>789.37</v>
      </c>
    </row>
    <row r="4" spans="2:18" ht="15.75" thickBot="1" x14ac:dyDescent="0.3">
      <c r="C4" s="7" t="s">
        <v>1</v>
      </c>
      <c r="D4" s="8">
        <v>0.79</v>
      </c>
      <c r="E4" s="9"/>
      <c r="F4" s="9">
        <v>78.09</v>
      </c>
      <c r="G4" s="9" t="s">
        <v>3</v>
      </c>
      <c r="H4" s="10">
        <v>3.76</v>
      </c>
      <c r="M4" t="s">
        <v>26</v>
      </c>
      <c r="R4">
        <v>702.67</v>
      </c>
    </row>
    <row r="5" spans="2:18" ht="15.75" thickBot="1" x14ac:dyDescent="0.3">
      <c r="M5" t="s">
        <v>27</v>
      </c>
      <c r="N5" t="s">
        <v>25</v>
      </c>
      <c r="O5">
        <f>(Ethanol!D14+Octane!D14)</f>
        <v>160</v>
      </c>
    </row>
    <row r="6" spans="2:18" ht="15.75" thickBot="1" x14ac:dyDescent="0.3">
      <c r="C6" s="14" t="s">
        <v>11</v>
      </c>
      <c r="D6" s="15"/>
      <c r="E6" s="15" t="s">
        <v>30</v>
      </c>
      <c r="F6" s="15"/>
      <c r="G6" s="15"/>
      <c r="H6" s="16"/>
    </row>
    <row r="7" spans="2:18" ht="15.75" thickBot="1" x14ac:dyDescent="0.3">
      <c r="N7">
        <f>0.85*O5/(R3+R4)</f>
        <v>9.1150371303718405E-2</v>
      </c>
      <c r="Q7">
        <f>160/(R3+R4)</f>
        <v>0.10723573094555106</v>
      </c>
    </row>
    <row r="8" spans="2:18" x14ac:dyDescent="0.25">
      <c r="B8" s="3" t="s">
        <v>5</v>
      </c>
      <c r="C8" s="6">
        <f>N20*2</f>
        <v>5.9130434782608692</v>
      </c>
      <c r="E8" s="3" t="s">
        <v>5</v>
      </c>
      <c r="F8" s="5">
        <f>8*N21</f>
        <v>1.6842105263157894</v>
      </c>
      <c r="G8" s="5"/>
      <c r="H8" s="5" t="s">
        <v>9</v>
      </c>
      <c r="I8" s="6">
        <f>C8+F8</f>
        <v>7.5972540045766586</v>
      </c>
      <c r="N8">
        <f>0.15*O5/(R3+R4)</f>
        <v>1.608535964183266E-2</v>
      </c>
    </row>
    <row r="9" spans="2:18" x14ac:dyDescent="0.25">
      <c r="B9" s="12" t="s">
        <v>6</v>
      </c>
      <c r="C9" s="13">
        <f>6*N20</f>
        <v>17.739130434782609</v>
      </c>
      <c r="E9" s="12" t="s">
        <v>6</v>
      </c>
      <c r="F9" s="2">
        <f>18*N21</f>
        <v>3.7894736842105261</v>
      </c>
      <c r="G9" s="2"/>
      <c r="H9" s="2" t="s">
        <v>1</v>
      </c>
      <c r="I9" s="13">
        <f>(C9+F9)/2</f>
        <v>10.764302059496568</v>
      </c>
    </row>
    <row r="10" spans="2:18" ht="15.75" thickBot="1" x14ac:dyDescent="0.3">
      <c r="B10" s="7" t="s">
        <v>7</v>
      </c>
      <c r="C10" s="10">
        <f>1*N20</f>
        <v>2.9565217391304346</v>
      </c>
      <c r="E10" s="12" t="s">
        <v>7</v>
      </c>
      <c r="F10" s="2">
        <v>0</v>
      </c>
      <c r="G10" s="2"/>
      <c r="H10" s="2" t="s">
        <v>10</v>
      </c>
      <c r="I10" s="13">
        <f>I11*3.76</f>
        <v>43.244302059496569</v>
      </c>
    </row>
    <row r="11" spans="2:18" ht="15.75" thickBot="1" x14ac:dyDescent="0.3">
      <c r="E11" s="11"/>
      <c r="F11" s="23"/>
      <c r="G11" s="23"/>
      <c r="H11" s="9" t="s">
        <v>8</v>
      </c>
      <c r="I11" s="10">
        <f>((2*I8)+I9-C10)/2</f>
        <v>11.501144164759726</v>
      </c>
    </row>
    <row r="12" spans="2:18" ht="15.75" thickBot="1" x14ac:dyDescent="0.3"/>
    <row r="13" spans="2:18" ht="15.75" thickBot="1" x14ac:dyDescent="0.3">
      <c r="C13" s="3" t="s">
        <v>13</v>
      </c>
      <c r="D13" s="6">
        <f>I11*((2*H17)+(3.76*2*H18))</f>
        <v>1578.8770709382152</v>
      </c>
      <c r="G13" s="14" t="s">
        <v>14</v>
      </c>
      <c r="H13" s="16"/>
      <c r="L13" s="1"/>
    </row>
    <row r="14" spans="2:18" x14ac:dyDescent="0.25">
      <c r="C14" s="12" t="s">
        <v>28</v>
      </c>
      <c r="D14" s="13">
        <f>(($C$8*$H$15)+($C$9*$H$16)+($H$17*$C$10))</f>
        <v>136</v>
      </c>
      <c r="G14" s="21" t="s">
        <v>15</v>
      </c>
      <c r="H14" s="22">
        <v>137.4</v>
      </c>
      <c r="L14" s="1">
        <f>D14/D16</f>
        <v>0.85</v>
      </c>
    </row>
    <row r="15" spans="2:18" x14ac:dyDescent="0.25">
      <c r="C15" s="12" t="s">
        <v>29</v>
      </c>
      <c r="D15" s="13">
        <f>(($F$8*$H$15)+($F$9*$H$16))</f>
        <v>24</v>
      </c>
      <c r="G15" s="12" t="s">
        <v>5</v>
      </c>
      <c r="H15" s="13">
        <v>12</v>
      </c>
      <c r="L15" s="1">
        <f>D15/D16</f>
        <v>0.15</v>
      </c>
      <c r="N15">
        <f>114/24</f>
        <v>4.75</v>
      </c>
    </row>
    <row r="16" spans="2:18" x14ac:dyDescent="0.25">
      <c r="C16" s="12" t="s">
        <v>12</v>
      </c>
      <c r="D16" s="13">
        <f>(($C$8*$H$15)+($C$9*$H$16)+($H$17*$C$10))+(($F$8*$H$15)+($F$9*$H$16))</f>
        <v>160</v>
      </c>
      <c r="G16" s="12" t="s">
        <v>17</v>
      </c>
      <c r="H16" s="13">
        <v>1</v>
      </c>
      <c r="N16">
        <f>4.75/2</f>
        <v>2.375</v>
      </c>
    </row>
    <row r="17" spans="3:14" ht="15.75" thickBot="1" x14ac:dyDescent="0.3">
      <c r="C17" s="7" t="s">
        <v>20</v>
      </c>
      <c r="D17" s="10">
        <f>D13/D16</f>
        <v>9.8679816933638449</v>
      </c>
      <c r="G17" s="12" t="s">
        <v>7</v>
      </c>
      <c r="H17" s="13">
        <v>16</v>
      </c>
    </row>
    <row r="18" spans="3:14" ht="15.75" thickBot="1" x14ac:dyDescent="0.3">
      <c r="G18" s="7" t="s">
        <v>18</v>
      </c>
      <c r="H18" s="10">
        <v>14</v>
      </c>
      <c r="L18">
        <f>0.15*160</f>
        <v>24</v>
      </c>
    </row>
    <row r="20" spans="3:14" x14ac:dyDescent="0.25">
      <c r="K20">
        <f>160*0.85</f>
        <v>136</v>
      </c>
      <c r="N20">
        <f>136/46</f>
        <v>2.9565217391304346</v>
      </c>
    </row>
    <row r="21" spans="3:14" x14ac:dyDescent="0.25">
      <c r="K21">
        <f>160*0.15</f>
        <v>24</v>
      </c>
      <c r="N21">
        <f>24/114</f>
        <v>0.21052631578947367</v>
      </c>
    </row>
    <row r="25" spans="3:14" x14ac:dyDescent="0.25">
      <c r="C25" s="2" t="s">
        <v>16</v>
      </c>
      <c r="D25" s="2">
        <v>15</v>
      </c>
    </row>
  </sheetData>
  <mergeCells count="3">
    <mergeCell ref="C6:D6"/>
    <mergeCell ref="E6:H6"/>
    <mergeCell ref="G13:H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Octane</vt:lpstr>
      <vt:lpstr>Methanol</vt:lpstr>
      <vt:lpstr>Ethanol</vt:lpstr>
      <vt:lpstr>E85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 Surridge (2304028)</dc:creator>
  <cp:lastModifiedBy>Cody Surridge (2304028)</cp:lastModifiedBy>
  <dcterms:created xsi:type="dcterms:W3CDTF">2026-01-08T13:16:00Z</dcterms:created>
  <dcterms:modified xsi:type="dcterms:W3CDTF">2026-01-11T19:10:38Z</dcterms:modified>
</cp:coreProperties>
</file>