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1bbs\OneDrive\Desktop\"/>
    </mc:Choice>
  </mc:AlternateContent>
  <xr:revisionPtr revIDLastSave="2318" documentId="8_{FE7600F2-FE73-426B-B74D-9482E820D2AC}" xr6:coauthVersionLast="44" xr6:coauthVersionMax="44" xr10:uidLastSave="{77790573-985D-448E-949B-0A2D73467864}"/>
  <bookViews>
    <workbookView xWindow="-108" yWindow="-108" windowWidth="23256" windowHeight="12576" activeTab="1" xr2:uid="{5EE68A0B-68C4-4C34-BFDC-27D692B15D2D}"/>
  </bookViews>
  <sheets>
    <sheet name="No EGR" sheetId="1" r:id="rId1"/>
    <sheet name="With EGR" sheetId="3" r:id="rId2"/>
    <sheet name="Reference tabl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29" i="1" l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28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6" i="1"/>
  <c r="D35" i="3" l="1"/>
  <c r="D36" i="3" s="1"/>
  <c r="W20" i="3"/>
  <c r="K11" i="3"/>
  <c r="I20" i="3"/>
  <c r="K7" i="1"/>
  <c r="S40" i="2"/>
  <c r="K4" i="3"/>
  <c r="K5" i="3"/>
  <c r="K6" i="3"/>
  <c r="K7" i="3"/>
  <c r="K8" i="3"/>
  <c r="K9" i="3"/>
  <c r="K10" i="3"/>
  <c r="K12" i="3"/>
  <c r="K13" i="3"/>
  <c r="C35" i="3"/>
  <c r="L3" i="3" s="1"/>
  <c r="J3" i="3"/>
  <c r="K3" i="3" s="1"/>
  <c r="H4" i="3"/>
  <c r="I3" i="3"/>
  <c r="H3" i="3"/>
  <c r="Y40" i="2"/>
  <c r="X40" i="2"/>
  <c r="T40" i="2"/>
  <c r="U7" i="1"/>
  <c r="E16" i="3"/>
  <c r="G16" i="3" s="1"/>
  <c r="I16" i="3" s="1"/>
  <c r="K16" i="3" s="1"/>
  <c r="M16" i="3" s="1"/>
  <c r="O16" i="3" s="1"/>
  <c r="Q16" i="3" s="1"/>
  <c r="S16" i="3" s="1"/>
  <c r="U16" i="3" s="1"/>
  <c r="W16" i="3" s="1"/>
  <c r="B20" i="3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A20" i="3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E5" i="3"/>
  <c r="H5" i="3" s="1"/>
  <c r="D5" i="3"/>
  <c r="I5" i="3" s="1"/>
  <c r="B5" i="3"/>
  <c r="B6" i="3" s="1"/>
  <c r="B7" i="3" s="1"/>
  <c r="B8" i="3" s="1"/>
  <c r="B9" i="3" s="1"/>
  <c r="B10" i="3" s="1"/>
  <c r="B11" i="3" s="1"/>
  <c r="B12" i="3" s="1"/>
  <c r="B13" i="3" s="1"/>
  <c r="E4" i="3"/>
  <c r="D4" i="3"/>
  <c r="I4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B4" i="3"/>
  <c r="A4" i="3"/>
  <c r="A5" i="3" s="1"/>
  <c r="A6" i="3" s="1"/>
  <c r="A7" i="3" s="1"/>
  <c r="A8" i="3" s="1"/>
  <c r="A9" i="3" s="1"/>
  <c r="A10" i="3" s="1"/>
  <c r="A11" i="3" s="1"/>
  <c r="A12" i="3" s="1"/>
  <c r="A13" i="3" s="1"/>
  <c r="H19" i="3" l="1"/>
  <c r="K20" i="3"/>
  <c r="M20" i="3"/>
  <c r="M21" i="3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E6" i="3"/>
  <c r="O20" i="3"/>
  <c r="O21" i="3" s="1"/>
  <c r="O22" i="3" s="1"/>
  <c r="O23" i="3" s="1"/>
  <c r="O24" i="3" s="1"/>
  <c r="O25" i="3" s="1"/>
  <c r="O26" i="3" s="1"/>
  <c r="O27" i="3" s="1"/>
  <c r="O28" i="3" s="1"/>
  <c r="O29" i="3" s="1"/>
  <c r="O30" i="3" s="1"/>
  <c r="O31" i="3" s="1"/>
  <c r="O32" i="3" s="1"/>
  <c r="O33" i="3" s="1"/>
  <c r="O34" i="3" s="1"/>
  <c r="K21" i="3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K33" i="3" s="1"/>
  <c r="K34" i="3" s="1"/>
  <c r="D6" i="3"/>
  <c r="C20" i="3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Q20" i="3"/>
  <c r="Q21" i="3" s="1"/>
  <c r="Q22" i="3" s="1"/>
  <c r="Q23" i="3" s="1"/>
  <c r="Q24" i="3" s="1"/>
  <c r="Q25" i="3" s="1"/>
  <c r="Q26" i="3" s="1"/>
  <c r="Q27" i="3" s="1"/>
  <c r="Q28" i="3" s="1"/>
  <c r="Q29" i="3" s="1"/>
  <c r="Q30" i="3" s="1"/>
  <c r="Q31" i="3" s="1"/>
  <c r="Q32" i="3" s="1"/>
  <c r="Q33" i="3" s="1"/>
  <c r="Q34" i="3" s="1"/>
  <c r="I22" i="3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21" i="3"/>
  <c r="F19" i="3"/>
  <c r="E20" i="3"/>
  <c r="F20" i="3" s="1"/>
  <c r="S20" i="3"/>
  <c r="S21" i="3" s="1"/>
  <c r="S22" i="3" s="1"/>
  <c r="S23" i="3" s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W21" i="3"/>
  <c r="W22" i="3" s="1"/>
  <c r="W23" i="3" s="1"/>
  <c r="W24" i="3" s="1"/>
  <c r="W25" i="3" s="1"/>
  <c r="W26" i="3" s="1"/>
  <c r="W27" i="3" s="1"/>
  <c r="W28" i="3" s="1"/>
  <c r="W29" i="3" s="1"/>
  <c r="W30" i="3" s="1"/>
  <c r="W31" i="3" s="1"/>
  <c r="W32" i="3" s="1"/>
  <c r="W33" i="3" s="1"/>
  <c r="W34" i="3" s="1"/>
  <c r="G21" i="3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H34" i="3" s="1"/>
  <c r="G20" i="3"/>
  <c r="H20" i="3" s="1"/>
  <c r="U20" i="3"/>
  <c r="U21" i="3" s="1"/>
  <c r="U22" i="3" s="1"/>
  <c r="U23" i="3" s="1"/>
  <c r="U24" i="3" s="1"/>
  <c r="U25" i="3" s="1"/>
  <c r="U26" i="3" s="1"/>
  <c r="U27" i="3" s="1"/>
  <c r="U28" i="3" s="1"/>
  <c r="U29" i="3" s="1"/>
  <c r="U30" i="3" s="1"/>
  <c r="U31" i="3" s="1"/>
  <c r="U32" i="3" s="1"/>
  <c r="U33" i="3" s="1"/>
  <c r="U34" i="3" s="1"/>
  <c r="Q49" i="2"/>
  <c r="Q50" i="2"/>
  <c r="Q51" i="2"/>
  <c r="Q52" i="2"/>
  <c r="Q53" i="2"/>
  <c r="Q54" i="2"/>
  <c r="Q55" i="2"/>
  <c r="Q56" i="2"/>
  <c r="Q57" i="2"/>
  <c r="Q58" i="2"/>
  <c r="Q59" i="2"/>
  <c r="Q60" i="2"/>
  <c r="Q48" i="2"/>
  <c r="J48" i="2"/>
  <c r="X41" i="2"/>
  <c r="X42" i="2"/>
  <c r="X43" i="2"/>
  <c r="X44" i="2"/>
  <c r="X45" i="2"/>
  <c r="X46" i="2"/>
  <c r="X47" i="2"/>
  <c r="X48" i="2"/>
  <c r="X49" i="2"/>
  <c r="X50" i="2"/>
  <c r="X51" i="2"/>
  <c r="X52" i="2"/>
  <c r="U40" i="2"/>
  <c r="O49" i="2"/>
  <c r="O50" i="2" s="1"/>
  <c r="N49" i="2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M50" i="2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49" i="2"/>
  <c r="H57" i="2"/>
  <c r="H58" i="2" s="1"/>
  <c r="H59" i="2" s="1"/>
  <c r="H60" i="2" s="1"/>
  <c r="H56" i="2"/>
  <c r="H50" i="2"/>
  <c r="H51" i="2" s="1"/>
  <c r="H52" i="2" s="1"/>
  <c r="H53" i="2" s="1"/>
  <c r="H54" i="2" s="1"/>
  <c r="H55" i="2" s="1"/>
  <c r="H49" i="2"/>
  <c r="H48" i="2"/>
  <c r="G49" i="2"/>
  <c r="G50" i="2"/>
  <c r="G51" i="2"/>
  <c r="G52" i="2"/>
  <c r="G53" i="2"/>
  <c r="G54" i="2"/>
  <c r="G55" i="2"/>
  <c r="G56" i="2"/>
  <c r="G57" i="2"/>
  <c r="G58" i="2"/>
  <c r="G59" i="2"/>
  <c r="G60" i="2"/>
  <c r="G48" i="2"/>
  <c r="F49" i="2"/>
  <c r="F50" i="2"/>
  <c r="F51" i="2"/>
  <c r="F52" i="2"/>
  <c r="F53" i="2"/>
  <c r="F54" i="2"/>
  <c r="F55" i="2"/>
  <c r="F56" i="2"/>
  <c r="F57" i="2"/>
  <c r="F58" i="2"/>
  <c r="F59" i="2"/>
  <c r="F60" i="2"/>
  <c r="F48" i="2"/>
  <c r="L49" i="2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E49" i="2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S41" i="2"/>
  <c r="T41" i="2" s="1"/>
  <c r="W41" i="2"/>
  <c r="W42" i="2"/>
  <c r="W48" i="2"/>
  <c r="W49" i="2"/>
  <c r="W50" i="2"/>
  <c r="W51" i="2"/>
  <c r="W40" i="2"/>
  <c r="V41" i="2"/>
  <c r="V42" i="2" s="1"/>
  <c r="V43" i="2" s="1"/>
  <c r="V44" i="2" s="1"/>
  <c r="V45" i="2" s="1"/>
  <c r="V46" i="2" s="1"/>
  <c r="V47" i="2" s="1"/>
  <c r="V48" i="2" s="1"/>
  <c r="V49" i="2" s="1"/>
  <c r="V50" i="2" s="1"/>
  <c r="V51" i="2" s="1"/>
  <c r="V52" i="2" s="1"/>
  <c r="W52" i="2" s="1"/>
  <c r="R41" i="2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S52" i="2" s="1"/>
  <c r="T52" i="2" s="1"/>
  <c r="X3" i="2"/>
  <c r="X4" i="2"/>
  <c r="B51" i="2"/>
  <c r="Q25" i="2"/>
  <c r="Q26" i="2" s="1"/>
  <c r="Q27" i="2" s="1"/>
  <c r="Q28" i="2" s="1"/>
  <c r="Q29" i="2" s="1"/>
  <c r="Q30" i="2" s="1"/>
  <c r="Q31" i="2" s="1"/>
  <c r="Q32" i="2" s="1"/>
  <c r="Q33" i="2" s="1"/>
  <c r="Q34" i="2" s="1"/>
  <c r="Q35" i="2" s="1"/>
  <c r="Q36" i="2" s="1"/>
  <c r="Q20" i="2"/>
  <c r="Q17" i="2"/>
  <c r="Q18" i="2"/>
  <c r="Q19" i="2" s="1"/>
  <c r="Q16" i="2"/>
  <c r="Q10" i="2"/>
  <c r="Q11" i="2" s="1"/>
  <c r="Q12" i="2" s="1"/>
  <c r="Q13" i="2" s="1"/>
  <c r="Q14" i="2" s="1"/>
  <c r="Q15" i="2" s="1"/>
  <c r="Q9" i="2"/>
  <c r="M25" i="2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5" i="2"/>
  <c r="M6" i="2" s="1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B29" i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A29" i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E25" i="1"/>
  <c r="I5" i="2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5" i="2"/>
  <c r="H23" i="3" l="1"/>
  <c r="H27" i="3"/>
  <c r="H25" i="3"/>
  <c r="H30" i="3"/>
  <c r="I6" i="3"/>
  <c r="D7" i="3"/>
  <c r="H32" i="3"/>
  <c r="H22" i="3"/>
  <c r="H24" i="3"/>
  <c r="H29" i="3"/>
  <c r="H26" i="3"/>
  <c r="H21" i="3"/>
  <c r="G35" i="3" s="1"/>
  <c r="L5" i="3" s="1"/>
  <c r="E21" i="3"/>
  <c r="H33" i="3"/>
  <c r="H28" i="3"/>
  <c r="E7" i="3"/>
  <c r="H6" i="3"/>
  <c r="H31" i="3"/>
  <c r="M29" i="1"/>
  <c r="M30" i="1" s="1"/>
  <c r="Y29" i="1"/>
  <c r="C29" i="1"/>
  <c r="Q7" i="1"/>
  <c r="Q8" i="1" s="1"/>
  <c r="S7" i="1"/>
  <c r="E29" i="1"/>
  <c r="E30" i="1" s="1"/>
  <c r="U52" i="2"/>
  <c r="J60" i="2"/>
  <c r="S50" i="2"/>
  <c r="S49" i="2"/>
  <c r="Y7" i="1"/>
  <c r="Y8" i="1" s="1"/>
  <c r="S42" i="2"/>
  <c r="J49" i="2"/>
  <c r="O51" i="2"/>
  <c r="Y42" i="2"/>
  <c r="Y41" i="2"/>
  <c r="O29" i="1"/>
  <c r="O30" i="1" s="1"/>
  <c r="AA29" i="1"/>
  <c r="AA30" i="1" s="1"/>
  <c r="E7" i="1"/>
  <c r="E8" i="1" s="1"/>
  <c r="E9" i="1" s="1"/>
  <c r="M7" i="1"/>
  <c r="U41" i="2"/>
  <c r="I29" i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S8" i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K29" i="1"/>
  <c r="K30" i="1" s="1"/>
  <c r="Y30" i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W7" i="1"/>
  <c r="T42" i="2"/>
  <c r="Q29" i="1"/>
  <c r="AA7" i="1"/>
  <c r="AA8" i="1" s="1"/>
  <c r="S29" i="1"/>
  <c r="K8" i="1"/>
  <c r="K9" i="1" s="1"/>
  <c r="C7" i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S45" i="2"/>
  <c r="J53" i="2" s="1"/>
  <c r="Q9" i="1"/>
  <c r="M31" i="1"/>
  <c r="Y9" i="1"/>
  <c r="G29" i="1"/>
  <c r="U29" i="1"/>
  <c r="G7" i="1"/>
  <c r="M8" i="1"/>
  <c r="C30" i="1"/>
  <c r="W29" i="1"/>
  <c r="Q30" i="1"/>
  <c r="I7" i="1"/>
  <c r="O7" i="1"/>
  <c r="W47" i="2"/>
  <c r="W45" i="2"/>
  <c r="W44" i="2"/>
  <c r="W43" i="2"/>
  <c r="S48" i="2"/>
  <c r="J56" i="2" s="1"/>
  <c r="S47" i="2"/>
  <c r="J55" i="2" s="1"/>
  <c r="S46" i="2"/>
  <c r="J54" i="2" s="1"/>
  <c r="S44" i="2"/>
  <c r="J52" i="2" s="1"/>
  <c r="W46" i="2"/>
  <c r="S51" i="2"/>
  <c r="J59" i="2" s="1"/>
  <c r="S43" i="2"/>
  <c r="J51" i="2" s="1"/>
  <c r="I25" i="2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E25" i="2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A25" i="2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J26" i="3" l="1"/>
  <c r="J34" i="3"/>
  <c r="J20" i="3"/>
  <c r="J28" i="3"/>
  <c r="J21" i="3"/>
  <c r="J29" i="3"/>
  <c r="J22" i="3"/>
  <c r="J30" i="3"/>
  <c r="J25" i="3"/>
  <c r="J23" i="3"/>
  <c r="J31" i="3"/>
  <c r="J33" i="3"/>
  <c r="J19" i="3"/>
  <c r="J24" i="3"/>
  <c r="J32" i="3"/>
  <c r="J27" i="3"/>
  <c r="E8" i="3"/>
  <c r="H7" i="3"/>
  <c r="H35" i="3"/>
  <c r="H36" i="3" s="1"/>
  <c r="E22" i="3"/>
  <c r="F21" i="3"/>
  <c r="D8" i="3"/>
  <c r="I7" i="3"/>
  <c r="E10" i="1"/>
  <c r="E11" i="1" s="1"/>
  <c r="E12" i="1" s="1"/>
  <c r="U42" i="2"/>
  <c r="J50" i="2"/>
  <c r="T50" i="2"/>
  <c r="J58" i="2"/>
  <c r="U50" i="2"/>
  <c r="J57" i="2"/>
  <c r="U49" i="2"/>
  <c r="T49" i="2"/>
  <c r="O52" i="2"/>
  <c r="Y43" i="2"/>
  <c r="D22" i="1"/>
  <c r="T46" i="2"/>
  <c r="U46" i="2"/>
  <c r="W8" i="1"/>
  <c r="T47" i="2"/>
  <c r="U47" i="2"/>
  <c r="T48" i="2"/>
  <c r="U48" i="2"/>
  <c r="S30" i="1"/>
  <c r="G30" i="1"/>
  <c r="G31" i="1" s="1"/>
  <c r="U43" i="2"/>
  <c r="T43" i="2"/>
  <c r="U51" i="2"/>
  <c r="T51" i="2"/>
  <c r="AA9" i="1"/>
  <c r="T45" i="2"/>
  <c r="U45" i="2"/>
  <c r="U44" i="2"/>
  <c r="T44" i="2"/>
  <c r="C31" i="1"/>
  <c r="M9" i="1"/>
  <c r="U8" i="1"/>
  <c r="O8" i="1"/>
  <c r="O31" i="1"/>
  <c r="Y10" i="1"/>
  <c r="W30" i="1"/>
  <c r="K10" i="1"/>
  <c r="Q10" i="1"/>
  <c r="G8" i="1"/>
  <c r="AA31" i="1"/>
  <c r="I8" i="1"/>
  <c r="E31" i="1"/>
  <c r="U30" i="1"/>
  <c r="Q31" i="1"/>
  <c r="K31" i="1"/>
  <c r="M32" i="1"/>
  <c r="E3" i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7" i="1"/>
  <c r="B8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7" i="1"/>
  <c r="D9" i="3" l="1"/>
  <c r="I8" i="3"/>
  <c r="J35" i="3"/>
  <c r="J36" i="3" s="1"/>
  <c r="I35" i="3"/>
  <c r="L6" i="3" s="1"/>
  <c r="E23" i="3"/>
  <c r="F22" i="3"/>
  <c r="L26" i="3"/>
  <c r="L34" i="3"/>
  <c r="L20" i="3"/>
  <c r="L28" i="3"/>
  <c r="L21" i="3"/>
  <c r="L29" i="3"/>
  <c r="L22" i="3"/>
  <c r="L30" i="3"/>
  <c r="L23" i="3"/>
  <c r="L31" i="3"/>
  <c r="L25" i="3"/>
  <c r="L19" i="3"/>
  <c r="L24" i="3"/>
  <c r="L32" i="3"/>
  <c r="L33" i="3"/>
  <c r="L27" i="3"/>
  <c r="E9" i="3"/>
  <c r="H8" i="3"/>
  <c r="C22" i="1"/>
  <c r="C23" i="1" s="1"/>
  <c r="E13" i="1"/>
  <c r="S31" i="1"/>
  <c r="S32" i="1" s="1"/>
  <c r="O53" i="2"/>
  <c r="Y44" i="2"/>
  <c r="AA10" i="1"/>
  <c r="W9" i="1"/>
  <c r="K32" i="1"/>
  <c r="O9" i="1"/>
  <c r="I9" i="1"/>
  <c r="W31" i="1"/>
  <c r="G9" i="1"/>
  <c r="M10" i="1"/>
  <c r="E32" i="1"/>
  <c r="C32" i="1"/>
  <c r="K11" i="1"/>
  <c r="U9" i="1"/>
  <c r="AA32" i="1"/>
  <c r="M33" i="1"/>
  <c r="U31" i="1"/>
  <c r="Y11" i="1"/>
  <c r="Q11" i="1"/>
  <c r="Q32" i="1"/>
  <c r="G32" i="1"/>
  <c r="O32" i="1"/>
  <c r="E24" i="3" l="1"/>
  <c r="F23" i="3"/>
  <c r="N26" i="3"/>
  <c r="N34" i="3"/>
  <c r="N20" i="3"/>
  <c r="N28" i="3"/>
  <c r="N21" i="3"/>
  <c r="N29" i="3"/>
  <c r="N22" i="3"/>
  <c r="N30" i="3"/>
  <c r="N19" i="3"/>
  <c r="N23" i="3"/>
  <c r="N31" i="3"/>
  <c r="N33" i="3"/>
  <c r="N27" i="3"/>
  <c r="N24" i="3"/>
  <c r="N32" i="3"/>
  <c r="N25" i="3"/>
  <c r="L35" i="3"/>
  <c r="L36" i="3" s="1"/>
  <c r="K35" i="3"/>
  <c r="L7" i="3" s="1"/>
  <c r="E10" i="3"/>
  <c r="H9" i="3"/>
  <c r="D10" i="3"/>
  <c r="I9" i="3"/>
  <c r="E14" i="1"/>
  <c r="O54" i="2"/>
  <c r="Y45" i="2"/>
  <c r="AA11" i="1"/>
  <c r="W10" i="1"/>
  <c r="J44" i="1"/>
  <c r="Z44" i="1"/>
  <c r="G33" i="1"/>
  <c r="G10" i="1"/>
  <c r="M34" i="1"/>
  <c r="K33" i="1"/>
  <c r="Q12" i="1"/>
  <c r="AA33" i="1"/>
  <c r="E33" i="1"/>
  <c r="S33" i="1"/>
  <c r="U32" i="1"/>
  <c r="O10" i="1"/>
  <c r="Q33" i="1"/>
  <c r="W32" i="1"/>
  <c r="K12" i="1"/>
  <c r="C33" i="1"/>
  <c r="O33" i="1"/>
  <c r="Y12" i="1"/>
  <c r="U10" i="1"/>
  <c r="M11" i="1"/>
  <c r="I10" i="1"/>
  <c r="D11" i="3" l="1"/>
  <c r="I10" i="3"/>
  <c r="P26" i="3"/>
  <c r="P34" i="3"/>
  <c r="P20" i="3"/>
  <c r="P28" i="3"/>
  <c r="P21" i="3"/>
  <c r="P29" i="3"/>
  <c r="P22" i="3"/>
  <c r="P30" i="3"/>
  <c r="P23" i="3"/>
  <c r="P31" i="3"/>
  <c r="P33" i="3"/>
  <c r="P27" i="3"/>
  <c r="P24" i="3"/>
  <c r="P32" i="3"/>
  <c r="P25" i="3"/>
  <c r="P19" i="3"/>
  <c r="E11" i="3"/>
  <c r="H10" i="3"/>
  <c r="M35" i="3"/>
  <c r="L8" i="3" s="1"/>
  <c r="N35" i="3"/>
  <c r="N36" i="3" s="1"/>
  <c r="E25" i="3"/>
  <c r="F24" i="3"/>
  <c r="Y44" i="1"/>
  <c r="Y45" i="1" s="1"/>
  <c r="I44" i="1"/>
  <c r="I45" i="1" s="1"/>
  <c r="E15" i="1"/>
  <c r="O55" i="2"/>
  <c r="Y46" i="2"/>
  <c r="AA12" i="1"/>
  <c r="W11" i="1"/>
  <c r="U11" i="1"/>
  <c r="AA34" i="1"/>
  <c r="G34" i="1"/>
  <c r="O34" i="1"/>
  <c r="W33" i="1"/>
  <c r="S34" i="1"/>
  <c r="K34" i="1"/>
  <c r="K13" i="1"/>
  <c r="G11" i="1"/>
  <c r="Y13" i="1"/>
  <c r="U33" i="1"/>
  <c r="I11" i="1"/>
  <c r="O11" i="1"/>
  <c r="Q13" i="1"/>
  <c r="M12" i="1"/>
  <c r="C34" i="1"/>
  <c r="Q34" i="1"/>
  <c r="E34" i="1"/>
  <c r="M35" i="1"/>
  <c r="R26" i="3" l="1"/>
  <c r="R34" i="3"/>
  <c r="R20" i="3"/>
  <c r="R28" i="3"/>
  <c r="R21" i="3"/>
  <c r="R29" i="3"/>
  <c r="R22" i="3"/>
  <c r="R30" i="3"/>
  <c r="R23" i="3"/>
  <c r="R31" i="3"/>
  <c r="R33" i="3"/>
  <c r="R27" i="3"/>
  <c r="R24" i="3"/>
  <c r="R32" i="3"/>
  <c r="R25" i="3"/>
  <c r="R19" i="3"/>
  <c r="E12" i="3"/>
  <c r="H11" i="3"/>
  <c r="O35" i="3"/>
  <c r="L9" i="3" s="1"/>
  <c r="P35" i="3"/>
  <c r="P36" i="3" s="1"/>
  <c r="E26" i="3"/>
  <c r="F25" i="3"/>
  <c r="D12" i="3"/>
  <c r="I11" i="3"/>
  <c r="E16" i="1"/>
  <c r="Y47" i="2"/>
  <c r="O56" i="2"/>
  <c r="AA13" i="1"/>
  <c r="W12" i="1"/>
  <c r="Q35" i="1"/>
  <c r="W34" i="1"/>
  <c r="I12" i="1"/>
  <c r="O35" i="1"/>
  <c r="M13" i="1"/>
  <c r="U34" i="1"/>
  <c r="K35" i="1"/>
  <c r="G35" i="1"/>
  <c r="G12" i="1"/>
  <c r="C35" i="1"/>
  <c r="U12" i="1"/>
  <c r="M36" i="1"/>
  <c r="O12" i="1"/>
  <c r="AA35" i="1"/>
  <c r="K14" i="1"/>
  <c r="E35" i="1"/>
  <c r="Q14" i="1"/>
  <c r="Y14" i="1"/>
  <c r="S35" i="1"/>
  <c r="Q35" i="3" l="1"/>
  <c r="L10" i="3" s="1"/>
  <c r="R35" i="3"/>
  <c r="R36" i="3" s="1"/>
  <c r="E27" i="3"/>
  <c r="F26" i="3"/>
  <c r="D13" i="3"/>
  <c r="I13" i="3" s="1"/>
  <c r="I12" i="3"/>
  <c r="T26" i="3"/>
  <c r="T34" i="3"/>
  <c r="T20" i="3"/>
  <c r="T28" i="3"/>
  <c r="T21" i="3"/>
  <c r="T29" i="3"/>
  <c r="T22" i="3"/>
  <c r="T30" i="3"/>
  <c r="T19" i="3"/>
  <c r="T23" i="3"/>
  <c r="T31" i="3"/>
  <c r="T25" i="3"/>
  <c r="T33" i="3"/>
  <c r="T24" i="3"/>
  <c r="T32" i="3"/>
  <c r="T27" i="3"/>
  <c r="E13" i="3"/>
  <c r="H13" i="3" s="1"/>
  <c r="H12" i="3"/>
  <c r="E17" i="1"/>
  <c r="O57" i="2"/>
  <c r="Y48" i="2"/>
  <c r="W13" i="1"/>
  <c r="AA14" i="1"/>
  <c r="AA36" i="1"/>
  <c r="W35" i="1"/>
  <c r="G13" i="1"/>
  <c r="Q36" i="1"/>
  <c r="E36" i="1"/>
  <c r="M37" i="1"/>
  <c r="G36" i="1"/>
  <c r="O36" i="1"/>
  <c r="Y15" i="1"/>
  <c r="U35" i="1"/>
  <c r="Q15" i="1"/>
  <c r="M14" i="1"/>
  <c r="C36" i="1"/>
  <c r="O13" i="1"/>
  <c r="S36" i="1"/>
  <c r="K15" i="1"/>
  <c r="U13" i="1"/>
  <c r="K36" i="1"/>
  <c r="I13" i="1"/>
  <c r="E28" i="3" l="1"/>
  <c r="F27" i="3"/>
  <c r="V26" i="3"/>
  <c r="V34" i="3"/>
  <c r="V20" i="3"/>
  <c r="V28" i="3"/>
  <c r="V21" i="3"/>
  <c r="V29" i="3"/>
  <c r="V19" i="3"/>
  <c r="V22" i="3"/>
  <c r="V30" i="3"/>
  <c r="V23" i="3"/>
  <c r="V31" i="3"/>
  <c r="V25" i="3"/>
  <c r="V24" i="3"/>
  <c r="V32" i="3"/>
  <c r="V33" i="3"/>
  <c r="V27" i="3"/>
  <c r="X26" i="3"/>
  <c r="X34" i="3"/>
  <c r="X20" i="3"/>
  <c r="X28" i="3"/>
  <c r="X21" i="3"/>
  <c r="X29" i="3"/>
  <c r="X22" i="3"/>
  <c r="X30" i="3"/>
  <c r="X33" i="3"/>
  <c r="X27" i="3"/>
  <c r="X23" i="3"/>
  <c r="X31" i="3"/>
  <c r="X25" i="3"/>
  <c r="X19" i="3"/>
  <c r="X24" i="3"/>
  <c r="X32" i="3"/>
  <c r="S35" i="3"/>
  <c r="L11" i="3" s="1"/>
  <c r="T35" i="3"/>
  <c r="T36" i="3" s="1"/>
  <c r="E18" i="1"/>
  <c r="O58" i="2"/>
  <c r="Y49" i="2"/>
  <c r="AA15" i="1"/>
  <c r="W14" i="1"/>
  <c r="Y16" i="1"/>
  <c r="I14" i="1"/>
  <c r="S37" i="1"/>
  <c r="M15" i="1"/>
  <c r="O37" i="1"/>
  <c r="Q37" i="1"/>
  <c r="E37" i="1"/>
  <c r="O14" i="1"/>
  <c r="Q16" i="1"/>
  <c r="G37" i="1"/>
  <c r="G14" i="1"/>
  <c r="K16" i="1"/>
  <c r="AA37" i="1"/>
  <c r="K37" i="1"/>
  <c r="U14" i="1"/>
  <c r="C37" i="1"/>
  <c r="U36" i="1"/>
  <c r="M38" i="1"/>
  <c r="W36" i="1"/>
  <c r="X35" i="3" l="1"/>
  <c r="X36" i="3" s="1"/>
  <c r="W35" i="3"/>
  <c r="L13" i="3" s="1"/>
  <c r="U35" i="3"/>
  <c r="L12" i="3" s="1"/>
  <c r="V35" i="3"/>
  <c r="V36" i="3" s="1"/>
  <c r="E29" i="3"/>
  <c r="F28" i="3"/>
  <c r="E19" i="1"/>
  <c r="T22" i="1"/>
  <c r="O59" i="2"/>
  <c r="Y50" i="2"/>
  <c r="W15" i="1"/>
  <c r="AA16" i="1"/>
  <c r="C38" i="1"/>
  <c r="K17" i="1"/>
  <c r="O15" i="1"/>
  <c r="M16" i="1"/>
  <c r="W37" i="1"/>
  <c r="G15" i="1"/>
  <c r="E38" i="1"/>
  <c r="S38" i="1"/>
  <c r="U15" i="1"/>
  <c r="M39" i="1"/>
  <c r="K38" i="1"/>
  <c r="G38" i="1"/>
  <c r="Q38" i="1"/>
  <c r="I15" i="1"/>
  <c r="U37" i="1"/>
  <c r="AA38" i="1"/>
  <c r="Q17" i="1"/>
  <c r="O38" i="1"/>
  <c r="Y17" i="1"/>
  <c r="E30" i="3" l="1"/>
  <c r="F29" i="3"/>
  <c r="S22" i="1"/>
  <c r="S23" i="1" s="1"/>
  <c r="E20" i="1"/>
  <c r="O60" i="2"/>
  <c r="Y52" i="2" s="1"/>
  <c r="Y51" i="2"/>
  <c r="AA17" i="1"/>
  <c r="W16" i="1"/>
  <c r="AA39" i="1"/>
  <c r="W38" i="1"/>
  <c r="Y18" i="1"/>
  <c r="U38" i="1"/>
  <c r="K39" i="1"/>
  <c r="S39" i="1"/>
  <c r="M17" i="1"/>
  <c r="O39" i="1"/>
  <c r="I16" i="1"/>
  <c r="M40" i="1"/>
  <c r="E39" i="1"/>
  <c r="O16" i="1"/>
  <c r="G39" i="1"/>
  <c r="C39" i="1"/>
  <c r="Q18" i="1"/>
  <c r="Q39" i="1"/>
  <c r="U16" i="1"/>
  <c r="G16" i="1"/>
  <c r="K18" i="1"/>
  <c r="E31" i="3" l="1"/>
  <c r="F30" i="3"/>
  <c r="E21" i="1"/>
  <c r="F22" i="1" s="1"/>
  <c r="W17" i="1"/>
  <c r="AA18" i="1"/>
  <c r="Q40" i="1"/>
  <c r="O40" i="1"/>
  <c r="K19" i="1"/>
  <c r="Q19" i="1"/>
  <c r="E40" i="1"/>
  <c r="U39" i="1"/>
  <c r="O17" i="1"/>
  <c r="AA40" i="1"/>
  <c r="G17" i="1"/>
  <c r="C40" i="1"/>
  <c r="M41" i="1"/>
  <c r="M18" i="1"/>
  <c r="Y19" i="1"/>
  <c r="K40" i="1"/>
  <c r="U17" i="1"/>
  <c r="G40" i="1"/>
  <c r="I17" i="1"/>
  <c r="S40" i="1"/>
  <c r="W39" i="1"/>
  <c r="E32" i="3" l="1"/>
  <c r="F31" i="3"/>
  <c r="E22" i="1"/>
  <c r="E23" i="1" s="1"/>
  <c r="AA19" i="1"/>
  <c r="W18" i="1"/>
  <c r="G41" i="1"/>
  <c r="E41" i="1"/>
  <c r="W40" i="1"/>
  <c r="U18" i="1"/>
  <c r="M42" i="1"/>
  <c r="O18" i="1"/>
  <c r="Q20" i="1"/>
  <c r="AA41" i="1"/>
  <c r="S41" i="1"/>
  <c r="K41" i="1"/>
  <c r="C41" i="1"/>
  <c r="U40" i="1"/>
  <c r="K20" i="1"/>
  <c r="M19" i="1"/>
  <c r="Q41" i="1"/>
  <c r="I18" i="1"/>
  <c r="Y20" i="1"/>
  <c r="G18" i="1"/>
  <c r="O41" i="1"/>
  <c r="E33" i="3" l="1"/>
  <c r="F32" i="3"/>
  <c r="W19" i="1"/>
  <c r="AA20" i="1"/>
  <c r="K21" i="1"/>
  <c r="G42" i="1"/>
  <c r="O42" i="1"/>
  <c r="I19" i="1"/>
  <c r="U41" i="1"/>
  <c r="AA42" i="1"/>
  <c r="U19" i="1"/>
  <c r="S42" i="1"/>
  <c r="Q42" i="1"/>
  <c r="C42" i="1"/>
  <c r="Q21" i="1"/>
  <c r="W41" i="1"/>
  <c r="Y21" i="1"/>
  <c r="M43" i="1"/>
  <c r="G19" i="1"/>
  <c r="M20" i="1"/>
  <c r="K42" i="1"/>
  <c r="O19" i="1"/>
  <c r="E42" i="1"/>
  <c r="E34" i="3" l="1"/>
  <c r="F34" i="3" s="1"/>
  <c r="F33" i="3"/>
  <c r="N44" i="1"/>
  <c r="Z22" i="1"/>
  <c r="L22" i="1"/>
  <c r="AA21" i="1"/>
  <c r="R22" i="1"/>
  <c r="W20" i="1"/>
  <c r="K43" i="1"/>
  <c r="M21" i="1"/>
  <c r="W42" i="1"/>
  <c r="S43" i="1"/>
  <c r="I20" i="1"/>
  <c r="U42" i="1"/>
  <c r="G20" i="1"/>
  <c r="U20" i="1"/>
  <c r="O43" i="1"/>
  <c r="P44" i="1" s="1"/>
  <c r="Q43" i="1"/>
  <c r="E43" i="1"/>
  <c r="C43" i="1"/>
  <c r="D44" i="1" s="1"/>
  <c r="AA43" i="1"/>
  <c r="AB44" i="1" s="1"/>
  <c r="G43" i="1"/>
  <c r="O20" i="1"/>
  <c r="E35" i="3" l="1"/>
  <c r="L4" i="3" s="1"/>
  <c r="F35" i="3"/>
  <c r="F36" i="3" s="1"/>
  <c r="AA44" i="1"/>
  <c r="AA45" i="1" s="1"/>
  <c r="O44" i="1"/>
  <c r="O45" i="1" s="1"/>
  <c r="M44" i="1"/>
  <c r="M45" i="1" s="1"/>
  <c r="C44" i="1"/>
  <c r="C45" i="1" s="1"/>
  <c r="Y22" i="1"/>
  <c r="Y23" i="1" s="1"/>
  <c r="Q22" i="1"/>
  <c r="Q23" i="1" s="1"/>
  <c r="K22" i="1"/>
  <c r="K23" i="1" s="1"/>
  <c r="F44" i="1"/>
  <c r="L44" i="1"/>
  <c r="AB22" i="1"/>
  <c r="T44" i="1"/>
  <c r="W21" i="1"/>
  <c r="H44" i="1"/>
  <c r="R44" i="1"/>
  <c r="N22" i="1"/>
  <c r="U21" i="1"/>
  <c r="W43" i="1"/>
  <c r="O21" i="1"/>
  <c r="G21" i="1"/>
  <c r="U43" i="1"/>
  <c r="I21" i="1"/>
  <c r="S44" i="1" l="1"/>
  <c r="S45" i="1" s="1"/>
  <c r="Q44" i="1"/>
  <c r="Q45" i="1" s="1"/>
  <c r="K44" i="1"/>
  <c r="K45" i="1" s="1"/>
  <c r="G44" i="1"/>
  <c r="G45" i="1" s="1"/>
  <c r="E44" i="1"/>
  <c r="E45" i="1" s="1"/>
  <c r="AA22" i="1"/>
  <c r="AA23" i="1" s="1"/>
  <c r="M22" i="1"/>
  <c r="M23" i="1" s="1"/>
  <c r="V44" i="1"/>
  <c r="X22" i="1"/>
  <c r="V22" i="1"/>
  <c r="H22" i="1"/>
  <c r="P22" i="1"/>
  <c r="J22" i="1"/>
  <c r="X44" i="1"/>
  <c r="W44" i="1" l="1"/>
  <c r="W45" i="1" s="1"/>
  <c r="U44" i="1"/>
  <c r="U45" i="1" s="1"/>
  <c r="W22" i="1"/>
  <c r="W23" i="1" s="1"/>
  <c r="U22" i="1"/>
  <c r="U23" i="1" s="1"/>
  <c r="O22" i="1"/>
  <c r="O23" i="1" s="1"/>
  <c r="I22" i="1"/>
  <c r="I23" i="1" s="1"/>
  <c r="G22" i="1"/>
  <c r="G23" i="1" s="1"/>
</calcChain>
</file>

<file path=xl/sharedStrings.xml><?xml version="1.0" encoding="utf-8"?>
<sst xmlns="http://schemas.openxmlformats.org/spreadsheetml/2006/main" count="327" uniqueCount="109">
  <si>
    <t xml:space="preserve">Crank Angle </t>
  </si>
  <si>
    <t>Pressure</t>
  </si>
  <si>
    <t>Degrees</t>
  </si>
  <si>
    <t>Bar</t>
  </si>
  <si>
    <t>NoX</t>
  </si>
  <si>
    <t>K</t>
  </si>
  <si>
    <t>Kmol/°</t>
  </si>
  <si>
    <t>Φ</t>
  </si>
  <si>
    <t>Temp</t>
  </si>
  <si>
    <t>Spec heat</t>
  </si>
  <si>
    <t>KJ/Kmol-K</t>
  </si>
  <si>
    <t>Enthalpy</t>
  </si>
  <si>
    <t>MJ/Kmol</t>
  </si>
  <si>
    <r>
      <t>Water (H</t>
    </r>
    <r>
      <rPr>
        <sz val="11"/>
        <color theme="1"/>
        <rFont val="Calibri"/>
        <family val="2"/>
      </rPr>
      <t>₂O)</t>
    </r>
  </si>
  <si>
    <r>
      <t>Nitrogen (N</t>
    </r>
    <r>
      <rPr>
        <sz val="11"/>
        <color theme="1"/>
        <rFont val="Calibri"/>
        <family val="2"/>
      </rPr>
      <t>₂)</t>
    </r>
  </si>
  <si>
    <t>Fuel</t>
  </si>
  <si>
    <t>Methanol</t>
  </si>
  <si>
    <t>Iso-octane</t>
  </si>
  <si>
    <t>Formula</t>
  </si>
  <si>
    <t>Enthalpy of formation</t>
  </si>
  <si>
    <r>
      <t>CH</t>
    </r>
    <r>
      <rPr>
        <sz val="11"/>
        <color theme="1"/>
        <rFont val="Calibri"/>
        <family val="2"/>
      </rPr>
      <t>₄O</t>
    </r>
  </si>
  <si>
    <r>
      <t>C</t>
    </r>
    <r>
      <rPr>
        <sz val="11"/>
        <color theme="1"/>
        <rFont val="Calibri"/>
        <family val="2"/>
      </rPr>
      <t>₈H₁₈</t>
    </r>
  </si>
  <si>
    <t>MJ</t>
  </si>
  <si>
    <t>Energy</t>
  </si>
  <si>
    <t>Units</t>
  </si>
  <si>
    <t>Iso-Ethanol</t>
  </si>
  <si>
    <r>
      <t>Carbon Dioxide (CO</t>
    </r>
    <r>
      <rPr>
        <sz val="11"/>
        <color theme="1"/>
        <rFont val="Calibri"/>
        <family val="2"/>
      </rPr>
      <t>₂)</t>
    </r>
  </si>
  <si>
    <r>
      <t>Oxygen(O</t>
    </r>
    <r>
      <rPr>
        <sz val="11"/>
        <color theme="1"/>
        <rFont val="Calibri"/>
        <family val="2"/>
      </rPr>
      <t>₂)</t>
    </r>
  </si>
  <si>
    <r>
      <t>0.6CO</t>
    </r>
    <r>
      <rPr>
        <sz val="11"/>
        <color theme="1"/>
        <rFont val="Calibri"/>
        <family val="2"/>
      </rPr>
      <t>₂+1.2H₂O+1.2O₂+5.643N₂</t>
    </r>
  </si>
  <si>
    <r>
      <t>0.65CO</t>
    </r>
    <r>
      <rPr>
        <sz val="11"/>
        <color theme="1"/>
        <rFont val="Calibri"/>
        <family val="2"/>
      </rPr>
      <t>₂+1.3H₂O+1.05O₂+5.643N₂</t>
    </r>
  </si>
  <si>
    <r>
      <t>0.7CO</t>
    </r>
    <r>
      <rPr>
        <sz val="11"/>
        <color theme="1"/>
        <rFont val="Calibri"/>
        <family val="2"/>
      </rPr>
      <t>₂+1.4H₂O+0.9O₂+5.643N₂</t>
    </r>
  </si>
  <si>
    <r>
      <t>0.75CO</t>
    </r>
    <r>
      <rPr>
        <sz val="11"/>
        <color theme="1"/>
        <rFont val="Calibri"/>
        <family val="2"/>
      </rPr>
      <t>₂+1.5H₂O+0.75O₂+5.643N₂</t>
    </r>
  </si>
  <si>
    <r>
      <t>0.8CO</t>
    </r>
    <r>
      <rPr>
        <sz val="11"/>
        <color theme="1"/>
        <rFont val="Calibri"/>
        <family val="2"/>
      </rPr>
      <t>₂+1.6H₂O+0.6O₂+5.643N₂</t>
    </r>
  </si>
  <si>
    <r>
      <t>0.85CO</t>
    </r>
    <r>
      <rPr>
        <sz val="11"/>
        <color theme="1"/>
        <rFont val="Calibri"/>
        <family val="2"/>
      </rPr>
      <t>₂+1.7H₂O+0.45O₂+5.643N₂</t>
    </r>
  </si>
  <si>
    <r>
      <t>0.9CO</t>
    </r>
    <r>
      <rPr>
        <sz val="11"/>
        <color theme="1"/>
        <rFont val="Calibri"/>
        <family val="2"/>
      </rPr>
      <t>₂+1.8H₂O+0.3O₂+5.643N₂</t>
    </r>
  </si>
  <si>
    <r>
      <t>0.95CO</t>
    </r>
    <r>
      <rPr>
        <sz val="11"/>
        <color theme="1"/>
        <rFont val="Calibri"/>
        <family val="2"/>
      </rPr>
      <t>₂+1.9H₂O+0.15O₂+5.643N₂</t>
    </r>
  </si>
  <si>
    <r>
      <t>0.96CO</t>
    </r>
    <r>
      <rPr>
        <sz val="11"/>
        <color theme="1"/>
        <rFont val="Calibri"/>
        <family val="2"/>
      </rPr>
      <t>₂+1.92H₂O+0.12O₂+5.643N₂</t>
    </r>
  </si>
  <si>
    <r>
      <t>0.97CO</t>
    </r>
    <r>
      <rPr>
        <sz val="11"/>
        <color theme="1"/>
        <rFont val="Calibri"/>
        <family val="2"/>
      </rPr>
      <t>₂+1.94H₂O+0.09O₂+5.643N₂</t>
    </r>
  </si>
  <si>
    <r>
      <t>0.98CO</t>
    </r>
    <r>
      <rPr>
        <sz val="11"/>
        <color theme="1"/>
        <rFont val="Calibri"/>
        <family val="2"/>
      </rPr>
      <t>₂+1.96H₂O+0.06O₂+5.643N₂</t>
    </r>
  </si>
  <si>
    <r>
      <t>0.99CO</t>
    </r>
    <r>
      <rPr>
        <sz val="11"/>
        <color theme="1"/>
        <rFont val="Calibri"/>
        <family val="2"/>
      </rPr>
      <t>₂+1.98H₂O+0.03O₂+5.643N₂</t>
    </r>
  </si>
  <si>
    <r>
      <t>1.0CO</t>
    </r>
    <r>
      <rPr>
        <sz val="11"/>
        <color theme="1"/>
        <rFont val="Calibri"/>
        <family val="2"/>
      </rPr>
      <t>₂+2.0H₂O+0.0O₂+5.643N₂</t>
    </r>
  </si>
  <si>
    <r>
      <t>Methanol (CH</t>
    </r>
    <r>
      <rPr>
        <sz val="11"/>
        <color theme="1"/>
        <rFont val="Calibri"/>
        <family val="2"/>
      </rPr>
      <t>₄O)</t>
    </r>
  </si>
  <si>
    <r>
      <t>Iso-octane (C</t>
    </r>
    <r>
      <rPr>
        <sz val="11"/>
        <color theme="1"/>
        <rFont val="Calibri"/>
        <family val="2"/>
      </rPr>
      <t>₈H₁₈</t>
    </r>
    <r>
      <rPr>
        <sz val="11"/>
        <color theme="1"/>
        <rFont val="Calibri"/>
        <family val="2"/>
        <scheme val="minor"/>
      </rPr>
      <t>)</t>
    </r>
  </si>
  <si>
    <r>
      <t>4.8CO</t>
    </r>
    <r>
      <rPr>
        <sz val="11"/>
        <color theme="1"/>
        <rFont val="Calibri"/>
        <family val="2"/>
      </rPr>
      <t>₂+5.4H₂O+10O₂+47N₂</t>
    </r>
  </si>
  <si>
    <r>
      <t>5.2CO</t>
    </r>
    <r>
      <rPr>
        <sz val="11"/>
        <color theme="1"/>
        <rFont val="Calibri"/>
        <family val="2"/>
      </rPr>
      <t>₂+5.85H₂O+8.75O₂+47N₂</t>
    </r>
  </si>
  <si>
    <r>
      <t>5.6CO</t>
    </r>
    <r>
      <rPr>
        <sz val="11"/>
        <color theme="1"/>
        <rFont val="Calibri"/>
        <family val="2"/>
      </rPr>
      <t>₂+6.3H₂O+7.5O₂+47N₂</t>
    </r>
  </si>
  <si>
    <r>
      <t>6CO</t>
    </r>
    <r>
      <rPr>
        <sz val="11"/>
        <color theme="1"/>
        <rFont val="Calibri"/>
        <family val="2"/>
      </rPr>
      <t>₂+6.75H₂O+6.25O₂+47N₂</t>
    </r>
  </si>
  <si>
    <r>
      <t>6.4CO</t>
    </r>
    <r>
      <rPr>
        <sz val="11"/>
        <color theme="1"/>
        <rFont val="Calibri"/>
        <family val="2"/>
      </rPr>
      <t>₂+7.2H₂O+5O₂+47N₂</t>
    </r>
  </si>
  <si>
    <r>
      <t>6.8CO</t>
    </r>
    <r>
      <rPr>
        <sz val="11"/>
        <color theme="1"/>
        <rFont val="Calibri"/>
        <family val="2"/>
      </rPr>
      <t>₂+7.65H₂O+3.75O₂+47N₂</t>
    </r>
  </si>
  <si>
    <r>
      <t>7.2CO</t>
    </r>
    <r>
      <rPr>
        <sz val="11"/>
        <color theme="1"/>
        <rFont val="Calibri"/>
        <family val="2"/>
      </rPr>
      <t>₂+8.1H₂O+2.5O₂+47N₂</t>
    </r>
  </si>
  <si>
    <r>
      <t>7.6CO</t>
    </r>
    <r>
      <rPr>
        <sz val="11"/>
        <color theme="1"/>
        <rFont val="Calibri"/>
        <family val="2"/>
      </rPr>
      <t>₂+8.55H₂O+1.25O₂+47N₂</t>
    </r>
  </si>
  <si>
    <r>
      <t>7.68CO</t>
    </r>
    <r>
      <rPr>
        <sz val="11"/>
        <color theme="1"/>
        <rFont val="Calibri"/>
        <family val="2"/>
      </rPr>
      <t>₂+8.64H₂O+1O₂+47N₂</t>
    </r>
  </si>
  <si>
    <r>
      <t>7.76CO</t>
    </r>
    <r>
      <rPr>
        <sz val="11"/>
        <color theme="1"/>
        <rFont val="Calibri"/>
        <family val="2"/>
      </rPr>
      <t>₂+8.73H₂O+0.75O₂+47N₂</t>
    </r>
  </si>
  <si>
    <r>
      <t>7.84CO</t>
    </r>
    <r>
      <rPr>
        <sz val="11"/>
        <color theme="1"/>
        <rFont val="Calibri"/>
        <family val="2"/>
      </rPr>
      <t>₂+8.82H₂O+0.5O₂+47N₂</t>
    </r>
  </si>
  <si>
    <r>
      <t>7.92CO</t>
    </r>
    <r>
      <rPr>
        <sz val="11"/>
        <color theme="1"/>
        <rFont val="Calibri"/>
        <family val="2"/>
      </rPr>
      <t>₂+8.91H₂O+0.25O₂+47N₂</t>
    </r>
  </si>
  <si>
    <r>
      <t>8CO</t>
    </r>
    <r>
      <rPr>
        <sz val="11"/>
        <color theme="1"/>
        <rFont val="Calibri"/>
        <family val="2"/>
      </rPr>
      <t>₂+9H₂O+0.0O₂+47N₂</t>
    </r>
  </si>
  <si>
    <t>External information</t>
  </si>
  <si>
    <t>pressure</t>
  </si>
  <si>
    <t>volume</t>
  </si>
  <si>
    <t>GC</t>
  </si>
  <si>
    <t>Density</t>
  </si>
  <si>
    <t>Variable</t>
  </si>
  <si>
    <t>Value</t>
  </si>
  <si>
    <t>Unit</t>
  </si>
  <si>
    <t>N/m^2</t>
  </si>
  <si>
    <t>cc</t>
  </si>
  <si>
    <t>m^3</t>
  </si>
  <si>
    <t>J/Kmol/K</t>
  </si>
  <si>
    <t>Kg/m^3</t>
  </si>
  <si>
    <t>Vol Eff</t>
  </si>
  <si>
    <t>%</t>
  </si>
  <si>
    <t>Mol mass</t>
  </si>
  <si>
    <t>g/mol</t>
  </si>
  <si>
    <t>J/Kg/K</t>
  </si>
  <si>
    <t>Chemical reactants by fuel equivalence ratio</t>
  </si>
  <si>
    <t>Enthalpy of formation by fuel equivalence ratio in MJ</t>
  </si>
  <si>
    <r>
      <t>Iso-octane (C</t>
    </r>
    <r>
      <rPr>
        <sz val="11"/>
        <color theme="1"/>
        <rFont val="Calibri"/>
        <family val="2"/>
      </rPr>
      <t>₈H₁₈+12.5(O₂+3.762N₂)</t>
    </r>
    <r>
      <rPr>
        <sz val="11"/>
        <color theme="1"/>
        <rFont val="Calibri"/>
        <family val="2"/>
        <scheme val="minor"/>
      </rPr>
      <t>)</t>
    </r>
  </si>
  <si>
    <r>
      <t>Methanol (CH</t>
    </r>
    <r>
      <rPr>
        <sz val="11"/>
        <color theme="1"/>
        <rFont val="Calibri"/>
        <family val="2"/>
      </rPr>
      <t>₄O+1.5(O₂</t>
    </r>
    <r>
      <rPr>
        <sz val="11"/>
        <color theme="1"/>
        <rFont val="Calibri"/>
        <family val="2"/>
        <scheme val="minor"/>
      </rPr>
      <t>+3.762N</t>
    </r>
    <r>
      <rPr>
        <sz val="11"/>
        <color theme="1"/>
        <rFont val="Calibri"/>
        <family val="2"/>
      </rPr>
      <t>₂))</t>
    </r>
  </si>
  <si>
    <t>Kmols in 40cc @ 1 bar &amp; 293K</t>
  </si>
  <si>
    <t>Kmol</t>
  </si>
  <si>
    <t>value</t>
  </si>
  <si>
    <t>α Values for Iso-octane</t>
  </si>
  <si>
    <t>α Values for Methanol</t>
  </si>
  <si>
    <t>α</t>
  </si>
  <si>
    <r>
      <t>N</t>
    </r>
    <r>
      <rPr>
        <sz val="11"/>
        <color theme="1"/>
        <rFont val="Calibri"/>
        <family val="2"/>
      </rPr>
      <t>₂</t>
    </r>
  </si>
  <si>
    <r>
      <t>O</t>
    </r>
    <r>
      <rPr>
        <sz val="11"/>
        <color theme="1"/>
        <rFont val="Calibri"/>
        <family val="2"/>
      </rPr>
      <t>₂</t>
    </r>
  </si>
  <si>
    <r>
      <t>n</t>
    </r>
    <r>
      <rPr>
        <sz val="11"/>
        <color theme="1"/>
        <rFont val="Calibri"/>
        <family val="2"/>
      </rPr>
      <t>₁</t>
    </r>
  </si>
  <si>
    <r>
      <t>n</t>
    </r>
    <r>
      <rPr>
        <sz val="11"/>
        <color theme="1"/>
        <rFont val="Calibri"/>
        <family val="2"/>
      </rPr>
      <t>₂</t>
    </r>
  </si>
  <si>
    <r>
      <t>n</t>
    </r>
    <r>
      <rPr>
        <sz val="11"/>
        <color theme="1"/>
        <rFont val="Calibri"/>
        <family val="2"/>
      </rPr>
      <t>₃</t>
    </r>
  </si>
  <si>
    <r>
      <t>n</t>
    </r>
    <r>
      <rPr>
        <sz val="11"/>
        <color theme="1"/>
        <rFont val="Calibri"/>
        <family val="2"/>
      </rPr>
      <t>₄</t>
    </r>
  </si>
  <si>
    <t>n Values for Iso-octane</t>
  </si>
  <si>
    <t>n Values for Methanol</t>
  </si>
  <si>
    <t>RPM</t>
  </si>
  <si>
    <t>EX Kmols</t>
  </si>
  <si>
    <t>Titles</t>
  </si>
  <si>
    <t>Identities</t>
  </si>
  <si>
    <t>Chemical formula</t>
  </si>
  <si>
    <t>Transcribed data</t>
  </si>
  <si>
    <t>Calculations</t>
  </si>
  <si>
    <t>Key</t>
  </si>
  <si>
    <t>EGR %</t>
  </si>
  <si>
    <t>EGR @ 0.97Φ</t>
  </si>
  <si>
    <t>Temperature</t>
  </si>
  <si>
    <t>T at start</t>
  </si>
  <si>
    <t>Avg Nox</t>
  </si>
  <si>
    <t>Fuel KMols</t>
  </si>
  <si>
    <t>AVG</t>
  </si>
  <si>
    <t>Total</t>
  </si>
  <si>
    <t>Total KMols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</si>
</sst>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E+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1" fillId="0" borderId="0" xfId="0" applyFont="1" applyBorder="1" applyAlignment="1"/>
    <xf numFmtId="0" fontId="0" fillId="0" borderId="0" xfId="0" applyBorder="1"/>
    <xf numFmtId="1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1" fontId="0" fillId="0" borderId="0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1" fontId="0" fillId="0" borderId="5" xfId="0" applyNumberFormat="1" applyBorder="1" applyAlignment="1">
      <alignment horizontal="center"/>
    </xf>
    <xf numFmtId="11" fontId="0" fillId="0" borderId="8" xfId="0" applyNumberFormat="1" applyBorder="1" applyAlignment="1">
      <alignment horizontal="center"/>
    </xf>
    <xf numFmtId="11" fontId="0" fillId="0" borderId="7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1" fontId="0" fillId="0" borderId="0" xfId="0" applyNumberFormat="1" applyFill="1" applyBorder="1" applyAlignment="1">
      <alignment horizontal="center"/>
    </xf>
    <xf numFmtId="165" fontId="0" fillId="0" borderId="0" xfId="0" applyNumberFormat="1"/>
    <xf numFmtId="165" fontId="0" fillId="0" borderId="1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1" fontId="0" fillId="0" borderId="11" xfId="0" applyNumberFormat="1" applyBorder="1" applyAlignment="1">
      <alignment horizontal="center"/>
    </xf>
    <xf numFmtId="11" fontId="0" fillId="0" borderId="12" xfId="0" applyNumberFormat="1" applyBorder="1" applyAlignment="1">
      <alignment horizontal="center"/>
    </xf>
    <xf numFmtId="11" fontId="0" fillId="0" borderId="4" xfId="0" applyNumberFormat="1" applyFill="1" applyBorder="1" applyAlignment="1">
      <alignment horizontal="center"/>
    </xf>
    <xf numFmtId="11" fontId="0" fillId="0" borderId="6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11" fontId="0" fillId="7" borderId="0" xfId="0" applyNumberFormat="1" applyFill="1" applyBorder="1" applyAlignment="1">
      <alignment horizontal="center"/>
    </xf>
    <xf numFmtId="11" fontId="0" fillId="7" borderId="7" xfId="0" applyNumberFormat="1" applyFill="1" applyBorder="1" applyAlignment="1">
      <alignment horizontal="center"/>
    </xf>
    <xf numFmtId="11" fontId="0" fillId="7" borderId="0" xfId="0" applyNumberFormat="1" applyFill="1" applyBorder="1" applyAlignment="1"/>
    <xf numFmtId="11" fontId="0" fillId="7" borderId="5" xfId="0" applyNumberFormat="1" applyFill="1" applyBorder="1" applyAlignment="1">
      <alignment horizontal="center"/>
    </xf>
    <xf numFmtId="11" fontId="0" fillId="7" borderId="7" xfId="0" applyNumberFormat="1" applyFill="1" applyBorder="1" applyAlignment="1"/>
    <xf numFmtId="11" fontId="0" fillId="7" borderId="8" xfId="0" applyNumberForma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11" fontId="0" fillId="8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/>
    <xf numFmtId="165" fontId="0" fillId="0" borderId="0" xfId="0" applyNumberFormat="1" applyFill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3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1" fontId="0" fillId="8" borderId="7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9" borderId="0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11" fontId="0" fillId="4" borderId="0" xfId="0" applyNumberFormat="1" applyFill="1" applyBorder="1" applyAlignment="1">
      <alignment horizontal="center"/>
    </xf>
    <xf numFmtId="11" fontId="0" fillId="5" borderId="0" xfId="0" applyNumberFormat="1" applyFill="1" applyBorder="1" applyAlignment="1">
      <alignment horizontal="center"/>
    </xf>
    <xf numFmtId="11" fontId="0" fillId="6" borderId="0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0" xfId="0" applyNumberFormat="1" applyBorder="1"/>
    <xf numFmtId="165" fontId="0" fillId="0" borderId="7" xfId="0" applyNumberFormat="1" applyBorder="1"/>
    <xf numFmtId="165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 Vs Fuel equivalence ratio for Iso-octane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Nox PPM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2"/>
            <c:dispRSqr val="0"/>
            <c:dispEq val="0"/>
          </c:trendline>
          <c:xVal>
            <c:numRef>
              <c:f>'No EGR'!$C$3:$AB$3</c:f>
              <c:numCache>
                <c:formatCode>General</c:formatCode>
                <c:ptCount val="26"/>
                <c:pt idx="0">
                  <c:v>0.6</c:v>
                </c:pt>
                <c:pt idx="2">
                  <c:v>0.65</c:v>
                </c:pt>
                <c:pt idx="4">
                  <c:v>0.7</c:v>
                </c:pt>
                <c:pt idx="6">
                  <c:v>0.75</c:v>
                </c:pt>
                <c:pt idx="8">
                  <c:v>0.8</c:v>
                </c:pt>
                <c:pt idx="10">
                  <c:v>0.85</c:v>
                </c:pt>
                <c:pt idx="12">
                  <c:v>0.9</c:v>
                </c:pt>
                <c:pt idx="14">
                  <c:v>0.95</c:v>
                </c:pt>
                <c:pt idx="16">
                  <c:v>0.96</c:v>
                </c:pt>
                <c:pt idx="18">
                  <c:v>0.97</c:v>
                </c:pt>
                <c:pt idx="20">
                  <c:v>0.98</c:v>
                </c:pt>
                <c:pt idx="22">
                  <c:v>0.99</c:v>
                </c:pt>
                <c:pt idx="24">
                  <c:v>1</c:v>
                </c:pt>
              </c:numCache>
            </c:numRef>
          </c:xVal>
          <c:yVal>
            <c:numRef>
              <c:f>'No EGR'!$C$23:$AA$23</c:f>
              <c:numCache>
                <c:formatCode>0.000E+00</c:formatCode>
                <c:ptCount val="25"/>
                <c:pt idx="0">
                  <c:v>3270.439054091215</c:v>
                </c:pt>
                <c:pt idx="2">
                  <c:v>14131.388287600947</c:v>
                </c:pt>
                <c:pt idx="4">
                  <c:v>50556.525519655734</c:v>
                </c:pt>
                <c:pt idx="6">
                  <c:v>154184.36465166032</c:v>
                </c:pt>
                <c:pt idx="8">
                  <c:v>407295.8713537642</c:v>
                </c:pt>
                <c:pt idx="10">
                  <c:v>939672.28706337011</c:v>
                </c:pt>
                <c:pt idx="12">
                  <c:v>1864442.5383991371</c:v>
                </c:pt>
                <c:pt idx="14">
                  <c:v>2973053.5607740567</c:v>
                </c:pt>
                <c:pt idx="16">
                  <c:v>3101096.3537482102</c:v>
                </c:pt>
                <c:pt idx="18">
                  <c:v>3246612.9274572115</c:v>
                </c:pt>
                <c:pt idx="20">
                  <c:v>2959201.7756727003</c:v>
                </c:pt>
                <c:pt idx="22">
                  <c:v>2411814.5996496468</c:v>
                </c:pt>
                <c:pt idx="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8A1-402F-AFAE-8E381DE3C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2793528"/>
        <c:axId val="652793856"/>
      </c:scatterChart>
      <c:valAx>
        <c:axId val="65279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equivalence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793856"/>
        <c:crosses val="autoZero"/>
        <c:crossBetween val="midCat"/>
      </c:valAx>
      <c:valAx>
        <c:axId val="65279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793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 Vs Fuel equivalence ratio for Methanol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Nox PPM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2"/>
            <c:dispRSqr val="0"/>
            <c:dispEq val="0"/>
          </c:trendline>
          <c:xVal>
            <c:numRef>
              <c:f>'No EGR'!$C$25:$AB$25</c:f>
              <c:numCache>
                <c:formatCode>General</c:formatCode>
                <c:ptCount val="26"/>
                <c:pt idx="0">
                  <c:v>0.6</c:v>
                </c:pt>
                <c:pt idx="2">
                  <c:v>0.65</c:v>
                </c:pt>
                <c:pt idx="4">
                  <c:v>0.7</c:v>
                </c:pt>
                <c:pt idx="6">
                  <c:v>0.75</c:v>
                </c:pt>
                <c:pt idx="8">
                  <c:v>0.8</c:v>
                </c:pt>
                <c:pt idx="10">
                  <c:v>0.85</c:v>
                </c:pt>
                <c:pt idx="12">
                  <c:v>0.9</c:v>
                </c:pt>
                <c:pt idx="14">
                  <c:v>0.95</c:v>
                </c:pt>
                <c:pt idx="16">
                  <c:v>0.96</c:v>
                </c:pt>
                <c:pt idx="18">
                  <c:v>0.97</c:v>
                </c:pt>
                <c:pt idx="20">
                  <c:v>0.98</c:v>
                </c:pt>
                <c:pt idx="22">
                  <c:v>0.99</c:v>
                </c:pt>
                <c:pt idx="24">
                  <c:v>1</c:v>
                </c:pt>
              </c:numCache>
            </c:numRef>
          </c:xVal>
          <c:yVal>
            <c:numRef>
              <c:f>'No EGR'!$C$45:$AA$45</c:f>
              <c:numCache>
                <c:formatCode>General</c:formatCode>
                <c:ptCount val="25"/>
                <c:pt idx="0" formatCode="0.00E+00">
                  <c:v>85359.098730651516</c:v>
                </c:pt>
                <c:pt idx="2" formatCode="0.00E+00">
                  <c:v>291147.14102859638</c:v>
                </c:pt>
                <c:pt idx="4" formatCode="0.00E+00">
                  <c:v>854283.28952352621</c:v>
                </c:pt>
                <c:pt idx="6" formatCode="0.00E+00">
                  <c:v>2232658.1380565222</c:v>
                </c:pt>
                <c:pt idx="8" formatCode="0.00E+00">
                  <c:v>5256473.9949925719</c:v>
                </c:pt>
                <c:pt idx="10" formatCode="0.00E+00">
                  <c:v>11374849.315531081</c:v>
                </c:pt>
                <c:pt idx="12" formatCode="0.00E+00">
                  <c:v>22813454.170085005</c:v>
                </c:pt>
                <c:pt idx="14" formatCode="0.00E+00">
                  <c:v>42999306.554925054</c:v>
                </c:pt>
                <c:pt idx="16" formatCode="0.00E+00">
                  <c:v>48468506.654884934</c:v>
                </c:pt>
                <c:pt idx="18" formatCode="0.00E+00">
                  <c:v>54533134.441076733</c:v>
                </c:pt>
                <c:pt idx="20" formatCode="0.00E+00">
                  <c:v>61228437.373243101</c:v>
                </c:pt>
                <c:pt idx="22" formatCode="0.00E+00">
                  <c:v>68579478.715080291</c:v>
                </c:pt>
                <c:pt idx="24" formatCode="0.00E+00">
                  <c:v>76372974.923429012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276-4FFB-903B-415F4B25C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2793528"/>
        <c:axId val="652793856"/>
      </c:scatterChart>
      <c:valAx>
        <c:axId val="65279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equivalence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793856"/>
        <c:crosses val="autoZero"/>
        <c:crossBetween val="midCat"/>
      </c:valAx>
      <c:valAx>
        <c:axId val="65279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793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NOx</a:t>
            </a:r>
            <a:r>
              <a:rPr lang="en-GB" baseline="0"/>
              <a:t> production with exhaust gas recirculation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0% EGR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EGR'!$D$19:$D$34</c:f>
              <c:numCache>
                <c:formatCode>0.000E+00</c:formatCode>
                <c:ptCount val="16"/>
                <c:pt idx="0">
                  <c:v>1.9981083799585803E-10</c:v>
                </c:pt>
                <c:pt idx="1">
                  <c:v>1.3333132841075919E-9</c:v>
                </c:pt>
                <c:pt idx="2">
                  <c:v>6.0209527302907547E-9</c:v>
                </c:pt>
                <c:pt idx="3">
                  <c:v>2.0764631938544163E-8</c:v>
                </c:pt>
                <c:pt idx="4">
                  <c:v>5.8878589241649221E-8</c:v>
                </c:pt>
                <c:pt idx="5">
                  <c:v>1.4402061938585041E-7</c:v>
                </c:pt>
                <c:pt idx="6">
                  <c:v>3.1404305751886813E-7</c:v>
                </c:pt>
                <c:pt idx="7">
                  <c:v>6.2487225977898984E-7</c:v>
                </c:pt>
                <c:pt idx="8">
                  <c:v>1.1541757185313835E-6</c:v>
                </c:pt>
                <c:pt idx="9">
                  <c:v>2.0046422141427194E-6</c:v>
                </c:pt>
                <c:pt idx="10">
                  <c:v>3.3067650821014309E-6</c:v>
                </c:pt>
                <c:pt idx="11">
                  <c:v>5.2210734581883081E-6</c:v>
                </c:pt>
                <c:pt idx="12">
                  <c:v>7.9397986723893065E-6</c:v>
                </c:pt>
                <c:pt idx="13">
                  <c:v>1.1687993249156364E-5</c:v>
                </c:pt>
                <c:pt idx="14">
                  <c:v>1.6724140018194014E-5</c:v>
                </c:pt>
                <c:pt idx="15">
                  <c:v>2.3340300793862962E-5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EEB8-4087-A277-0D7FDBE0D661}"/>
            </c:ext>
          </c:extLst>
        </c:ser>
        <c:ser>
          <c:idx val="1"/>
          <c:order val="1"/>
          <c:tx>
            <c:v>2% EGR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EGR'!$F$19:$F$34</c:f>
              <c:numCache>
                <c:formatCode>0.000E+00</c:formatCode>
                <c:ptCount val="16"/>
                <c:pt idx="0">
                  <c:v>1.2165292631095992E-10</c:v>
                </c:pt>
                <c:pt idx="1">
                  <c:v>8.3964414043355746E-10</c:v>
                </c:pt>
                <c:pt idx="2">
                  <c:v>3.8946820247637947E-9</c:v>
                </c:pt>
                <c:pt idx="3">
                  <c:v>1.3730701382885985E-8</c:v>
                </c:pt>
                <c:pt idx="4">
                  <c:v>3.9662079572808171E-8</c:v>
                </c:pt>
                <c:pt idx="5">
                  <c:v>9.8571471389702631E-8</c:v>
                </c:pt>
                <c:pt idx="6">
                  <c:v>2.1793991312038673E-7</c:v>
                </c:pt>
                <c:pt idx="7">
                  <c:v>4.389880514867421E-7</c:v>
                </c:pt>
                <c:pt idx="8">
                  <c:v>8.197330862822585E-7</c:v>
                </c:pt>
                <c:pt idx="9">
                  <c:v>1.4378095641638225E-6</c:v>
                </c:pt>
                <c:pt idx="10">
                  <c:v>2.3929491615283782E-6</c:v>
                </c:pt>
                <c:pt idx="11">
                  <c:v>3.8090571801061444E-6</c:v>
                </c:pt>
                <c:pt idx="12">
                  <c:v>5.8358583189957847E-6</c:v>
                </c:pt>
                <c:pt idx="13">
                  <c:v>8.6501107299505182E-6</c:v>
                </c:pt>
                <c:pt idx="14">
                  <c:v>1.245640612041391E-5</c:v>
                </c:pt>
                <c:pt idx="15">
                  <c:v>1.7487586006621362E-5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EEB8-4087-A277-0D7FDBE0D661}"/>
            </c:ext>
          </c:extLst>
        </c:ser>
        <c:ser>
          <c:idx val="2"/>
          <c:order val="2"/>
          <c:tx>
            <c:v>4% EGR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EGR'!$H$19:$H$34</c:f>
              <c:numCache>
                <c:formatCode>0.000E+00</c:formatCode>
                <c:ptCount val="16"/>
                <c:pt idx="0">
                  <c:v>7.9401693803775143E-11</c:v>
                </c:pt>
                <c:pt idx="1">
                  <c:v>5.6425481214639784E-10</c:v>
                </c:pt>
                <c:pt idx="2">
                  <c:v>2.6786608648289167E-9</c:v>
                </c:pt>
                <c:pt idx="3">
                  <c:v>9.6250788560678889E-9</c:v>
                </c:pt>
                <c:pt idx="4">
                  <c:v>2.8251774746315854E-8</c:v>
                </c:pt>
                <c:pt idx="5">
                  <c:v>7.118585414995633E-8</c:v>
                </c:pt>
                <c:pt idx="6">
                  <c:v>1.5928843616073298E-7</c:v>
                </c:pt>
                <c:pt idx="7">
                  <c:v>3.2426038164725268E-7</c:v>
                </c:pt>
                <c:pt idx="8">
                  <c:v>6.1123817162614628E-7</c:v>
                </c:pt>
                <c:pt idx="9">
                  <c:v>1.0812483637377876E-6</c:v>
                </c:pt>
                <c:pt idx="10">
                  <c:v>1.8134237942779251E-6</c:v>
                </c:pt>
                <c:pt idx="11">
                  <c:v>2.9069182410569063E-6</c:v>
                </c:pt>
                <c:pt idx="12">
                  <c:v>4.4824851055812996E-6</c:v>
                </c:pt>
                <c:pt idx="13">
                  <c:v>6.6837086014611877E-6</c:v>
                </c:pt>
                <c:pt idx="14">
                  <c:v>9.6778930310272049E-6</c:v>
                </c:pt>
                <c:pt idx="15">
                  <c:v>1.3656627695299322E-5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0-EEB8-4087-A277-0D7FDBE0D661}"/>
            </c:ext>
          </c:extLst>
        </c:ser>
        <c:ser>
          <c:idx val="3"/>
          <c:order val="3"/>
          <c:tx>
            <c:v>6% EGR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EGR'!$J$19:$J$34</c:f>
              <c:numCache>
                <c:formatCode>0.000E+00</c:formatCode>
                <c:ptCount val="16"/>
                <c:pt idx="0">
                  <c:v>5.187968643605719E-11</c:v>
                </c:pt>
                <c:pt idx="1">
                  <c:v>3.7955527041069021E-10</c:v>
                </c:pt>
                <c:pt idx="2">
                  <c:v>1.8439576276529359E-9</c:v>
                </c:pt>
                <c:pt idx="3">
                  <c:v>6.7526905980734698E-9</c:v>
                </c:pt>
                <c:pt idx="4">
                  <c:v>2.0139777225948228E-8</c:v>
                </c:pt>
                <c:pt idx="5">
                  <c:v>5.1446483022692768E-8</c:v>
                </c:pt>
                <c:pt idx="6">
                  <c:v>1.1650231836294747E-7</c:v>
                </c:pt>
                <c:pt idx="7">
                  <c:v>2.3967525487694526E-7</c:v>
                </c:pt>
                <c:pt idx="8">
                  <c:v>4.560615480327109E-7</c:v>
                </c:pt>
                <c:pt idx="9">
                  <c:v>8.1360334947484646E-7</c:v>
                </c:pt>
                <c:pt idx="10">
                  <c:v>1.375047196269789E-6</c:v>
                </c:pt>
                <c:pt idx="11">
                  <c:v>2.2196823247604056E-6</c:v>
                </c:pt>
                <c:pt idx="12">
                  <c:v>3.4448211625502131E-6</c:v>
                </c:pt>
                <c:pt idx="13">
                  <c:v>5.1670038029507528E-6</c:v>
                </c:pt>
                <c:pt idx="14">
                  <c:v>7.5229234255412305E-6</c:v>
                </c:pt>
                <c:pt idx="15">
                  <c:v>1.0670080782681188E-5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1-EEB8-4087-A277-0D7FDBE0D661}"/>
            </c:ext>
          </c:extLst>
        </c:ser>
        <c:ser>
          <c:idx val="4"/>
          <c:order val="4"/>
          <c:tx>
            <c:v>8% EGR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EGR'!$L$19:$L$34</c:f>
              <c:numCache>
                <c:formatCode>0.000E+00</c:formatCode>
                <c:ptCount val="16"/>
                <c:pt idx="0">
                  <c:v>3.4094825289015738E-11</c:v>
                </c:pt>
                <c:pt idx="1">
                  <c:v>2.5669838459212809E-10</c:v>
                </c:pt>
                <c:pt idx="2">
                  <c:v>1.2758315616879723E-9</c:v>
                </c:pt>
                <c:pt idx="3">
                  <c:v>4.7604097270667062E-9</c:v>
                </c:pt>
                <c:pt idx="4">
                  <c:v>1.4423222939931207E-8</c:v>
                </c:pt>
                <c:pt idx="5">
                  <c:v>3.7345118741677572E-8</c:v>
                </c:pt>
                <c:pt idx="6">
                  <c:v>8.5571489765135204E-8</c:v>
                </c:pt>
                <c:pt idx="7">
                  <c:v>1.7788249235072936E-7</c:v>
                </c:pt>
                <c:pt idx="8">
                  <c:v>3.4163354608114504E-7</c:v>
                </c:pt>
                <c:pt idx="9">
                  <c:v>6.1457246199839452E-7</c:v>
                </c:pt>
                <c:pt idx="10">
                  <c:v>1.0465568037983054E-6</c:v>
                </c:pt>
                <c:pt idx="11">
                  <c:v>1.7011146237522285E-6</c:v>
                </c:pt>
                <c:pt idx="12">
                  <c:v>2.6568103913032113E-6</c:v>
                </c:pt>
                <c:pt idx="13">
                  <c:v>4.0083941469069395E-6</c:v>
                </c:pt>
                <c:pt idx="14">
                  <c:v>5.8677250766771872E-6</c:v>
                </c:pt>
                <c:pt idx="15">
                  <c:v>8.3644708156171413E-6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2-EEB8-4087-A277-0D7FDBE0D661}"/>
            </c:ext>
          </c:extLst>
        </c:ser>
        <c:ser>
          <c:idx val="5"/>
          <c:order val="5"/>
          <c:tx>
            <c:v>10% EGR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EGR'!$N$19:$N$34</c:f>
              <c:numCache>
                <c:formatCode>0.000E+00</c:formatCode>
                <c:ptCount val="16"/>
                <c:pt idx="0">
                  <c:v>2.2447012855503213E-11</c:v>
                </c:pt>
                <c:pt idx="1">
                  <c:v>1.7389596429745274E-10</c:v>
                </c:pt>
                <c:pt idx="2">
                  <c:v>8.8410895775769366E-10</c:v>
                </c:pt>
                <c:pt idx="3">
                  <c:v>3.3607969103071941E-9</c:v>
                </c:pt>
                <c:pt idx="4">
                  <c:v>1.0343489838335984E-8</c:v>
                </c:pt>
                <c:pt idx="5">
                  <c:v>2.7144416715615559E-8</c:v>
                </c:pt>
                <c:pt idx="6">
                  <c:v>6.2931372322732956E-8</c:v>
                </c:pt>
                <c:pt idx="7">
                  <c:v>1.3217971001815061E-7</c:v>
                </c:pt>
                <c:pt idx="8">
                  <c:v>2.5621203063520514E-7</c:v>
                </c:pt>
                <c:pt idx="9">
                  <c:v>4.6474825395110216E-7</c:v>
                </c:pt>
                <c:pt idx="10">
                  <c:v>7.9740012895087804E-7</c:v>
                </c:pt>
                <c:pt idx="11">
                  <c:v>1.3050586250373507E-6</c:v>
                </c:pt>
                <c:pt idx="12">
                  <c:v>2.0511372655080107E-6</c:v>
                </c:pt>
                <c:pt idx="13">
                  <c:v>3.1126477422662655E-6</c:v>
                </c:pt>
                <c:pt idx="14">
                  <c:v>4.5810953616816596E-6</c:v>
                </c:pt>
                <c:pt idx="15">
                  <c:v>6.5631908247398891E-6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3-EEB8-4087-A277-0D7FDBE0D661}"/>
            </c:ext>
          </c:extLst>
        </c:ser>
        <c:ser>
          <c:idx val="6"/>
          <c:order val="6"/>
          <c:tx>
            <c:v>12% EGR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EGR'!$P$19:$P$34</c:f>
              <c:numCache>
                <c:formatCode>0.000E+00</c:formatCode>
                <c:ptCount val="16"/>
                <c:pt idx="0">
                  <c:v>1.4830443056564345E-11</c:v>
                </c:pt>
                <c:pt idx="1">
                  <c:v>1.1818766994252381E-10</c:v>
                </c:pt>
                <c:pt idx="2">
                  <c:v>6.1453669050539781E-10</c:v>
                </c:pt>
                <c:pt idx="3">
                  <c:v>2.3795704440544549E-9</c:v>
                </c:pt>
                <c:pt idx="4">
                  <c:v>7.438241516773232E-9</c:v>
                </c:pt>
                <c:pt idx="5">
                  <c:v>1.9782179418322741E-8</c:v>
                </c:pt>
                <c:pt idx="6">
                  <c:v>4.6398871776647751E-8</c:v>
                </c:pt>
                <c:pt idx="7">
                  <c:v>9.8459792129020094E-8</c:v>
                </c:pt>
                <c:pt idx="8">
                  <c:v>1.9260420398881294E-7</c:v>
                </c:pt>
                <c:pt idx="9">
                  <c:v>3.5225560587153777E-7</c:v>
                </c:pt>
                <c:pt idx="10">
                  <c:v>6.0891473326362586E-7</c:v>
                </c:pt>
                <c:pt idx="11">
                  <c:v>1.0033833167575859E-6</c:v>
                </c:pt>
                <c:pt idx="12">
                  <c:v>1.5868840200434899E-6</c:v>
                </c:pt>
                <c:pt idx="13">
                  <c:v>2.4220526764624304E-6</c:v>
                </c:pt>
                <c:pt idx="14">
                  <c:v>3.5837883328825756E-6</c:v>
                </c:pt>
                <c:pt idx="15">
                  <c:v>5.1599543857089138E-6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4-EEB8-4087-A277-0D7FDBE0D661}"/>
            </c:ext>
          </c:extLst>
        </c:ser>
        <c:ser>
          <c:idx val="7"/>
          <c:order val="7"/>
          <c:tx>
            <c:v>14% EGR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EGR'!$R$19:$R$34</c:f>
              <c:numCache>
                <c:formatCode>0.000E+00</c:formatCode>
                <c:ptCount val="16"/>
                <c:pt idx="0">
                  <c:v>9.8157976934918388E-12</c:v>
                </c:pt>
                <c:pt idx="1">
                  <c:v>8.0458313246400161E-11</c:v>
                </c:pt>
                <c:pt idx="2">
                  <c:v>4.2781737407015197E-10</c:v>
                </c:pt>
                <c:pt idx="3">
                  <c:v>1.687269363762865E-9</c:v>
                </c:pt>
                <c:pt idx="4">
                  <c:v>5.3563650966355006E-9</c:v>
                </c:pt>
                <c:pt idx="5">
                  <c:v>1.4435647936471248E-8</c:v>
                </c:pt>
                <c:pt idx="6">
                  <c:v>3.4252446208992804E-8</c:v>
                </c:pt>
                <c:pt idx="7">
                  <c:v>7.3430300546092431E-8</c:v>
                </c:pt>
                <c:pt idx="8">
                  <c:v>1.4495558066149274E-7</c:v>
                </c:pt>
                <c:pt idx="9">
                  <c:v>2.6729054399279796E-7</c:v>
                </c:pt>
                <c:pt idx="10">
                  <c:v>4.6548578686446106E-7</c:v>
                </c:pt>
                <c:pt idx="11">
                  <c:v>7.7225209996031544E-7</c:v>
                </c:pt>
                <c:pt idx="12">
                  <c:v>1.2289601636211126E-6</c:v>
                </c:pt>
                <c:pt idx="13">
                  <c:v>1.8865449828317664E-6</c:v>
                </c:pt>
                <c:pt idx="14">
                  <c:v>2.8062996986002877E-6</c:v>
                </c:pt>
                <c:pt idx="15">
                  <c:v>4.0605500492052108E-6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5-EEB8-4087-A277-0D7FDBE0D661}"/>
            </c:ext>
          </c:extLst>
        </c:ser>
        <c:ser>
          <c:idx val="8"/>
          <c:order val="8"/>
          <c:tx>
            <c:v>16% EGR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EGR'!$T$19:$T$34</c:f>
              <c:numCache>
                <c:formatCode>0.000E+00</c:formatCode>
                <c:ptCount val="16"/>
                <c:pt idx="0">
                  <c:v>6.5682885314841045E-12</c:v>
                </c:pt>
                <c:pt idx="1">
                  <c:v>5.5335650247404231E-11</c:v>
                </c:pt>
                <c:pt idx="2">
                  <c:v>3.007117113520491E-10</c:v>
                </c:pt>
                <c:pt idx="3">
                  <c:v>1.2073772939783028E-9</c:v>
                </c:pt>
                <c:pt idx="4">
                  <c:v>3.8910533664652422E-9</c:v>
                </c:pt>
                <c:pt idx="5">
                  <c:v>1.0622942562536712E-8</c:v>
                </c:pt>
                <c:pt idx="6">
                  <c:v>2.5491231598577197E-8</c:v>
                </c:pt>
                <c:pt idx="7">
                  <c:v>5.5193867150653702E-8</c:v>
                </c:pt>
                <c:pt idx="8">
                  <c:v>1.0992585645899717E-7</c:v>
                </c:pt>
                <c:pt idx="9">
                  <c:v>2.0432052466330887E-7</c:v>
                </c:pt>
                <c:pt idx="10">
                  <c:v>3.5840557304225448E-7</c:v>
                </c:pt>
                <c:pt idx="11">
                  <c:v>5.9853940919105652E-7</c:v>
                </c:pt>
                <c:pt idx="12">
                  <c:v>9.5829941927962517E-7</c:v>
                </c:pt>
                <c:pt idx="13">
                  <c:v>1.4793004668141009E-6</c:v>
                </c:pt>
                <c:pt idx="14">
                  <c:v>2.2119282068607172E-6</c:v>
                </c:pt>
                <c:pt idx="15">
                  <c:v>3.2159774029095332E-6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6-EEB8-4087-A277-0D7FDBE0D661}"/>
            </c:ext>
          </c:extLst>
        </c:ser>
        <c:ser>
          <c:idx val="9"/>
          <c:order val="9"/>
          <c:tx>
            <c:v>18% EGR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EGR'!$V$19:$V$34</c:f>
              <c:numCache>
                <c:formatCode>0.000E+00</c:formatCode>
                <c:ptCount val="16"/>
                <c:pt idx="0">
                  <c:v>4.3455264373988985E-12</c:v>
                </c:pt>
                <c:pt idx="1">
                  <c:v>3.7654522057515251E-11</c:v>
                </c:pt>
                <c:pt idx="2">
                  <c:v>2.092522210148067E-10</c:v>
                </c:pt>
                <c:pt idx="3">
                  <c:v>8.5572558087111079E-10</c:v>
                </c:pt>
                <c:pt idx="4">
                  <c:v>2.8007207620135651E-9</c:v>
                </c:pt>
                <c:pt idx="5">
                  <c:v>7.7483136674048934E-9</c:v>
                </c:pt>
                <c:pt idx="6">
                  <c:v>1.880931658046053E-8</c:v>
                </c:pt>
                <c:pt idx="7">
                  <c:v>4.1143696451439547E-8</c:v>
                </c:pt>
                <c:pt idx="8">
                  <c:v>8.269198249006155E-8</c:v>
                </c:pt>
                <c:pt idx="9">
                  <c:v>1.5496388439509131E-7</c:v>
                </c:pt>
                <c:pt idx="10">
                  <c:v>2.7385212033354172E-7</c:v>
                </c:pt>
                <c:pt idx="11">
                  <c:v>4.6044217953782895E-7</c:v>
                </c:pt>
                <c:pt idx="12">
                  <c:v>7.4179310861693404E-7</c:v>
                </c:pt>
                <c:pt idx="13">
                  <c:v>1.1516694308296429E-6</c:v>
                </c:pt>
                <c:pt idx="14">
                  <c:v>1.7312093259748725E-6</c:v>
                </c:pt>
                <c:pt idx="15">
                  <c:v>2.5295188216847928E-6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7-EEB8-4087-A277-0D7FDBE0D661}"/>
            </c:ext>
          </c:extLst>
        </c:ser>
        <c:ser>
          <c:idx val="10"/>
          <c:order val="10"/>
          <c:tx>
            <c:v>20% EGR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'With EGR'!$A$19:$A$34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'With EGR'!$X$19:$X$34</c:f>
              <c:numCache>
                <c:formatCode>0.000E+00</c:formatCode>
                <c:ptCount val="16"/>
                <c:pt idx="0">
                  <c:v>2.8901577107893834E-12</c:v>
                </c:pt>
                <c:pt idx="1">
                  <c:v>2.5748998062647747E-11</c:v>
                </c:pt>
                <c:pt idx="2">
                  <c:v>1.4628354239020671E-10</c:v>
                </c:pt>
                <c:pt idx="3">
                  <c:v>6.091562360184204E-10</c:v>
                </c:pt>
                <c:pt idx="4">
                  <c:v>2.0243630466711402E-9</c:v>
                </c:pt>
                <c:pt idx="5">
                  <c:v>5.6742845257927957E-9</c:v>
                </c:pt>
                <c:pt idx="6">
                  <c:v>1.3932591893460125E-8</c:v>
                </c:pt>
                <c:pt idx="7">
                  <c:v>3.0784723497561376E-8</c:v>
                </c:pt>
                <c:pt idx="8">
                  <c:v>6.2430292829116425E-8</c:v>
                </c:pt>
                <c:pt idx="9">
                  <c:v>1.1794281463061599E-7</c:v>
                </c:pt>
                <c:pt idx="10">
                  <c:v>2.099608486401855E-7</c:v>
                </c:pt>
                <c:pt idx="11">
                  <c:v>3.5538599882520999E-7</c:v>
                </c:pt>
                <c:pt idx="12">
                  <c:v>5.7606614701369091E-7</c:v>
                </c:pt>
                <c:pt idx="13">
                  <c:v>8.9944602687528997E-7</c:v>
                </c:pt>
                <c:pt idx="14">
                  <c:v>1.3591711772898699E-6</c:v>
                </c:pt>
                <c:pt idx="15">
                  <c:v>1.995635080960957E-6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8-EEB8-4087-A277-0D7FDBE0D6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4214544"/>
        <c:axId val="674215200"/>
      </c:scatterChart>
      <c:valAx>
        <c:axId val="674214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215200"/>
        <c:crosses val="autoZero"/>
        <c:crossBetween val="midCat"/>
      </c:valAx>
      <c:valAx>
        <c:axId val="67421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214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Average Nox vs EGR%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'With EGR'!$A$3:$A$13</c:f>
              <c:numCache>
                <c:formatCode>0</c:formatCode>
                <c:ptCount val="11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</c:numCache>
            </c:numRef>
          </c:xVal>
          <c:yVal>
            <c:numRef>
              <c:f>'With EGR'!$L$3:$L$13</c:f>
              <c:numCache>
                <c:formatCode>0.000E+00</c:formatCode>
                <c:ptCount val="11"/>
                <c:pt idx="0">
                  <c:v>4.5343139025801741E-6</c:v>
                </c:pt>
                <c:pt idx="1">
                  <c:v>3.3564536477566385E-6</c:v>
                </c:pt>
                <c:pt idx="2">
                  <c:v>2.5943423029374302E-6</c:v>
                </c:pt>
                <c:pt idx="3">
                  <c:v>2.006625969308265E-6</c:v>
                </c:pt>
                <c:pt idx="4">
                  <c:v>1.5576767015269163E-6</c:v>
                </c:pt>
                <c:pt idx="5">
                  <c:v>1.210533154406901E-6</c:v>
                </c:pt>
                <c:pt idx="6">
                  <c:v>9.4281521781670592E-7</c:v>
                </c:pt>
                <c:pt idx="7">
                  <c:v>7.3512618914840058E-7</c:v>
                </c:pt>
                <c:pt idx="8">
                  <c:v>5.77091621677621E-7</c:v>
                </c:pt>
                <c:pt idx="9">
                  <c:v>4.4985936744840406E-7</c:v>
                </c:pt>
                <c:pt idx="10">
                  <c:v>3.518274018101627E-7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43-4500-A6F1-9B30D0C0F5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560024"/>
        <c:axId val="311560352"/>
      </c:scatterChart>
      <c:valAx>
        <c:axId val="311560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560352"/>
        <c:crosses val="autoZero"/>
        <c:crossBetween val="midCat"/>
      </c:valAx>
      <c:valAx>
        <c:axId val="31156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AVG NOx Production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560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NOx PPM Vs</a:t>
            </a:r>
            <a:r>
              <a:rPr lang="en-GB" baseline="0"/>
              <a:t> EGR%</a:t>
            </a:r>
            <a:endParaRPr lang="en-GB"/>
          </a:p>
        </c:rich>
      </c:tx>
      <c:layout>
        <c:manualLayout>
          <c:xMode val="edge"/>
          <c:yMode val="edge"/>
          <c:x val="0.22222602076701195"/>
          <c:y val="2.07039337474120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NOx PPM Vs EGR%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2"/>
            <c:dispRSqr val="0"/>
            <c:dispEq val="0"/>
          </c:trendline>
          <c:xVal>
            <c:numRef>
              <c:f>'With EGR'!$C$16:$X$16</c:f>
              <c:numCache>
                <c:formatCode>General</c:formatCode>
                <c:ptCount val="22"/>
                <c:pt idx="0">
                  <c:v>0</c:v>
                </c:pt>
                <c:pt idx="2">
                  <c:v>2</c:v>
                </c:pt>
                <c:pt idx="4">
                  <c:v>4</c:v>
                </c:pt>
                <c:pt idx="6">
                  <c:v>6</c:v>
                </c:pt>
                <c:pt idx="8">
                  <c:v>8</c:v>
                </c:pt>
                <c:pt idx="10">
                  <c:v>10</c:v>
                </c:pt>
                <c:pt idx="12">
                  <c:v>12</c:v>
                </c:pt>
                <c:pt idx="14">
                  <c:v>14</c:v>
                </c:pt>
                <c:pt idx="16">
                  <c:v>16</c:v>
                </c:pt>
                <c:pt idx="18">
                  <c:v>18</c:v>
                </c:pt>
                <c:pt idx="20">
                  <c:v>20</c:v>
                </c:pt>
              </c:numCache>
            </c:numRef>
          </c:xVal>
          <c:yVal>
            <c:numRef>
              <c:f>'With EGR'!$D$36:$X$36</c:f>
              <c:numCache>
                <c:formatCode>0.000E+00</c:formatCode>
                <c:ptCount val="21"/>
                <c:pt idx="0">
                  <c:v>3246612.9274572115</c:v>
                </c:pt>
                <c:pt idx="2">
                  <c:v>2356130.892459569</c:v>
                </c:pt>
                <c:pt idx="4">
                  <c:v>1786129.1951368263</c:v>
                </c:pt>
                <c:pt idx="6">
                  <c:v>1355437.492963373</c:v>
                </c:pt>
                <c:pt idx="8">
                  <c:v>1032696.0121791764</c:v>
                </c:pt>
                <c:pt idx="10">
                  <c:v>787957.75595361809</c:v>
                </c:pt>
                <c:pt idx="12">
                  <c:v>602736.50075603824</c:v>
                </c:pt>
                <c:pt idx="14">
                  <c:v>461717.11668178125</c:v>
                </c:pt>
                <c:pt idx="16">
                  <c:v>356209.67511901126</c:v>
                </c:pt>
                <c:pt idx="18">
                  <c:v>272969.22848767118</c:v>
                </c:pt>
                <c:pt idx="20">
                  <c:v>209926.53932725839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6C9-445D-99BC-2BFCFD2329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4214544"/>
        <c:axId val="674215200"/>
      </c:scatterChart>
      <c:valAx>
        <c:axId val="674214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EGR%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215200"/>
        <c:crosses val="autoZero"/>
        <c:crossBetween val="midCat"/>
      </c:valAx>
      <c:valAx>
        <c:axId val="67421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214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0</xdr:row>
      <xdr:rowOff>186690</xdr:rowOff>
    </xdr:from>
    <xdr:to>
      <xdr:col>40</xdr:col>
      <xdr:colOff>22860</xdr:colOff>
      <xdr:row>22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216DECF-A850-4DB1-A4B4-0A5CD37B73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0</xdr:colOff>
      <xdr:row>23</xdr:row>
      <xdr:rowOff>0</xdr:rowOff>
    </xdr:from>
    <xdr:to>
      <xdr:col>40</xdr:col>
      <xdr:colOff>22860</xdr:colOff>
      <xdr:row>44</xdr:row>
      <xdr:rowOff>3810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4F23A2D-4E1F-46B5-A40E-069E7ED022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37</xdr:row>
      <xdr:rowOff>0</xdr:rowOff>
    </xdr:from>
    <xdr:to>
      <xdr:col>13</xdr:col>
      <xdr:colOff>30480</xdr:colOff>
      <xdr:row>57</xdr:row>
      <xdr:rowOff>22860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E433C9D-C6B3-481F-9027-8C6ADB383A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22860</xdr:colOff>
      <xdr:row>0</xdr:row>
      <xdr:rowOff>179070</xdr:rowOff>
    </xdr:from>
    <xdr:to>
      <xdr:col>19</xdr:col>
      <xdr:colOff>38100</xdr:colOff>
      <xdr:row>12</xdr:row>
      <xdr:rowOff>175260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A108A1B-3B35-45F8-BBBD-1B360212AF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7620</xdr:colOff>
      <xdr:row>37</xdr:row>
      <xdr:rowOff>0</xdr:rowOff>
    </xdr:from>
    <xdr:to>
      <xdr:col>25</xdr:col>
      <xdr:colOff>167640</xdr:colOff>
      <xdr:row>57</xdr:row>
      <xdr:rowOff>22860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7C45A2A-31CF-4755-9A55-4E3DBEBB5F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0DB17-38C4-4966-9851-87C4C25DC231}">
  <dimension ref="A1:CI45"/>
  <sheetViews>
    <sheetView topLeftCell="H1" zoomScaleNormal="100" workbookViewId="0">
      <selection activeCell="V6" sqref="V6:V21"/>
    </sheetView>
  </sheetViews>
  <sheetFormatPr defaultRowHeight="14.4" x14ac:dyDescent="0.3"/>
  <cols>
    <col min="1" max="1" width="10.77734375" style="1" customWidth="1"/>
    <col min="2" max="2" width="8.88671875" style="1"/>
    <col min="3" max="28" width="10.77734375" style="1" customWidth="1"/>
    <col min="36" max="87" width="10.77734375" customWidth="1"/>
  </cols>
  <sheetData>
    <row r="1" spans="1:87" ht="15" thickBot="1" x14ac:dyDescent="0.35">
      <c r="A1" s="13" t="s">
        <v>92</v>
      </c>
      <c r="B1" s="14">
        <v>1800</v>
      </c>
    </row>
    <row r="2" spans="1:87" x14ac:dyDescent="0.3">
      <c r="A2" s="79" t="s">
        <v>25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1"/>
    </row>
    <row r="3" spans="1:87" x14ac:dyDescent="0.3">
      <c r="A3" s="7"/>
      <c r="B3" s="30" t="s">
        <v>7</v>
      </c>
      <c r="C3" s="82">
        <v>0.6</v>
      </c>
      <c r="D3" s="82"/>
      <c r="E3" s="82">
        <f>C3+0.05</f>
        <v>0.65</v>
      </c>
      <c r="F3" s="82"/>
      <c r="G3" s="82">
        <v>0.7</v>
      </c>
      <c r="H3" s="82"/>
      <c r="I3" s="82">
        <v>0.75</v>
      </c>
      <c r="J3" s="82"/>
      <c r="K3" s="82">
        <v>0.8</v>
      </c>
      <c r="L3" s="82"/>
      <c r="M3" s="82">
        <v>0.85</v>
      </c>
      <c r="N3" s="82"/>
      <c r="O3" s="82">
        <v>0.9</v>
      </c>
      <c r="P3" s="82"/>
      <c r="Q3" s="82">
        <v>0.95</v>
      </c>
      <c r="R3" s="82"/>
      <c r="S3" s="82">
        <v>0.96</v>
      </c>
      <c r="T3" s="82"/>
      <c r="U3" s="82">
        <v>0.97</v>
      </c>
      <c r="V3" s="82"/>
      <c r="W3" s="82">
        <v>0.98</v>
      </c>
      <c r="X3" s="82"/>
      <c r="Y3" s="82">
        <v>0.99</v>
      </c>
      <c r="Z3" s="82"/>
      <c r="AA3" s="82">
        <v>1</v>
      </c>
      <c r="AB3" s="83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</row>
    <row r="4" spans="1:87" x14ac:dyDescent="0.3">
      <c r="A4" s="7" t="s">
        <v>0</v>
      </c>
      <c r="B4" s="8" t="s">
        <v>1</v>
      </c>
      <c r="C4" s="8" t="s">
        <v>102</v>
      </c>
      <c r="D4" s="8" t="s">
        <v>4</v>
      </c>
      <c r="E4" s="15" t="s">
        <v>102</v>
      </c>
      <c r="F4" s="8" t="s">
        <v>4</v>
      </c>
      <c r="G4" s="15" t="s">
        <v>102</v>
      </c>
      <c r="H4" s="8" t="s">
        <v>4</v>
      </c>
      <c r="I4" s="15" t="s">
        <v>102</v>
      </c>
      <c r="J4" s="8" t="s">
        <v>4</v>
      </c>
      <c r="K4" s="15" t="s">
        <v>102</v>
      </c>
      <c r="L4" s="8" t="s">
        <v>4</v>
      </c>
      <c r="M4" s="15" t="s">
        <v>102</v>
      </c>
      <c r="N4" s="8" t="s">
        <v>4</v>
      </c>
      <c r="O4" s="15" t="s">
        <v>102</v>
      </c>
      <c r="P4" s="8" t="s">
        <v>4</v>
      </c>
      <c r="Q4" s="15" t="s">
        <v>102</v>
      </c>
      <c r="R4" s="8" t="s">
        <v>4</v>
      </c>
      <c r="S4" s="15" t="s">
        <v>102</v>
      </c>
      <c r="T4" s="8" t="s">
        <v>4</v>
      </c>
      <c r="U4" s="15" t="s">
        <v>102</v>
      </c>
      <c r="V4" s="8" t="s">
        <v>4</v>
      </c>
      <c r="W4" s="15" t="s">
        <v>102</v>
      </c>
      <c r="X4" s="8" t="s">
        <v>4</v>
      </c>
      <c r="Y4" s="15" t="s">
        <v>102</v>
      </c>
      <c r="Z4" s="8" t="s">
        <v>4</v>
      </c>
      <c r="AA4" s="15" t="s">
        <v>102</v>
      </c>
      <c r="AB4" s="9" t="s">
        <v>4</v>
      </c>
      <c r="AI4" s="3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</row>
    <row r="5" spans="1:87" x14ac:dyDescent="0.3">
      <c r="A5" s="7" t="s">
        <v>2</v>
      </c>
      <c r="B5" s="8" t="s">
        <v>3</v>
      </c>
      <c r="C5" s="8" t="s">
        <v>5</v>
      </c>
      <c r="D5" s="8" t="s">
        <v>6</v>
      </c>
      <c r="E5" s="8" t="s">
        <v>5</v>
      </c>
      <c r="F5" s="8" t="s">
        <v>6</v>
      </c>
      <c r="G5" s="8" t="s">
        <v>5</v>
      </c>
      <c r="H5" s="8" t="s">
        <v>6</v>
      </c>
      <c r="I5" s="8" t="s">
        <v>5</v>
      </c>
      <c r="J5" s="8" t="s">
        <v>6</v>
      </c>
      <c r="K5" s="8" t="s">
        <v>5</v>
      </c>
      <c r="L5" s="8" t="s">
        <v>6</v>
      </c>
      <c r="M5" s="8" t="s">
        <v>5</v>
      </c>
      <c r="N5" s="8" t="s">
        <v>6</v>
      </c>
      <c r="O5" s="8" t="s">
        <v>5</v>
      </c>
      <c r="P5" s="8" t="s">
        <v>6</v>
      </c>
      <c r="Q5" s="8" t="s">
        <v>5</v>
      </c>
      <c r="R5" s="8" t="s">
        <v>6</v>
      </c>
      <c r="S5" s="8" t="s">
        <v>5</v>
      </c>
      <c r="T5" s="8" t="s">
        <v>6</v>
      </c>
      <c r="U5" s="8" t="s">
        <v>5</v>
      </c>
      <c r="V5" s="8" t="s">
        <v>6</v>
      </c>
      <c r="W5" s="8" t="s">
        <v>5</v>
      </c>
      <c r="X5" s="8" t="s">
        <v>6</v>
      </c>
      <c r="Y5" s="8" t="s">
        <v>5</v>
      </c>
      <c r="Z5" s="8" t="s">
        <v>6</v>
      </c>
      <c r="AA5" s="8" t="s">
        <v>5</v>
      </c>
      <c r="AB5" s="9" t="s">
        <v>6</v>
      </c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</row>
    <row r="6" spans="1:87" x14ac:dyDescent="0.3">
      <c r="A6" s="7">
        <v>0</v>
      </c>
      <c r="B6" s="8">
        <v>10</v>
      </c>
      <c r="C6" s="33">
        <v>1606.6759999999999</v>
      </c>
      <c r="D6" s="34">
        <f>((4170000000000*((('Reference tables'!$X$40)*('Reference tables'!$Y$40))^0.5)*EXP((-67837/'No EGR'!C6)))/('No EGR'!$B$1*6))*'Reference tables'!$B$51</f>
        <v>1.3491478524281068E-15</v>
      </c>
      <c r="E6" s="33">
        <v>1707.0119999999999</v>
      </c>
      <c r="F6" s="34">
        <f>((4170000000000*((('Reference tables'!$X$41)*('Reference tables'!$Y$41))^0.5)*EXP((-67837/'No EGR'!E6)))/('No EGR'!$B$1*6))*'Reference tables'!$B$51</f>
        <v>1.5083917534975463E-14</v>
      </c>
      <c r="G6" s="33">
        <v>1806.432</v>
      </c>
      <c r="H6" s="34">
        <f>((4170000000000*((('Reference tables'!$X$42)*('Reference tables'!$Y$42))^0.5)*EXP((-67837/'No EGR'!G6)))/('No EGR'!$B$1*6))*'Reference tables'!$B$51</f>
        <v>1.2432405395796231E-13</v>
      </c>
      <c r="I6" s="33">
        <v>1905.2170000000001</v>
      </c>
      <c r="J6" s="34">
        <f>((4170000000000*((('Reference tables'!$X$43)*('Reference tables'!$Y$43))^0.5)*EXP((-67837/'No EGR'!I6)))/('No EGR'!$B$1*6))*'Reference tables'!$B$51</f>
        <v>7.947405456746005E-13</v>
      </c>
      <c r="K6" s="33">
        <v>2003.346</v>
      </c>
      <c r="L6" s="34">
        <f>((4170000000000*((('Reference tables'!$X$44)*('Reference tables'!$Y$44))^0.5)*EXP((-67837/'No EGR'!K6)))/('No EGR'!$B$1*6))*'Reference tables'!$B$51</f>
        <v>4.0630267115585033E-12</v>
      </c>
      <c r="M6" s="33">
        <v>2101.027</v>
      </c>
      <c r="N6" s="34">
        <f>((4170000000000*((('Reference tables'!$X$45)*('Reference tables'!$Y$45))^0.5)*EXP((-67837/'No EGR'!M6)))/('No EGR'!$B$1*6))*'Reference tables'!$B$51</f>
        <v>1.6971994339819727E-11</v>
      </c>
      <c r="O6" s="33">
        <v>2197.913</v>
      </c>
      <c r="P6" s="34">
        <f>((4170000000000*((('Reference tables'!$X$46)*('Reference tables'!$Y$46))^0.5)*EXP((-67837/'No EGR'!O6)))/('No EGR'!$B$1*6))*'Reference tables'!$B$51</f>
        <v>5.7470308182883752E-11</v>
      </c>
      <c r="Q6" s="33">
        <v>2294.596</v>
      </c>
      <c r="R6" s="34">
        <f>((4170000000000*((('Reference tables'!$X$47)*('Reference tables'!$Y$47))^0.5)*EXP((-67837/'No EGR'!Q6)))/('No EGR'!$B$1*6))*'Reference tables'!$B$51</f>
        <v>1.4905818999911629E-10</v>
      </c>
      <c r="S6" s="33">
        <v>2313.81</v>
      </c>
      <c r="T6" s="34">
        <f>((4170000000000*((('Reference tables'!$X$48)*('Reference tables'!$Y$48))^0.5)*EXP((-67837/'No EGR'!S6)))/('No EGR'!$B$1*6))*'Reference tables'!$B$51</f>
        <v>1.7039155961676716E-10</v>
      </c>
      <c r="U6" s="33">
        <v>2337.9949999999999</v>
      </c>
      <c r="V6" s="34">
        <f>((4170000000000*((('Reference tables'!$X$49)*('Reference tables'!$Y$49))^0.5)*EXP((-67837/'No EGR'!U6)))/('No EGR'!$B$1*6))*'Reference tables'!$B$51</f>
        <v>1.9981083799585803E-10</v>
      </c>
      <c r="W6" s="33">
        <v>2352.1840000000002</v>
      </c>
      <c r="X6" s="34">
        <f>((4170000000000*((('Reference tables'!$X$50)*('Reference tables'!$Y$50))^0.5)*EXP((-67837/'No EGR'!W6)))/('No EGR'!$B$1*6))*'Reference tables'!$B$51</f>
        <v>1.9431871321151412E-10</v>
      </c>
      <c r="Y6" s="33">
        <v>2370.7979999999998</v>
      </c>
      <c r="Z6" s="34">
        <f>((4170000000000*((('Reference tables'!$X$51)*('Reference tables'!$Y$51))^0.5)*EXP((-67837/'No EGR'!Y6)))/('No EGR'!$B$1*6))*'Reference tables'!$B$51</f>
        <v>1.7229260384147144E-10</v>
      </c>
      <c r="AA6" s="33">
        <v>2393.5790000000002</v>
      </c>
      <c r="AB6" s="35">
        <f>((4170000000000*((('Reference tables'!$X$52)*('Reference tables'!$Y$52))^0.5)*EXP((-67837/'No EGR'!AA6)))/('No EGR'!$B$1*6))*'Reference tables'!$B$51</f>
        <v>0</v>
      </c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</row>
    <row r="7" spans="1:87" x14ac:dyDescent="0.3">
      <c r="A7" s="7">
        <f>A6+1</f>
        <v>1</v>
      </c>
      <c r="B7" s="8">
        <f>B6+2</f>
        <v>12</v>
      </c>
      <c r="C7" s="33">
        <f t="shared" ref="C7:C21" si="0">((((B29^(1.59-1))/(B28^(1.59-1)))*C6^(1.59)))^(1/1.59)</f>
        <v>1719.1351756427596</v>
      </c>
      <c r="D7" s="34">
        <f>((4170000000000*((('Reference tables'!$X$40)*('Reference tables'!$Y$40))^0.5)*EXP((-67837/'No EGR'!C7)))/('No EGR'!$B$1*6))*'Reference tables'!$B$51</f>
        <v>2.1358934565129561E-14</v>
      </c>
      <c r="E7" s="33">
        <f t="shared" ref="E7:E21" si="1">((((B29^(1.59-1))/(B28^(1.59-1)))*E6^(1.59)))^(1/1.59)</f>
        <v>1826.4941870322943</v>
      </c>
      <c r="F7" s="34">
        <f>((4170000000000*((('Reference tables'!$X$41)*('Reference tables'!$Y$41))^0.5)*EXP((-67837/'No EGR'!E7)))/('No EGR'!$B$1*6))*'Reference tables'!$B$51</f>
        <v>2.0301490395409134E-13</v>
      </c>
      <c r="G7" s="33">
        <f t="shared" ref="G7:G21" si="2">((((B29^(1.59-1))/(B28^(1.59-1)))*G6^(1.59)))^(1/1.59)</f>
        <v>1932.8730830651</v>
      </c>
      <c r="H7" s="34">
        <f>((4170000000000*((('Reference tables'!$X$42)*('Reference tables'!$Y$42))^0.5)*EXP((-67837/'No EGR'!G7)))/('No EGR'!$B$1*6))*'Reference tables'!$B$51</f>
        <v>1.4502129484345593E-12</v>
      </c>
      <c r="I7" s="33">
        <f t="shared" ref="I7:I21" si="3">((((B29^(1.59-1))/(B28^(1.59-1)))*I6^(1.59)))^(1/1.59)</f>
        <v>2038.572532316766</v>
      </c>
      <c r="J7" s="34">
        <f>((4170000000000*((('Reference tables'!$X$43)*('Reference tables'!$Y$43))^0.5)*EXP((-67837/'No EGR'!I7)))/('No EGR'!$B$1*6))*'Reference tables'!$B$51</f>
        <v>8.1617767972194572E-12</v>
      </c>
      <c r="K7" s="33">
        <f>((((B29^(1.59-1))/(B28^(1.59-1)))*K6^(1.59)))^(1/1.59)</f>
        <v>2143.5700648937432</v>
      </c>
      <c r="L7" s="34">
        <f>((4170000000000*((('Reference tables'!$X$44)*('Reference tables'!$Y$44))^0.5)*EXP((-67837/'No EGR'!K7)))/('No EGR'!$B$1*6))*'Reference tables'!$B$51</f>
        <v>3.722719059526917E-11</v>
      </c>
      <c r="M7" s="33">
        <f t="shared" ref="M7:M21" si="4">((((B29^(1.59-1))/(B28^(1.59-1)))*M6^(1.59)))^(1/1.59)</f>
        <v>2248.0882397416649</v>
      </c>
      <c r="N7" s="34">
        <f>((4170000000000*((('Reference tables'!$X$45)*('Reference tables'!$Y$45))^0.5)*EXP((-67837/'No EGR'!M7)))/('No EGR'!$B$1*6))*'Reference tables'!$B$51</f>
        <v>1.4028706951572327E-10</v>
      </c>
      <c r="O7" s="33">
        <f t="shared" ref="O7:O21" si="5">((((B29^(1.59-1))/(B28^(1.59-1)))*O6^(1.59)))^(1/1.59)</f>
        <v>2351.7557686195019</v>
      </c>
      <c r="P7" s="34">
        <f>((4170000000000*((('Reference tables'!$X$46)*('Reference tables'!$Y$46))^0.5)*EXP((-67837/'No EGR'!O7)))/('No EGR'!$B$1*6))*'Reference tables'!$B$51</f>
        <v>4.3280627229248718E-10</v>
      </c>
      <c r="Q7" s="33">
        <f t="shared" ref="Q7:Q21" si="6">((((B29^(1.59-1))/(B28^(1.59-1)))*Q6^(1.59)))^(1/1.59)</f>
        <v>2455.2060885263568</v>
      </c>
      <c r="R7" s="34">
        <f>((4170000000000*((('Reference tables'!$X$47)*('Reference tables'!$Y$47))^0.5)*EXP((-67837/'No EGR'!Q7)))/('No EGR'!$B$1*6))*'Reference tables'!$B$51</f>
        <v>1.0310024853909779E-9</v>
      </c>
      <c r="S7" s="33">
        <f t="shared" ref="S7:S21" si="7">((((B29^(1.59-1))/(B28^(1.59-1)))*S6^(1.59)))^(1/1.59)</f>
        <v>2475.764971129197</v>
      </c>
      <c r="T7" s="34">
        <f>((4170000000000*((('Reference tables'!$X$48)*('Reference tables'!$Y$48))^0.5)*EXP((-67837/'No EGR'!S7)))/('No EGR'!$B$1*6))*'Reference tables'!$B$51</f>
        <v>1.1597846088470301E-9</v>
      </c>
      <c r="U7" s="33">
        <f>((((B29^(1.59-1))/(B28^(1.59-1)))*U6^(1.59)))^(1/1.59)</f>
        <v>2501.6427985336745</v>
      </c>
      <c r="V7" s="34">
        <f>((4170000000000*((('Reference tables'!$X$49)*('Reference tables'!$Y$49))^0.5)*EXP((-67837/'No EGR'!U7)))/('No EGR'!$B$1*6))*'Reference tables'!$B$51</f>
        <v>1.3333132841075919E-9</v>
      </c>
      <c r="W7" s="33">
        <f t="shared" ref="W7:W21" si="8">((((B29^(1.59-1))/(B28^(1.59-1)))*W6^(1.59)))^(1/1.59)</f>
        <v>2516.824956608607</v>
      </c>
      <c r="X7" s="34">
        <f>((4170000000000*((('Reference tables'!$X$50)*('Reference tables'!$Y$50))^0.5)*EXP((-67837/'No EGR'!W7)))/('No EGR'!$B$1*6))*'Reference tables'!$B$51</f>
        <v>1.2819034440604986E-9</v>
      </c>
      <c r="Y7" s="33">
        <f t="shared" ref="Y7:Y21" si="9">((((B29^(1.59-1))/(B28^(1.59-1)))*Y6^(1.59)))^(1/1.59)</f>
        <v>2536.7418422528872</v>
      </c>
      <c r="Z7" s="34">
        <f>((4170000000000*((('Reference tables'!$X$51)*('Reference tables'!$Y$51))^0.5)*EXP((-67837/'No EGR'!Y7)))/('No EGR'!$B$1*6))*'Reference tables'!$B$51</f>
        <v>1.1198874565757239E-9</v>
      </c>
      <c r="AA7" s="33">
        <f>((((B29^(1.59-1))/(B28^(1.59-1)))*AA6^(1.59)))^(1/1.59)</f>
        <v>2561.1173967743466</v>
      </c>
      <c r="AB7" s="35">
        <f>((4170000000000*((('Reference tables'!$X$52)*('Reference tables'!$Y$52))^0.5)*EXP((-67837/'No EGR'!AA7)))/('No EGR'!$B$1*6))*'Reference tables'!$B$51</f>
        <v>0</v>
      </c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</row>
    <row r="8" spans="1:87" x14ac:dyDescent="0.3">
      <c r="A8" s="7">
        <f t="shared" ref="A8:A21" si="10">A7+1</f>
        <v>2</v>
      </c>
      <c r="B8" s="8">
        <f t="shared" ref="B8:B21" si="11">B7+2</f>
        <v>14</v>
      </c>
      <c r="C8" s="33">
        <f t="shared" si="0"/>
        <v>1820.3375050764671</v>
      </c>
      <c r="D8" s="34">
        <f>((4170000000000*((('Reference tables'!$X$40)*('Reference tables'!$Y$40))^0.5)*EXP((-67837/'No EGR'!C8)))/('No EGR'!$B$1*6))*'Reference tables'!$B$51</f>
        <v>1.915714550480324E-13</v>
      </c>
      <c r="E8" s="33">
        <f t="shared" si="1"/>
        <v>1934.0165442289472</v>
      </c>
      <c r="F8" s="34">
        <f>((4170000000000*((('Reference tables'!$X$41)*('Reference tables'!$Y$41))^0.5)*EXP((-67837/'No EGR'!E8)))/('No EGR'!$B$1*6))*'Reference tables'!$B$51</f>
        <v>1.6005808882747305E-12</v>
      </c>
      <c r="G8" s="33">
        <f t="shared" si="2"/>
        <v>2046.6577704342965</v>
      </c>
      <c r="H8" s="34">
        <f>((4170000000000*((('Reference tables'!$X$42)*('Reference tables'!$Y$42))^0.5)*EXP((-67837/'No EGR'!G8)))/('No EGR'!$B$1*6))*'Reference tables'!$B$51</f>
        <v>1.0205337380370722E-11</v>
      </c>
      <c r="I8" s="33">
        <f t="shared" si="3"/>
        <v>2158.5795520747633</v>
      </c>
      <c r="J8" s="34">
        <f>((4170000000000*((('Reference tables'!$X$43)*('Reference tables'!$Y$43))^0.5)*EXP((-67837/'No EGR'!I8)))/('No EGR'!$B$1*6))*'Reference tables'!$B$51</f>
        <v>5.1909047970047904E-11</v>
      </c>
      <c r="K8" s="33">
        <f t="shared" ref="K8:K21" si="12">((((B30^(1.59-1))/(B29^(1.59-1)))*K7^(1.59)))^(1/1.59)</f>
        <v>2269.7580964954477</v>
      </c>
      <c r="L8" s="34">
        <f>((4170000000000*((('Reference tables'!$X$44)*('Reference tables'!$Y$44))^0.5)*EXP((-67837/'No EGR'!K8)))/('No EGR'!$B$1*6))*'Reference tables'!$B$51</f>
        <v>2.1625351350916031E-10</v>
      </c>
      <c r="M8" s="33">
        <f t="shared" si="4"/>
        <v>2380.4290642782325</v>
      </c>
      <c r="N8" s="34">
        <f>((4170000000000*((('Reference tables'!$X$45)*('Reference tables'!$Y$45))^0.5)*EXP((-67837/'No EGR'!M8)))/('No EGR'!$B$1*6))*'Reference tables'!$B$51</f>
        <v>7.5092378596449739E-10</v>
      </c>
      <c r="O8" s="33">
        <f t="shared" si="5"/>
        <v>2490.1993101254607</v>
      </c>
      <c r="P8" s="34">
        <f>((4170000000000*((('Reference tables'!$X$46)*('Reference tables'!$Y$46))^0.5)*EXP((-67837/'No EGR'!O8)))/('No EGR'!$B$1*6))*'Reference tables'!$B$51</f>
        <v>2.1515694775372521E-9</v>
      </c>
      <c r="Q8" s="33">
        <f t="shared" si="6"/>
        <v>2599.7395603086375</v>
      </c>
      <c r="R8" s="34">
        <f>((4170000000000*((('Reference tables'!$X$47)*('Reference tables'!$Y$47))^0.5)*EXP((-67837/'No EGR'!Q8)))/('No EGR'!$B$1*6))*'Reference tables'!$B$51</f>
        <v>4.7904472445023257E-9</v>
      </c>
      <c r="S8" s="33">
        <f t="shared" si="7"/>
        <v>2621.5087065599914</v>
      </c>
      <c r="T8" s="34">
        <f>((4170000000000*((('Reference tables'!$X$48)*('Reference tables'!$Y$48))^0.5)*EXP((-67837/'No EGR'!S8)))/('No EGR'!$B$1*6))*'Reference tables'!$B$51</f>
        <v>5.3205180558641401E-9</v>
      </c>
      <c r="U8" s="33">
        <f t="shared" ref="U8:U21" si="13">((((B30^(1.59-1))/(B29^(1.59-1)))*U7^(1.59)))^(1/1.59)</f>
        <v>2648.9099141216093</v>
      </c>
      <c r="V8" s="34">
        <f>((4170000000000*((('Reference tables'!$X$49)*('Reference tables'!$Y$49))^0.5)*EXP((-67837/'No EGR'!U8)))/('No EGR'!$B$1*6))*'Reference tables'!$B$51</f>
        <v>6.0209527302907547E-9</v>
      </c>
      <c r="W8" s="33">
        <f t="shared" si="8"/>
        <v>2664.9858179500943</v>
      </c>
      <c r="X8" s="34">
        <f>((4170000000000*((('Reference tables'!$X$50)*('Reference tables'!$Y$50))^0.5)*EXP((-67837/'No EGR'!W8)))/('No EGR'!$B$1*6))*'Reference tables'!$B$51</f>
        <v>5.7363917437892947E-9</v>
      </c>
      <c r="Y8" s="33">
        <f t="shared" si="9"/>
        <v>2686.0751740614005</v>
      </c>
      <c r="Z8" s="34">
        <f>((4170000000000*((('Reference tables'!$X$51)*('Reference tables'!$Y$51))^0.5)*EXP((-67837/'No EGR'!Y8)))/('No EGR'!$B$1*6))*'Reference tables'!$B$51</f>
        <v>4.9527719279199031E-9</v>
      </c>
      <c r="AA8" s="33">
        <f t="shared" ref="AA8:AA21" si="14">((((B30^(1.86-1))/(B29^(1.86-1)))*AA7^(1.86)))^(1/1.86)</f>
        <v>2750.3209573122876</v>
      </c>
      <c r="AB8" s="35">
        <f>((4170000000000*((('Reference tables'!$X$52)*('Reference tables'!$Y$52))^0.5)*EXP((-67837/'No EGR'!AA8)))/('No EGR'!$B$1*6))*'Reference tables'!$B$51</f>
        <v>0</v>
      </c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</row>
    <row r="9" spans="1:87" x14ac:dyDescent="0.3">
      <c r="A9" s="7">
        <f t="shared" si="10"/>
        <v>3</v>
      </c>
      <c r="B9" s="8">
        <f t="shared" si="11"/>
        <v>16</v>
      </c>
      <c r="C9" s="33">
        <f t="shared" si="0"/>
        <v>1912.8060707943978</v>
      </c>
      <c r="D9" s="34">
        <f>((4170000000000*((('Reference tables'!$X$40)*('Reference tables'!$Y$40))^0.5)*EXP((-67837/'No EGR'!C9)))/('No EGR'!$B$1*6))*'Reference tables'!$B$51</f>
        <v>1.1606969581486113E-12</v>
      </c>
      <c r="E9" s="33">
        <f t="shared" si="1"/>
        <v>2032.2597191461653</v>
      </c>
      <c r="F9" s="34">
        <f>((4170000000000*((('Reference tables'!$X$41)*('Reference tables'!$Y$41))^0.5)*EXP((-67837/'No EGR'!E9)))/('No EGR'!$B$1*6))*'Reference tables'!$B$51</f>
        <v>8.7232415474421883E-12</v>
      </c>
      <c r="G9" s="33">
        <f t="shared" si="2"/>
        <v>2150.6228362639804</v>
      </c>
      <c r="H9" s="34">
        <f>((4170000000000*((('Reference tables'!$X$42)*('Reference tables'!$Y$42))^0.5)*EXP((-67837/'No EGR'!G9)))/('No EGR'!$B$1*6))*'Reference tables'!$B$51</f>
        <v>5.066390027339797E-11</v>
      </c>
      <c r="I9" s="33">
        <f t="shared" si="3"/>
        <v>2268.2299628429678</v>
      </c>
      <c r="J9" s="34">
        <f>((4170000000000*((('Reference tables'!$X$43)*('Reference tables'!$Y$43))^0.5)*EXP((-67837/'No EGR'!I9)))/('No EGR'!$B$1*6))*'Reference tables'!$B$51</f>
        <v>2.3715570470966843E-10</v>
      </c>
      <c r="K9" s="33">
        <f t="shared" si="12"/>
        <v>2385.0560976212214</v>
      </c>
      <c r="L9" s="34">
        <f>((4170000000000*((('Reference tables'!$X$44)*('Reference tables'!$Y$44))^0.5)*EXP((-67837/'No EGR'!K9)))/('No EGR'!$B$1*6))*'Reference tables'!$B$51</f>
        <v>9.1713963264793532E-10</v>
      </c>
      <c r="M9" s="33">
        <f t="shared" si="4"/>
        <v>2501.3488721453114</v>
      </c>
      <c r="N9" s="34">
        <f>((4170000000000*((('Reference tables'!$X$45)*('Reference tables'!$Y$45))^0.5)*EXP((-67837/'No EGR'!M9)))/('No EGR'!$B$1*6))*'Reference tables'!$B$51</f>
        <v>2.9778011451227104E-9</v>
      </c>
      <c r="O9" s="33">
        <f t="shared" si="5"/>
        <v>2616.6951703255204</v>
      </c>
      <c r="P9" s="34">
        <f>((4170000000000*((('Reference tables'!$X$46)*('Reference tables'!$Y$46))^0.5)*EXP((-67837/'No EGR'!O9)))/('No EGR'!$B$1*6))*'Reference tables'!$B$51</f>
        <v>8.0293725060005418E-9</v>
      </c>
      <c r="Q9" s="33">
        <f t="shared" si="6"/>
        <v>2731.7997896405632</v>
      </c>
      <c r="R9" s="34">
        <f>((4170000000000*((('Reference tables'!$X$47)*('Reference tables'!$Y$47))^0.5)*EXP((-67837/'No EGR'!Q9)))/('No EGR'!$B$1*6))*'Reference tables'!$B$51</f>
        <v>1.6912356811198723E-8</v>
      </c>
      <c r="S9" s="33">
        <f t="shared" si="7"/>
        <v>2754.6747537554443</v>
      </c>
      <c r="T9" s="34">
        <f>((4170000000000*((('Reference tables'!$X$48)*('Reference tables'!$Y$48))^0.5)*EXP((-67837/'No EGR'!S9)))/('No EGR'!$B$1*6))*'Reference tables'!$B$51</f>
        <v>1.8588005790481692E-8</v>
      </c>
      <c r="U9" s="33">
        <f t="shared" si="13"/>
        <v>2783.4678737262175</v>
      </c>
      <c r="V9" s="34">
        <f>((4170000000000*((('Reference tables'!$X$49)*('Reference tables'!$Y$49))^0.5)*EXP((-67837/'No EGR'!U9)))/('No EGR'!$B$1*6))*'Reference tables'!$B$51</f>
        <v>2.0764631938544163E-8</v>
      </c>
      <c r="W9" s="33">
        <f t="shared" si="8"/>
        <v>2800.360393026006</v>
      </c>
      <c r="X9" s="34">
        <f>((4170000000000*((('Reference tables'!$X$50)*('Reference tables'!$Y$50))^0.5)*EXP((-67837/'No EGR'!W9)))/('No EGR'!$B$1*6))*'Reference tables'!$B$51</f>
        <v>1.9636067646529802E-8</v>
      </c>
      <c r="Y9" s="33">
        <f t="shared" si="9"/>
        <v>2822.521035371919</v>
      </c>
      <c r="Z9" s="34">
        <f>((4170000000000*((('Reference tables'!$X$51)*('Reference tables'!$Y$51))^0.5)*EXP((-67837/'No EGR'!Y9)))/('No EGR'!$B$1*6))*'Reference tables'!$B$51</f>
        <v>1.6790674949469151E-8</v>
      </c>
      <c r="AA9" s="33">
        <f t="shared" si="14"/>
        <v>2925.4781515493955</v>
      </c>
      <c r="AB9" s="35">
        <f>((4170000000000*((('Reference tables'!$X$52)*('Reference tables'!$Y$52))^0.5)*EXP((-67837/'No EGR'!AA9)))/('No EGR'!$B$1*6))*'Reference tables'!$B$51</f>
        <v>0</v>
      </c>
    </row>
    <row r="10" spans="1:87" x14ac:dyDescent="0.3">
      <c r="A10" s="7">
        <f t="shared" si="10"/>
        <v>4</v>
      </c>
      <c r="B10" s="8">
        <f t="shared" si="11"/>
        <v>18</v>
      </c>
      <c r="C10" s="33">
        <f t="shared" si="0"/>
        <v>1998.2603272766335</v>
      </c>
      <c r="D10" s="34">
        <f>((4170000000000*((('Reference tables'!$X$40)*('Reference tables'!$Y$40))^0.5)*EXP((-67837/'No EGR'!C10)))/('No EGR'!$B$1*6))*'Reference tables'!$B$51</f>
        <v>5.2890707079953285E-12</v>
      </c>
      <c r="E10" s="33">
        <f t="shared" si="1"/>
        <v>2123.0505452158004</v>
      </c>
      <c r="F10" s="34">
        <f>((4170000000000*((('Reference tables'!$X$41)*('Reference tables'!$Y$41))^0.5)*EXP((-67837/'No EGR'!E10)))/('No EGR'!$B$1*6))*'Reference tables'!$B$51</f>
        <v>3.6359943088709922E-11</v>
      </c>
      <c r="G10" s="33">
        <f t="shared" si="2"/>
        <v>2246.7015126403735</v>
      </c>
      <c r="H10" s="34">
        <f>((4170000000000*((('Reference tables'!$X$42)*('Reference tables'!$Y$42))^0.5)*EXP((-67837/'No EGR'!G10)))/('No EGR'!$B$1*6))*'Reference tables'!$B$51</f>
        <v>1.9521994792059089E-10</v>
      </c>
      <c r="I10" s="33">
        <f t="shared" si="3"/>
        <v>2369.5627157889999</v>
      </c>
      <c r="J10" s="34">
        <f>((4170000000000*((('Reference tables'!$X$43)*('Reference tables'!$Y$43))^0.5)*EXP((-67837/'No EGR'!I10)))/('No EGR'!$B$1*6))*'Reference tables'!$B$51</f>
        <v>8.5208760261651275E-10</v>
      </c>
      <c r="K10" s="33">
        <f t="shared" si="12"/>
        <v>2491.6080364730251</v>
      </c>
      <c r="L10" s="34">
        <f>((4170000000000*((('Reference tables'!$X$44)*('Reference tables'!$Y$44))^0.5)*EXP((-67837/'No EGR'!K10)))/('No EGR'!$B$1*6))*'Reference tables'!$B$51</f>
        <v>3.0951288998181393E-9</v>
      </c>
      <c r="M10" s="33">
        <f t="shared" si="4"/>
        <v>2613.0961691324464</v>
      </c>
      <c r="N10" s="34">
        <f>((4170000000000*((('Reference tables'!$X$45)*('Reference tables'!$Y$45))^0.5)*EXP((-67837/'No EGR'!M10)))/('No EGR'!$B$1*6))*'Reference tables'!$B$51</f>
        <v>9.496856418305743E-9</v>
      </c>
      <c r="O10" s="33">
        <f t="shared" si="5"/>
        <v>2733.5955417928503</v>
      </c>
      <c r="P10" s="34">
        <f>((4170000000000*((('Reference tables'!$X$46)*('Reference tables'!$Y$46))^0.5)*EXP((-67837/'No EGR'!O10)))/('No EGR'!$B$1*6))*'Reference tables'!$B$51</f>
        <v>2.433116647436424E-8</v>
      </c>
      <c r="Q10" s="33">
        <f t="shared" si="6"/>
        <v>2853.8424386296015</v>
      </c>
      <c r="R10" s="34">
        <f>((4170000000000*((('Reference tables'!$X$47)*('Reference tables'!$Y$47))^0.5)*EXP((-67837/'No EGR'!Q10)))/('No EGR'!$B$1*6))*'Reference tables'!$B$51</f>
        <v>4.891006041315632E-8</v>
      </c>
      <c r="S10" s="33">
        <f t="shared" si="7"/>
        <v>2877.7393375241481</v>
      </c>
      <c r="T10" s="34">
        <f>((4170000000000*((('Reference tables'!$X$48)*('Reference tables'!$Y$48))^0.5)*EXP((-67837/'No EGR'!S10)))/('No EGR'!$B$1*6))*'Reference tables'!$B$51</f>
        <v>5.328403266868787E-8</v>
      </c>
      <c r="U10" s="33">
        <f t="shared" si="13"/>
        <v>2907.8187847899194</v>
      </c>
      <c r="V10" s="34">
        <f>((4170000000000*((('Reference tables'!$X$49)*('Reference tables'!$Y$49))^0.5)*EXP((-67837/'No EGR'!U10)))/('No EGR'!$B$1*6))*'Reference tables'!$B$51</f>
        <v>5.8878589241649221E-8</v>
      </c>
      <c r="W10" s="33">
        <f t="shared" si="8"/>
        <v>2925.4659742567028</v>
      </c>
      <c r="X10" s="34">
        <f>((4170000000000*((('Reference tables'!$X$50)*('Reference tables'!$Y$50))^0.5)*EXP((-67837/'No EGR'!W10)))/('No EGR'!$B$1*6))*'Reference tables'!$B$51</f>
        <v>5.5329567313911672E-8</v>
      </c>
      <c r="Y10" s="33">
        <f t="shared" si="9"/>
        <v>2948.6166391897214</v>
      </c>
      <c r="Z10" s="34">
        <f>((4170000000000*((('Reference tables'!$X$51)*('Reference tables'!$Y$51))^0.5)*EXP((-67837/'No EGR'!Y10)))/('No EGR'!$B$1*6))*'Reference tables'!$B$51</f>
        <v>4.6928703697169086E-8</v>
      </c>
      <c r="AA10" s="33">
        <f t="shared" si="14"/>
        <v>3089.2142201271413</v>
      </c>
      <c r="AB10" s="35">
        <f>((4170000000000*((('Reference tables'!$X$52)*('Reference tables'!$Y$52))^0.5)*EXP((-67837/'No EGR'!AA10)))/('No EGR'!$B$1*6))*'Reference tables'!$B$51</f>
        <v>0</v>
      </c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x14ac:dyDescent="0.3">
      <c r="A11" s="7">
        <f t="shared" si="10"/>
        <v>5</v>
      </c>
      <c r="B11" s="8">
        <f t="shared" si="11"/>
        <v>20</v>
      </c>
      <c r="C11" s="33">
        <f t="shared" si="0"/>
        <v>2077.9316627593162</v>
      </c>
      <c r="D11" s="34">
        <f>((4170000000000*((('Reference tables'!$X$40)*('Reference tables'!$Y$40))^0.5)*EXP((-67837/'No EGR'!C11)))/('No EGR'!$B$1*6))*'Reference tables'!$B$51</f>
        <v>1.9438703983123184E-11</v>
      </c>
      <c r="E11" s="33">
        <f t="shared" si="1"/>
        <v>2207.6973101671419</v>
      </c>
      <c r="F11" s="34">
        <f>((4170000000000*((('Reference tables'!$X$41)*('Reference tables'!$Y$41))^0.5)*EXP((-67837/'No EGR'!E11)))/('No EGR'!$B$1*6))*'Reference tables'!$B$51</f>
        <v>1.2378961733109444E-10</v>
      </c>
      <c r="G11" s="33">
        <f t="shared" si="2"/>
        <v>2336.2782847454237</v>
      </c>
      <c r="H11" s="34">
        <f>((4170000000000*((('Reference tables'!$X$42)*('Reference tables'!$Y$42))^0.5)*EXP((-67837/'No EGR'!G11)))/('No EGR'!$B$1*6))*'Reference tables'!$B$51</f>
        <v>6.2130142781388528E-10</v>
      </c>
      <c r="I11" s="33">
        <f t="shared" si="3"/>
        <v>2464.0380068709046</v>
      </c>
      <c r="J11" s="34">
        <f>((4170000000000*((('Reference tables'!$X$43)*('Reference tables'!$Y$43))^0.5)*EXP((-67837/'No EGR'!I11)))/('No EGR'!$B$1*6))*'Reference tables'!$B$51</f>
        <v>2.5538388567543933E-9</v>
      </c>
      <c r="K11" s="33">
        <f t="shared" si="12"/>
        <v>2590.9493170136507</v>
      </c>
      <c r="L11" s="34">
        <f>((4170000000000*((('Reference tables'!$X$44)*('Reference tables'!$Y$44))^0.5)*EXP((-67837/'No EGR'!K11)))/('No EGR'!$B$1*6))*'Reference tables'!$B$51</f>
        <v>8.7909851984420378E-9</v>
      </c>
      <c r="M11" s="33">
        <f t="shared" si="4"/>
        <v>2717.2812238511165</v>
      </c>
      <c r="N11" s="34">
        <f>((4170000000000*((('Reference tables'!$X$45)*('Reference tables'!$Y$45))^0.5)*EXP((-67837/'No EGR'!M11)))/('No EGR'!$B$1*6))*'Reference tables'!$B$51</f>
        <v>2.5695738941924397E-8</v>
      </c>
      <c r="O11" s="33">
        <f t="shared" si="5"/>
        <v>2842.5849484839005</v>
      </c>
      <c r="P11" s="34">
        <f>((4170000000000*((('Reference tables'!$X$46)*('Reference tables'!$Y$46))^0.5)*EXP((-67837/'No EGR'!O11)))/('No EGR'!$B$1*6))*'Reference tables'!$B$51</f>
        <v>6.3007002674402971E-8</v>
      </c>
      <c r="Q11" s="33">
        <f t="shared" si="6"/>
        <v>2967.6261309939746</v>
      </c>
      <c r="R11" s="34">
        <f>((4170000000000*((('Reference tables'!$X$47)*('Reference tables'!$Y$47))^0.5)*EXP((-67837/'No EGR'!Q11)))/('No EGR'!$B$1*6))*'Reference tables'!$B$51</f>
        <v>1.2167820118967254E-7</v>
      </c>
      <c r="S11" s="33">
        <f t="shared" si="7"/>
        <v>2992.4758075736049</v>
      </c>
      <c r="T11" s="34">
        <f>((4170000000000*((('Reference tables'!$X$48)*('Reference tables'!$Y$48))^0.5)*EXP((-67837/'No EGR'!S11)))/('No EGR'!$B$1*6))*'Reference tables'!$B$51</f>
        <v>1.3156028399070719E-7</v>
      </c>
      <c r="U11" s="33">
        <f t="shared" si="13"/>
        <v>3023.7545328821511</v>
      </c>
      <c r="V11" s="34">
        <f>((4170000000000*((('Reference tables'!$X$49)*('Reference tables'!$Y$49))^0.5)*EXP((-67837/'No EGR'!U11)))/('No EGR'!$B$1*6))*'Reference tables'!$B$51</f>
        <v>1.4402061938585041E-7</v>
      </c>
      <c r="W11" s="33">
        <f t="shared" si="8"/>
        <v>3042.1053219416117</v>
      </c>
      <c r="X11" s="34">
        <f>((4170000000000*((('Reference tables'!$X$50)*('Reference tables'!$Y$50))^0.5)*EXP((-67837/'No EGR'!W11)))/('No EGR'!$B$1*6))*'Reference tables'!$B$51</f>
        <v>1.3461120586495269E-7</v>
      </c>
      <c r="Y11" s="33">
        <f t="shared" si="9"/>
        <v>3066.1790119516704</v>
      </c>
      <c r="Z11" s="34">
        <f>((4170000000000*((('Reference tables'!$X$51)*('Reference tables'!$Y$51))^0.5)*EXP((-67837/'No EGR'!Y11)))/('No EGR'!$B$1*6))*'Reference tables'!$B$51</f>
        <v>1.1337855007593372E-7</v>
      </c>
      <c r="AA11" s="33">
        <f t="shared" si="14"/>
        <v>3243.4313823366833</v>
      </c>
      <c r="AB11" s="35">
        <f>((4170000000000*((('Reference tables'!$X$52)*('Reference tables'!$Y$52))^0.5)*EXP((-67837/'No EGR'!AA11)))/('No EGR'!$B$1*6))*'Reference tables'!$B$51</f>
        <v>0</v>
      </c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x14ac:dyDescent="0.3">
      <c r="A12" s="7">
        <f t="shared" si="10"/>
        <v>6</v>
      </c>
      <c r="B12" s="8">
        <f t="shared" si="11"/>
        <v>22</v>
      </c>
      <c r="C12" s="33">
        <f t="shared" si="0"/>
        <v>2152.7361836339496</v>
      </c>
      <c r="D12" s="34">
        <f>((4170000000000*((('Reference tables'!$X$40)*('Reference tables'!$Y$40))^0.5)*EXP((-67837/'No EGR'!C12)))/('No EGR'!$B$1*6))*'Reference tables'!$B$51</f>
        <v>6.0441883378500705E-11</v>
      </c>
      <c r="E12" s="33">
        <f t="shared" si="1"/>
        <v>2287.1733307134459</v>
      </c>
      <c r="F12" s="34">
        <f>((4170000000000*((('Reference tables'!$X$41)*('Reference tables'!$Y$41))^0.5)*EXP((-67837/'No EGR'!E12)))/('No EGR'!$B$1*6))*'Reference tables'!$B$51</f>
        <v>3.6007779871775278E-10</v>
      </c>
      <c r="G12" s="33">
        <f t="shared" si="2"/>
        <v>2420.3831573224747</v>
      </c>
      <c r="H12" s="34">
        <f>((4170000000000*((('Reference tables'!$X$42)*('Reference tables'!$Y$42))^0.5)*EXP((-67837/'No EGR'!G12)))/('No EGR'!$B$1*6))*'Reference tables'!$B$51</f>
        <v>1.7040930511203475E-9</v>
      </c>
      <c r="I12" s="33">
        <f t="shared" si="3"/>
        <v>2552.742166793133</v>
      </c>
      <c r="J12" s="34">
        <f>((4170000000000*((('Reference tables'!$X$43)*('Reference tables'!$Y$43))^0.5)*EXP((-67837/'No EGR'!I12)))/('No EGR'!$B$1*6))*'Reference tables'!$B$51</f>
        <v>6.6475920335713014E-9</v>
      </c>
      <c r="K12" s="33">
        <f t="shared" si="12"/>
        <v>2684.2222218657266</v>
      </c>
      <c r="L12" s="34">
        <f>((4170000000000*((('Reference tables'!$X$44)*('Reference tables'!$Y$44))^0.5)*EXP((-67837/'No EGR'!K12)))/('No EGR'!$B$1*6))*'Reference tables'!$B$51</f>
        <v>2.1835221083586072E-8</v>
      </c>
      <c r="M12" s="33">
        <f t="shared" si="4"/>
        <v>2815.1020153981817</v>
      </c>
      <c r="N12" s="34">
        <f>((4170000000000*((('Reference tables'!$X$45)*('Reference tables'!$Y$45))^0.5)*EXP((-67837/'No EGR'!M12)))/('No EGR'!$B$1*6))*'Reference tables'!$B$51</f>
        <v>6.1180246866652958E-8</v>
      </c>
      <c r="O12" s="33">
        <f t="shared" si="5"/>
        <v>2944.916612670786</v>
      </c>
      <c r="P12" s="34">
        <f>((4170000000000*((('Reference tables'!$X$46)*('Reference tables'!$Y$46))^0.5)*EXP((-67837/'No EGR'!O12)))/('No EGR'!$B$1*6))*'Reference tables'!$B$51</f>
        <v>1.4438811506287867E-7</v>
      </c>
      <c r="Q12" s="33">
        <f t="shared" si="6"/>
        <v>3074.459216433012</v>
      </c>
      <c r="R12" s="34">
        <f>((4170000000000*((('Reference tables'!$X$47)*('Reference tables'!$Y$47))^0.5)*EXP((-67837/'No EGR'!Q12)))/('No EGR'!$B$1*6))*'Reference tables'!$B$51</f>
        <v>2.6926553378357612E-7</v>
      </c>
      <c r="S12" s="33">
        <f t="shared" si="7"/>
        <v>3100.2034691836247</v>
      </c>
      <c r="T12" s="34">
        <f>((4170000000000*((('Reference tables'!$X$48)*('Reference tables'!$Y$48))^0.5)*EXP((-67837/'No EGR'!S12)))/('No EGR'!$B$1*6))*'Reference tables'!$B$51</f>
        <v>2.8921988967999272E-7</v>
      </c>
      <c r="U12" s="33">
        <f t="shared" si="13"/>
        <v>3132.6082132646884</v>
      </c>
      <c r="V12" s="34">
        <f>((4170000000000*((('Reference tables'!$X$49)*('Reference tables'!$Y$49))^0.5)*EXP((-67837/'No EGR'!U12)))/('No EGR'!$B$1*6))*'Reference tables'!$B$51</f>
        <v>3.1404305751886813E-7</v>
      </c>
      <c r="W12" s="33">
        <f t="shared" si="8"/>
        <v>3151.6196217313536</v>
      </c>
      <c r="X12" s="34">
        <f>((4170000000000*((('Reference tables'!$X$50)*('Reference tables'!$Y$50))^0.5)*EXP((-67837/'No EGR'!W12)))/('No EGR'!$B$1*6))*'Reference tables'!$B$51</f>
        <v>2.9214834207799606E-7</v>
      </c>
      <c r="Y12" s="33">
        <f t="shared" si="9"/>
        <v>3176.5599527764189</v>
      </c>
      <c r="Z12" s="34">
        <f>((4170000000000*((('Reference tables'!$X$51)*('Reference tables'!$Y$51))^0.5)*EXP((-67837/'No EGR'!Y12)))/('No EGR'!$B$1*6))*'Reference tables'!$B$51</f>
        <v>2.4457437448212486E-7</v>
      </c>
      <c r="AA12" s="33">
        <f t="shared" si="14"/>
        <v>3389.5595464852991</v>
      </c>
      <c r="AB12" s="35">
        <f>((4170000000000*((('Reference tables'!$X$52)*('Reference tables'!$Y$52))^0.5)*EXP((-67837/'No EGR'!AA12)))/('No EGR'!$B$1*6))*'Reference tables'!$B$51</f>
        <v>0</v>
      </c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x14ac:dyDescent="0.3">
      <c r="A13" s="7">
        <f t="shared" si="10"/>
        <v>7</v>
      </c>
      <c r="B13" s="8">
        <f t="shared" si="11"/>
        <v>24</v>
      </c>
      <c r="C13" s="33">
        <f t="shared" si="0"/>
        <v>2223.3763459660745</v>
      </c>
      <c r="D13" s="34">
        <f>((4170000000000*((('Reference tables'!$X$40)*('Reference tables'!$Y$40))^0.5)*EXP((-67837/'No EGR'!C13)))/('No EGR'!$B$1*6))*'Reference tables'!$B$51</f>
        <v>1.6449295633040956E-10</v>
      </c>
      <c r="E13" s="33">
        <f t="shared" si="1"/>
        <v>2362.2249309009644</v>
      </c>
      <c r="F13" s="34">
        <f>((4170000000000*((('Reference tables'!$X$41)*('Reference tables'!$Y$41))^0.5)*EXP((-67837/'No EGR'!E13)))/('No EGR'!$B$1*6))*'Reference tables'!$B$51</f>
        <v>9.2394926058232637E-10</v>
      </c>
      <c r="G13" s="33">
        <f t="shared" si="2"/>
        <v>2499.8059219134348</v>
      </c>
      <c r="H13" s="34">
        <f>((4170000000000*((('Reference tables'!$X$42)*('Reference tables'!$Y$42))^0.5)*EXP((-67837/'No EGR'!G13)))/('No EGR'!$B$1*6))*'Reference tables'!$B$51</f>
        <v>4.1516547273475196E-9</v>
      </c>
      <c r="I13" s="33">
        <f t="shared" si="3"/>
        <v>2636.5081769643939</v>
      </c>
      <c r="J13" s="34">
        <f>((4170000000000*((('Reference tables'!$X$43)*('Reference tables'!$Y$43))^0.5)*EXP((-67837/'No EGR'!I13)))/('No EGR'!$B$1*6))*'Reference tables'!$B$51</f>
        <v>1.5464665846460398E-8</v>
      </c>
      <c r="K13" s="33">
        <f t="shared" si="12"/>
        <v>2772.3026354944936</v>
      </c>
      <c r="L13" s="34">
        <f>((4170000000000*((('Reference tables'!$X$44)*('Reference tables'!$Y$44))^0.5)*EXP((-67837/'No EGR'!K13)))/('No EGR'!$B$1*6))*'Reference tables'!$B$51</f>
        <v>4.873859887560388E-8</v>
      </c>
      <c r="M13" s="33">
        <f t="shared" si="4"/>
        <v>2907.4771354249783</v>
      </c>
      <c r="N13" s="34">
        <f>((4170000000000*((('Reference tables'!$X$45)*('Reference tables'!$Y$45))^0.5)*EXP((-67837/'No EGR'!M13)))/('No EGR'!$B$1*6))*'Reference tables'!$B$51</f>
        <v>1.3155706752429687E-7</v>
      </c>
      <c r="O13" s="33">
        <f t="shared" si="5"/>
        <v>3041.5514856083837</v>
      </c>
      <c r="P13" s="34">
        <f>((4170000000000*((('Reference tables'!$X$46)*('Reference tables'!$Y$46))^0.5)*EXP((-67837/'No EGR'!O13)))/('No EGR'!$B$1*6))*'Reference tables'!$B$51</f>
        <v>3.0017697299481315E-7</v>
      </c>
      <c r="Q13" s="33">
        <f t="shared" si="6"/>
        <v>3175.3449170513318</v>
      </c>
      <c r="R13" s="34">
        <f>((4170000000000*((('Reference tables'!$X$47)*('Reference tables'!$Y$47))^0.5)*EXP((-67837/'No EGR'!Q13)))/('No EGR'!$B$1*6))*'Reference tables'!$B$51</f>
        <v>5.4279298766086208E-7</v>
      </c>
      <c r="S13" s="33">
        <f t="shared" si="7"/>
        <v>3201.9339450267257</v>
      </c>
      <c r="T13" s="34">
        <f>((4170000000000*((('Reference tables'!$X$48)*('Reference tables'!$Y$48))^0.5)*EXP((-67837/'No EGR'!S13)))/('No EGR'!$B$1*6))*'Reference tables'!$B$51</f>
        <v>5.7963342311246621E-7</v>
      </c>
      <c r="U13" s="33">
        <f t="shared" si="13"/>
        <v>3235.4020225527411</v>
      </c>
      <c r="V13" s="34">
        <f>((4170000000000*((('Reference tables'!$X$49)*('Reference tables'!$Y$49))^0.5)*EXP((-67837/'No EGR'!U13)))/('No EGR'!$B$1*6))*'Reference tables'!$B$51</f>
        <v>6.2487225977898984E-7</v>
      </c>
      <c r="W13" s="33">
        <f t="shared" si="8"/>
        <v>3255.0372738248825</v>
      </c>
      <c r="X13" s="34">
        <f>((4170000000000*((('Reference tables'!$X$50)*('Reference tables'!$Y$50))^0.5)*EXP((-67837/'No EGR'!W13)))/('No EGR'!$B$1*6))*'Reference tables'!$B$51</f>
        <v>5.7889929524140276E-7</v>
      </c>
      <c r="Y13" s="33">
        <f t="shared" si="9"/>
        <v>3280.7960001043634</v>
      </c>
      <c r="Z13" s="34">
        <f>((4170000000000*((('Reference tables'!$X$51)*('Reference tables'!$Y$51))^0.5)*EXP((-67837/'No EGR'!Y13)))/('No EGR'!$B$1*6))*'Reference tables'!$B$51</f>
        <v>4.8203513438885988E-7</v>
      </c>
      <c r="AA13" s="33">
        <f t="shared" si="14"/>
        <v>3528.7053681412735</v>
      </c>
      <c r="AB13" s="35">
        <f>((4170000000000*((('Reference tables'!$X$52)*('Reference tables'!$Y$52))^0.5)*EXP((-67837/'No EGR'!AA13)))/('No EGR'!$B$1*6))*'Reference tables'!$B$51</f>
        <v>0</v>
      </c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x14ac:dyDescent="0.3">
      <c r="A14" s="7">
        <f t="shared" si="10"/>
        <v>8</v>
      </c>
      <c r="B14" s="8">
        <f t="shared" si="11"/>
        <v>26</v>
      </c>
      <c r="C14" s="33">
        <f t="shared" si="0"/>
        <v>2290.4041785521899</v>
      </c>
      <c r="D14" s="34">
        <f>((4170000000000*((('Reference tables'!$X$40)*('Reference tables'!$Y$40))^0.5)*EXP((-67837/'No EGR'!C14)))/('No EGR'!$B$1*6))*'Reference tables'!$B$51</f>
        <v>4.0171993438582005E-10</v>
      </c>
      <c r="E14" s="33">
        <f t="shared" si="1"/>
        <v>2433.4386134097504</v>
      </c>
      <c r="F14" s="34">
        <f>((4170000000000*((('Reference tables'!$X$41)*('Reference tables'!$Y$41))^0.5)*EXP((-67837/'No EGR'!E14)))/('No EGR'!$B$1*6))*'Reference tables'!$B$51</f>
        <v>2.1410717112674627E-9</v>
      </c>
      <c r="G14" s="33">
        <f t="shared" si="2"/>
        <v>2575.1672403585981</v>
      </c>
      <c r="H14" s="34">
        <f>((4170000000000*((('Reference tables'!$X$42)*('Reference tables'!$Y$42))^0.5)*EXP((-67837/'No EGR'!G14)))/('No EGR'!$B$1*6))*'Reference tables'!$B$51</f>
        <v>9.1857974709116001E-9</v>
      </c>
      <c r="I14" s="33">
        <f t="shared" si="3"/>
        <v>2715.9906402091451</v>
      </c>
      <c r="J14" s="34">
        <f>((4170000000000*((('Reference tables'!$X$43)*('Reference tables'!$Y$43))^0.5)*EXP((-67837/'No EGR'!I14)))/('No EGR'!$B$1*6))*'Reference tables'!$B$51</f>
        <v>3.283624065967288E-8</v>
      </c>
      <c r="K14" s="33">
        <f t="shared" si="12"/>
        <v>2855.8788763172006</v>
      </c>
      <c r="L14" s="34">
        <f>((4170000000000*((('Reference tables'!$X$44)*('Reference tables'!$Y$44))^0.5)*EXP((-67837/'No EGR'!K14)))/('No EGR'!$B$1*6))*'Reference tables'!$B$51</f>
        <v>9.9739687621380916E-8</v>
      </c>
      <c r="M14" s="33">
        <f t="shared" si="4"/>
        <v>2995.1284640157455</v>
      </c>
      <c r="N14" s="34">
        <f>((4170000000000*((('Reference tables'!$X$45)*('Reference tables'!$Y$45))^0.5)*EXP((-67837/'No EGR'!M14)))/('No EGR'!$B$1*6))*'Reference tables'!$B$51</f>
        <v>2.6040562566809353E-7</v>
      </c>
      <c r="O14" s="33">
        <f t="shared" si="5"/>
        <v>3133.2447358983222</v>
      </c>
      <c r="P14" s="34">
        <f>((4170000000000*((('Reference tables'!$X$46)*('Reference tables'!$Y$46))^0.5)*EXP((-67837/'No EGR'!O14)))/('No EGR'!$B$1*6))*'Reference tables'!$B$51</f>
        <v>5.7655662650577006E-7</v>
      </c>
      <c r="Q14" s="33">
        <f t="shared" si="6"/>
        <v>3271.0716202203344</v>
      </c>
      <c r="R14" s="34">
        <f>((4170000000000*((('Reference tables'!$X$47)*('Reference tables'!$Y$47))^0.5)*EXP((-67837/'No EGR'!Q14)))/('No EGR'!$B$1*6))*'Reference tables'!$B$51</f>
        <v>1.0142733566790435E-6</v>
      </c>
      <c r="S14" s="33">
        <f t="shared" si="7"/>
        <v>3298.4622241048214</v>
      </c>
      <c r="T14" s="34">
        <f>((4170000000000*((('Reference tables'!$X$48)*('Reference tables'!$Y$48))^0.5)*EXP((-67837/'No EGR'!S14)))/('No EGR'!$B$1*6))*'Reference tables'!$B$51</f>
        <v>1.0775054764501182E-6</v>
      </c>
      <c r="U14" s="33">
        <f t="shared" si="13"/>
        <v>3332.9392593367379</v>
      </c>
      <c r="V14" s="34">
        <f>((4170000000000*((('Reference tables'!$X$49)*('Reference tables'!$Y$49))^0.5)*EXP((-67837/'No EGR'!U14)))/('No EGR'!$B$1*6))*'Reference tables'!$B$51</f>
        <v>1.1541757185313835E-6</v>
      </c>
      <c r="W14" s="33">
        <f t="shared" si="8"/>
        <v>3353.1664519315691</v>
      </c>
      <c r="X14" s="34">
        <f>((4170000000000*((('Reference tables'!$X$50)*('Reference tables'!$Y$50))^0.5)*EXP((-67837/'No EGR'!W14)))/('No EGR'!$B$1*6))*'Reference tables'!$B$51</f>
        <v>1.0653105465430855E-6</v>
      </c>
      <c r="Y14" s="33">
        <f t="shared" si="9"/>
        <v>3379.7017231247464</v>
      </c>
      <c r="Z14" s="34">
        <f>((4170000000000*((('Reference tables'!$X$51)*('Reference tables'!$Y$51))^0.5)*EXP((-67837/'No EGR'!Y14)))/('No EGR'!$B$1*6))*'Reference tables'!$B$51</f>
        <v>8.8282024434598988E-7</v>
      </c>
      <c r="AA14" s="33">
        <f t="shared" si="14"/>
        <v>3661.745866234583</v>
      </c>
      <c r="AB14" s="35">
        <f>((4170000000000*((('Reference tables'!$X$52)*('Reference tables'!$Y$52))^0.5)*EXP((-67837/'No EGR'!AA14)))/('No EGR'!$B$1*6))*'Reference tables'!$B$51</f>
        <v>0</v>
      </c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x14ac:dyDescent="0.3">
      <c r="A15" s="7">
        <f t="shared" si="10"/>
        <v>9</v>
      </c>
      <c r="B15" s="8">
        <f t="shared" si="11"/>
        <v>28</v>
      </c>
      <c r="C15" s="33">
        <f t="shared" si="0"/>
        <v>2354.262426716205</v>
      </c>
      <c r="D15" s="34">
        <f>((4170000000000*((('Reference tables'!$X$40)*('Reference tables'!$Y$40))^0.5)*EXP((-67837/'No EGR'!C15)))/('No EGR'!$B$1*6))*'Reference tables'!$B$51</f>
        <v>8.9706386811182509E-10</v>
      </c>
      <c r="E15" s="33">
        <f t="shared" si="1"/>
        <v>2501.2847727567223</v>
      </c>
      <c r="F15" s="34">
        <f>((4170000000000*((('Reference tables'!$X$41)*('Reference tables'!$Y$41))^0.5)*EXP((-67837/'No EGR'!E15)))/('No EGR'!$B$1*6))*'Reference tables'!$B$51</f>
        <v>4.5606137948286045E-9</v>
      </c>
      <c r="G15" s="33">
        <f t="shared" si="2"/>
        <v>2646.964903949402</v>
      </c>
      <c r="H15" s="34">
        <f>((4170000000000*((('Reference tables'!$X$42)*('Reference tables'!$Y$42))^0.5)*EXP((-67837/'No EGR'!G15)))/('No EGR'!$B$1*6))*'Reference tables'!$B$51</f>
        <v>1.8768749699434171E-8</v>
      </c>
      <c r="I15" s="33">
        <f t="shared" si="3"/>
        <v>2791.7145696089128</v>
      </c>
      <c r="J15" s="34">
        <f>((4170000000000*((('Reference tables'!$X$43)*('Reference tables'!$Y$43))^0.5)*EXP((-67837/'No EGR'!I15)))/('No EGR'!$B$1*6))*'Reference tables'!$B$51</f>
        <v>6.4652001658219489E-8</v>
      </c>
      <c r="K15" s="33">
        <f t="shared" si="12"/>
        <v>2935.50299843416</v>
      </c>
      <c r="L15" s="34">
        <f>((4170000000000*((('Reference tables'!$X$44)*('Reference tables'!$Y$44))^0.5)*EXP((-67837/'No EGR'!K15)))/('No EGR'!$B$1*6))*'Reference tables'!$B$51</f>
        <v>1.8996976436268595E-7</v>
      </c>
      <c r="M15" s="33">
        <f t="shared" si="4"/>
        <v>3078.6349728360033</v>
      </c>
      <c r="N15" s="34">
        <f>((4170000000000*((('Reference tables'!$X$45)*('Reference tables'!$Y$45))^0.5)*EXP((-67837/'No EGR'!M15)))/('No EGR'!$B$1*6))*'Reference tables'!$B$51</f>
        <v>4.8134626667724727E-7</v>
      </c>
      <c r="O15" s="33">
        <f t="shared" si="5"/>
        <v>3220.602033696332</v>
      </c>
      <c r="P15" s="34">
        <f>((4170000000000*((('Reference tables'!$X$46)*('Reference tables'!$Y$46))^0.5)*EXP((-67837/'No EGR'!O15)))/('No EGR'!$B$1*6))*'Reference tables'!$B$51</f>
        <v>1.0372611403263549E-6</v>
      </c>
      <c r="Q15" s="33">
        <f t="shared" si="6"/>
        <v>3362.2716386460565</v>
      </c>
      <c r="R15" s="34">
        <f>((4170000000000*((('Reference tables'!$X$47)*('Reference tables'!$Y$47))^0.5)*EXP((-67837/'No EGR'!Q15)))/('No EGR'!$B$1*6))*'Reference tables'!$B$51</f>
        <v>1.7801424894906368E-6</v>
      </c>
      <c r="S15" s="33">
        <f t="shared" si="7"/>
        <v>3390.425913849605</v>
      </c>
      <c r="T15" s="34">
        <f>((4170000000000*((('Reference tables'!$X$48)*('Reference tables'!$Y$48))^0.5)*EXP((-67837/'No EGR'!S15)))/('No EGR'!$B$1*6))*'Reference tables'!$B$51</f>
        <v>1.8823074323656292E-6</v>
      </c>
      <c r="U15" s="33">
        <f t="shared" si="13"/>
        <v>3425.8641956127676</v>
      </c>
      <c r="V15" s="34">
        <f>((4170000000000*((('Reference tables'!$X$49)*('Reference tables'!$Y$49))^0.5)*EXP((-67837/'No EGR'!U15)))/('No EGR'!$B$1*6))*'Reference tables'!$B$51</f>
        <v>2.0046422141427194E-6</v>
      </c>
      <c r="W15" s="33">
        <f t="shared" si="8"/>
        <v>3446.6553380538649</v>
      </c>
      <c r="X15" s="34">
        <f>((4170000000000*((('Reference tables'!$X$50)*('Reference tables'!$Y$50))^0.5)*EXP((-67837/'No EGR'!W15)))/('No EGR'!$B$1*6))*'Reference tables'!$B$51</f>
        <v>1.8441440375807362E-6</v>
      </c>
      <c r="Y15" s="33">
        <f t="shared" si="9"/>
        <v>3473.9304332260745</v>
      </c>
      <c r="Z15" s="34">
        <f>((4170000000000*((('Reference tables'!$X$51)*('Reference tables'!$Y$51))^0.5)*EXP((-67837/'No EGR'!Y15)))/('No EGR'!$B$1*6))*'Reference tables'!$B$51</f>
        <v>1.5216675157085735E-6</v>
      </c>
      <c r="AA15" s="33">
        <f t="shared" si="14"/>
        <v>3789.3898727182809</v>
      </c>
      <c r="AB15" s="35">
        <f>((4170000000000*((('Reference tables'!$X$52)*('Reference tables'!$Y$52))^0.5)*EXP((-67837/'No EGR'!AA15)))/('No EGR'!$B$1*6))*'Reference tables'!$B$51</f>
        <v>0</v>
      </c>
      <c r="AJ15" s="18"/>
      <c r="AK15" s="17"/>
      <c r="AL15" s="17"/>
      <c r="AM15" s="17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</row>
    <row r="16" spans="1:87" x14ac:dyDescent="0.3">
      <c r="A16" s="7">
        <f t="shared" si="10"/>
        <v>10</v>
      </c>
      <c r="B16" s="8">
        <f t="shared" si="11"/>
        <v>30</v>
      </c>
      <c r="C16" s="33">
        <f t="shared" si="0"/>
        <v>2415.312340364072</v>
      </c>
      <c r="D16" s="34">
        <f>((4170000000000*((('Reference tables'!$X$40)*('Reference tables'!$Y$40))^0.5)*EXP((-67837/'No EGR'!C16)))/('No EGR'!$B$1*6))*'Reference tables'!$B$51</f>
        <v>1.8583591643498179E-9</v>
      </c>
      <c r="E16" s="33">
        <f t="shared" si="1"/>
        <v>2566.1472186984488</v>
      </c>
      <c r="F16" s="34">
        <f>((4170000000000*((('Reference tables'!$X$41)*('Reference tables'!$Y$41))^0.5)*EXP((-67837/'No EGR'!E16)))/('No EGR'!$B$1*6))*'Reference tables'!$B$51</f>
        <v>9.0518532246685691E-9</v>
      </c>
      <c r="G16" s="33">
        <f t="shared" si="2"/>
        <v>2715.6050763368303</v>
      </c>
      <c r="H16" s="34">
        <f>((4170000000000*((('Reference tables'!$X$42)*('Reference tables'!$Y$42))^0.5)*EXP((-67837/'No EGR'!G16)))/('No EGR'!$B$1*6))*'Reference tables'!$B$51</f>
        <v>3.5872723580834693E-8</v>
      </c>
      <c r="I16" s="33">
        <f t="shared" si="3"/>
        <v>2864.1083399337626</v>
      </c>
      <c r="J16" s="34">
        <f>((4170000000000*((('Reference tables'!$X$43)*('Reference tables'!$Y$43))^0.5)*EXP((-67837/'No EGR'!I16)))/('No EGR'!$B$1*6))*'Reference tables'!$B$51</f>
        <v>1.1948796062736435E-7</v>
      </c>
      <c r="K16" s="33">
        <f t="shared" si="12"/>
        <v>3011.6254402374857</v>
      </c>
      <c r="L16" s="34">
        <f>((4170000000000*((('Reference tables'!$X$44)*('Reference tables'!$Y$44))^0.5)*EXP((-67837/'No EGR'!K16)))/('No EGR'!$B$1*6))*'Reference tables'!$B$51</f>
        <v>3.4069122280727269E-7</v>
      </c>
      <c r="M16" s="33">
        <f t="shared" si="4"/>
        <v>3158.4690631702292</v>
      </c>
      <c r="N16" s="34">
        <f>((4170000000000*((('Reference tables'!$X$45)*('Reference tables'!$Y$45))^0.5)*EXP((-67837/'No EGR'!M16)))/('No EGR'!$B$1*6))*'Reference tables'!$B$51</f>
        <v>8.4011770320308596E-7</v>
      </c>
      <c r="O16" s="33">
        <f t="shared" si="5"/>
        <v>3304.1175644290493</v>
      </c>
      <c r="P16" s="34">
        <f>((4170000000000*((('Reference tables'!$X$46)*('Reference tables'!$Y$46))^0.5)*EXP((-67837/'No EGR'!O16)))/('No EGR'!$B$1*6))*'Reference tables'!$B$51</f>
        <v>1.7664780084478276E-6</v>
      </c>
      <c r="Q16" s="33">
        <f t="shared" si="6"/>
        <v>3449.4608962541533</v>
      </c>
      <c r="R16" s="34">
        <f>((4170000000000*((('Reference tables'!$X$47)*('Reference tables'!$Y$47))^0.5)*EXP((-67837/'No EGR'!Q16)))/('No EGR'!$B$1*6))*'Reference tables'!$B$51</f>
        <v>2.9643700278021166E-6</v>
      </c>
      <c r="S16" s="33">
        <f t="shared" si="7"/>
        <v>3478.3452583207845</v>
      </c>
      <c r="T16" s="34">
        <f>((4170000000000*((('Reference tables'!$X$48)*('Reference tables'!$Y$48))^0.5)*EXP((-67837/'No EGR'!S16)))/('No EGR'!$B$1*6))*'Reference tables'!$B$51</f>
        <v>3.1212534993838826E-6</v>
      </c>
      <c r="U16" s="33">
        <f t="shared" si="13"/>
        <v>3514.7025132693084</v>
      </c>
      <c r="V16" s="34">
        <f>((4170000000000*((('Reference tables'!$X$49)*('Reference tables'!$Y$49))^0.5)*EXP((-67837/'No EGR'!U16)))/('No EGR'!$B$1*6))*'Reference tables'!$B$51</f>
        <v>3.3067650821014309E-6</v>
      </c>
      <c r="W16" s="33">
        <f t="shared" si="8"/>
        <v>3536.0328043780646</v>
      </c>
      <c r="X16" s="34">
        <f>((4170000000000*((('Reference tables'!$X$50)*('Reference tables'!$Y$50))^0.5)*EXP((-67837/'No EGR'!W16)))/('No EGR'!$B$1*6))*'Reference tables'!$B$51</f>
        <v>3.0328441793741364E-6</v>
      </c>
      <c r="Y16" s="33">
        <f t="shared" si="9"/>
        <v>3564.0151878228576</v>
      </c>
      <c r="Z16" s="34">
        <f>((4170000000000*((('Reference tables'!$X$51)*('Reference tables'!$Y$51))^0.5)*EXP((-67837/'No EGR'!Y16)))/('No EGR'!$B$1*6))*'Reference tables'!$B$51</f>
        <v>2.49274985609695E-6</v>
      </c>
      <c r="AA16" s="33">
        <f t="shared" si="14"/>
        <v>3912.219861901126</v>
      </c>
      <c r="AB16" s="35">
        <f>((4170000000000*((('Reference tables'!$X$52)*('Reference tables'!$Y$52))^0.5)*EXP((-67837/'No EGR'!AA16)))/('No EGR'!$B$1*6))*'Reference tables'!$B$51</f>
        <v>0</v>
      </c>
    </row>
    <row r="17" spans="1:28" x14ac:dyDescent="0.3">
      <c r="A17" s="7">
        <f t="shared" si="10"/>
        <v>11</v>
      </c>
      <c r="B17" s="8">
        <f t="shared" si="11"/>
        <v>32</v>
      </c>
      <c r="C17" s="33">
        <f t="shared" si="0"/>
        <v>2473.8530352242278</v>
      </c>
      <c r="D17" s="34">
        <f>((4170000000000*((('Reference tables'!$X$40)*('Reference tables'!$Y$40))^0.5)*EXP((-67837/'No EGR'!C17)))/('No EGR'!$B$1*6))*'Reference tables'!$B$51</f>
        <v>3.6122104713144852E-9</v>
      </c>
      <c r="E17" s="33">
        <f t="shared" si="1"/>
        <v>2628.3437465700445</v>
      </c>
      <c r="F17" s="34">
        <f>((4170000000000*((('Reference tables'!$X$41)*('Reference tables'!$Y$41))^0.5)*EXP((-67837/'No EGR'!E17)))/('No EGR'!$B$1*6))*'Reference tables'!$B$51</f>
        <v>1.6920562806393576E-8</v>
      </c>
      <c r="G17" s="33">
        <f t="shared" si="2"/>
        <v>2781.4240619304537</v>
      </c>
      <c r="H17" s="34">
        <f>((4170000000000*((('Reference tables'!$X$42)*('Reference tables'!$Y$42))^0.5)*EXP((-67837/'No EGR'!G17)))/('No EGR'!$B$1*6))*'Reference tables'!$B$51</f>
        <v>6.4787233949563964E-8</v>
      </c>
      <c r="I17" s="33">
        <f t="shared" si="3"/>
        <v>2933.5266464494366</v>
      </c>
      <c r="J17" s="34">
        <f>((4170000000000*((('Reference tables'!$X$43)*('Reference tables'!$Y$43))^0.5)*EXP((-67837/'No EGR'!I17)))/('No EGR'!$B$1*6))*'Reference tables'!$B$51</f>
        <v>2.0928500266342852E-7</v>
      </c>
      <c r="K17" s="33">
        <f t="shared" si="12"/>
        <v>3084.6191657212225</v>
      </c>
      <c r="L17" s="34">
        <f>((4170000000000*((('Reference tables'!$X$44)*('Reference tables'!$Y$44))^0.5)*EXP((-67837/'No EGR'!K17)))/('No EGR'!$B$1*6))*'Reference tables'!$B$51</f>
        <v>5.8056635932086777E-7</v>
      </c>
      <c r="M17" s="33">
        <f t="shared" si="4"/>
        <v>3235.0218843363778</v>
      </c>
      <c r="N17" s="34">
        <f>((4170000000000*((('Reference tables'!$X$45)*('Reference tables'!$Y$45))^0.5)*EXP((-67837/'No EGR'!M17)))/('No EGR'!$B$1*6))*'Reference tables'!$B$51</f>
        <v>1.3965888705087807E-6</v>
      </c>
      <c r="O17" s="33">
        <f t="shared" si="5"/>
        <v>3384.2005147327595</v>
      </c>
      <c r="P17" s="34">
        <f>((4170000000000*((('Reference tables'!$X$46)*('Reference tables'!$Y$46))^0.5)*EXP((-67837/'No EGR'!O17)))/('No EGR'!$B$1*6))*'Reference tables'!$B$51</f>
        <v>2.8714864120371689E-6</v>
      </c>
      <c r="Q17" s="33">
        <f t="shared" si="6"/>
        <v>3533.0665792066143</v>
      </c>
      <c r="R17" s="34">
        <f>((4170000000000*((('Reference tables'!$X$47)*('Reference tables'!$Y$47))^0.5)*EXP((-67837/'No EGR'!Q17)))/('No EGR'!$B$1*6))*'Reference tables'!$B$51</f>
        <v>4.7210706836906877E-6</v>
      </c>
      <c r="S17" s="33">
        <f t="shared" si="7"/>
        <v>3562.6510207609849</v>
      </c>
      <c r="T17" s="34">
        <f>((4170000000000*((('Reference tables'!$X$48)*('Reference tables'!$Y$48))^0.5)*EXP((-67837/'No EGR'!S17)))/('No EGR'!$B$1*6))*'Reference tables'!$B$51</f>
        <v>4.9517511969841288E-6</v>
      </c>
      <c r="U17" s="33">
        <f t="shared" si="13"/>
        <v>3599.8894780833489</v>
      </c>
      <c r="V17" s="34">
        <f>((4170000000000*((('Reference tables'!$X$49)*('Reference tables'!$Y$49))^0.5)*EXP((-67837/'No EGR'!U17)))/('No EGR'!$B$1*6))*'Reference tables'!$B$51</f>
        <v>5.2210734581883081E-6</v>
      </c>
      <c r="W17" s="33">
        <f t="shared" si="8"/>
        <v>3621.7367582548482</v>
      </c>
      <c r="X17" s="34">
        <f>((4170000000000*((('Reference tables'!$X$50)*('Reference tables'!$Y$50))^0.5)*EXP((-67837/'No EGR'!W17)))/('No EGR'!$B$1*6))*'Reference tables'!$B$51</f>
        <v>4.7754029063974247E-6</v>
      </c>
      <c r="Y17" s="33">
        <f t="shared" si="9"/>
        <v>3650.3973596440974</v>
      </c>
      <c r="Z17" s="34">
        <f>((4170000000000*((('Reference tables'!$X$51)*('Reference tables'!$Y$51))^0.5)*EXP((-67837/'No EGR'!Y17)))/('No EGR'!$B$1*6))*'Reference tables'!$B$51</f>
        <v>3.9110254945437628E-6</v>
      </c>
      <c r="AA17" s="33">
        <f t="shared" si="14"/>
        <v>4030.7213057683621</v>
      </c>
      <c r="AB17" s="35">
        <f>((4170000000000*((('Reference tables'!$X$52)*('Reference tables'!$Y$52))^0.5)*EXP((-67837/'No EGR'!AA17)))/('No EGR'!$B$1*6))*'Reference tables'!$B$51</f>
        <v>0</v>
      </c>
    </row>
    <row r="18" spans="1:28" x14ac:dyDescent="0.3">
      <c r="A18" s="7">
        <f t="shared" si="10"/>
        <v>12</v>
      </c>
      <c r="B18" s="8">
        <f t="shared" si="11"/>
        <v>34</v>
      </c>
      <c r="C18" s="33">
        <f t="shared" si="0"/>
        <v>2530.1353449774101</v>
      </c>
      <c r="D18" s="34">
        <f>((4170000000000*((('Reference tables'!$X$40)*('Reference tables'!$Y$40))^0.5)*EXP((-67837/'No EGR'!C18)))/('No EGR'!$B$1*6))*'Reference tables'!$B$51</f>
        <v>6.6479421040453342E-9</v>
      </c>
      <c r="E18" s="33">
        <f t="shared" si="1"/>
        <v>2688.1408544725705</v>
      </c>
      <c r="F18" s="34">
        <f>((4170000000000*((('Reference tables'!$X$41)*('Reference tables'!$Y$41))^0.5)*EXP((-67837/'No EGR'!E18)))/('No EGR'!$B$1*6))*'Reference tables'!$B$51</f>
        <v>3.0043993967638086E-8</v>
      </c>
      <c r="G18" s="33">
        <f t="shared" si="2"/>
        <v>2844.7038802460697</v>
      </c>
      <c r="H18" s="34">
        <f>((4170000000000*((('Reference tables'!$X$42)*('Reference tables'!$Y$42))^0.5)*EXP((-67837/'No EGR'!G18)))/('No EGR'!$B$1*6))*'Reference tables'!$B$51</f>
        <v>1.1145750053719219E-7</v>
      </c>
      <c r="I18" s="33">
        <f t="shared" si="3"/>
        <v>3000.2669309504986</v>
      </c>
      <c r="J18" s="34">
        <f>((4170000000000*((('Reference tables'!$X$43)*('Reference tables'!$Y$43))^0.5)*EXP((-67837/'No EGR'!I18)))/('No EGR'!$B$1*6))*'Reference tables'!$B$51</f>
        <v>3.5005891424444172E-7</v>
      </c>
      <c r="K18" s="33">
        <f t="shared" si="12"/>
        <v>3154.7969365442154</v>
      </c>
      <c r="L18" s="34">
        <f>((4170000000000*((('Reference tables'!$X$44)*('Reference tables'!$Y$44))^0.5)*EXP((-67837/'No EGR'!K18)))/('No EGR'!$B$1*6))*'Reference tables'!$B$51</f>
        <v>9.4691729743755271E-7</v>
      </c>
      <c r="M18" s="33">
        <f t="shared" si="4"/>
        <v>3308.6214479159689</v>
      </c>
      <c r="N18" s="34">
        <f>((4170000000000*((('Reference tables'!$X$45)*('Reference tables'!$Y$45))^0.5)*EXP((-67837/'No EGR'!M18)))/('No EGR'!$B$1*6))*'Reference tables'!$B$51</f>
        <v>2.2266453771406525E-6</v>
      </c>
      <c r="O18" s="33">
        <f t="shared" si="5"/>
        <v>3461.1940219965395</v>
      </c>
      <c r="P18" s="34">
        <f>((4170000000000*((('Reference tables'!$X$46)*('Reference tables'!$Y$46))^0.5)*EXP((-67837/'No EGR'!O18)))/('No EGR'!$B$1*6))*'Reference tables'!$B$51</f>
        <v>4.4849667178351835E-6</v>
      </c>
      <c r="Q18" s="33">
        <f t="shared" si="6"/>
        <v>3613.4469190077984</v>
      </c>
      <c r="R18" s="34">
        <f>((4170000000000*((('Reference tables'!$X$47)*('Reference tables'!$Y$47))^0.5)*EXP((-67837/'No EGR'!Q18)))/('No EGR'!$B$1*6))*'Reference tables'!$B$51</f>
        <v>7.2365805191433032E-6</v>
      </c>
      <c r="S18" s="33">
        <f t="shared" si="7"/>
        <v>3643.7044323573523</v>
      </c>
      <c r="T18" s="34">
        <f>((4170000000000*((('Reference tables'!$X$48)*('Reference tables'!$Y$48))^0.5)*EXP((-67837/'No EGR'!S18)))/('No EGR'!$B$1*6))*'Reference tables'!$B$51</f>
        <v>7.5633007200424416E-6</v>
      </c>
      <c r="U18" s="33">
        <f t="shared" si="13"/>
        <v>3681.7900969955599</v>
      </c>
      <c r="V18" s="34">
        <f>((4170000000000*((('Reference tables'!$X$49)*('Reference tables'!$Y$49))^0.5)*EXP((-67837/'No EGR'!U18)))/('No EGR'!$B$1*6))*'Reference tables'!$B$51</f>
        <v>7.9397986723893065E-6</v>
      </c>
      <c r="W18" s="33">
        <f t="shared" si="8"/>
        <v>3704.1344218064751</v>
      </c>
      <c r="X18" s="34">
        <f>((4170000000000*((('Reference tables'!$X$50)*('Reference tables'!$Y$50))^0.5)*EXP((-67837/'No EGR'!W18)))/('No EGR'!$B$1*6))*'Reference tables'!$B$51</f>
        <v>7.2437179858580801E-6</v>
      </c>
      <c r="Y18" s="33">
        <f t="shared" si="9"/>
        <v>3733.4470768230558</v>
      </c>
      <c r="Z18" s="34">
        <f>((4170000000000*((('Reference tables'!$X$51)*('Reference tables'!$Y$51))^0.5)*EXP((-67837/'No EGR'!Y18)))/('No EGR'!$B$1*6))*'Reference tables'!$B$51</f>
        <v>5.9131847081983476E-6</v>
      </c>
      <c r="AA18" s="33">
        <f t="shared" si="14"/>
        <v>4145.3038169883484</v>
      </c>
      <c r="AB18" s="35">
        <f>((4170000000000*((('Reference tables'!$X$52)*('Reference tables'!$Y$52))^0.5)*EXP((-67837/'No EGR'!AA18)))/('No EGR'!$B$1*6))*'Reference tables'!$B$51</f>
        <v>0</v>
      </c>
    </row>
    <row r="19" spans="1:28" x14ac:dyDescent="0.3">
      <c r="A19" s="7">
        <f t="shared" si="10"/>
        <v>13</v>
      </c>
      <c r="B19" s="8">
        <f t="shared" si="11"/>
        <v>36</v>
      </c>
      <c r="C19" s="33">
        <f t="shared" si="0"/>
        <v>2584.3719607960275</v>
      </c>
      <c r="D19" s="34">
        <f>((4170000000000*((('Reference tables'!$X$40)*('Reference tables'!$Y$40))^0.5)*EXP((-67837/'No EGR'!C19)))/('No EGR'!$B$1*6))*'Reference tables'!$B$51</f>
        <v>1.166958642313541E-8</v>
      </c>
      <c r="E19" s="33">
        <f t="shared" si="1"/>
        <v>2745.7645160208663</v>
      </c>
      <c r="F19" s="34">
        <f>((4170000000000*((('Reference tables'!$X$41)*('Reference tables'!$Y$41))^0.5)*EXP((-67837/'No EGR'!E19)))/('No EGR'!$B$1*6))*'Reference tables'!$B$51</f>
        <v>5.1022560258411407E-8</v>
      </c>
      <c r="G19" s="33">
        <f t="shared" si="2"/>
        <v>2905.6836660812082</v>
      </c>
      <c r="H19" s="34">
        <f>((4170000000000*((('Reference tables'!$X$42)*('Reference tables'!$Y$42))^0.5)*EXP((-67837/'No EGR'!G19)))/('No EGR'!$B$1*6))*'Reference tables'!$B$51</f>
        <v>1.8384642738890274E-7</v>
      </c>
      <c r="I19" s="33">
        <f t="shared" si="3"/>
        <v>3064.5814053561057</v>
      </c>
      <c r="J19" s="34">
        <f>((4170000000000*((('Reference tables'!$X$43)*('Reference tables'!$Y$43))^0.5)*EXP((-67837/'No EGR'!I19)))/('No EGR'!$B$1*6))*'Reference tables'!$B$51</f>
        <v>5.6262329407683068E-7</v>
      </c>
      <c r="K19" s="33">
        <f t="shared" si="12"/>
        <v>3222.4239549062054</v>
      </c>
      <c r="L19" s="34">
        <f>((4170000000000*((('Reference tables'!$X$44)*('Reference tables'!$Y$44))^0.5)*EXP((-67837/'No EGR'!K19)))/('No EGR'!$B$1*6))*'Reference tables'!$B$51</f>
        <v>1.4869434815912512E-6</v>
      </c>
      <c r="M19" s="33">
        <f t="shared" si="4"/>
        <v>3379.5458870832604</v>
      </c>
      <c r="N19" s="34">
        <f>((4170000000000*((('Reference tables'!$X$45)*('Reference tables'!$Y$45))^0.5)*EXP((-67837/'No EGR'!M19)))/('No EGR'!$B$1*6))*'Reference tables'!$B$51</f>
        <v>3.4239061152071252E-6</v>
      </c>
      <c r="O19" s="33">
        <f t="shared" si="5"/>
        <v>3535.3890451273696</v>
      </c>
      <c r="P19" s="34">
        <f>((4170000000000*((('Reference tables'!$X$46)*('Reference tables'!$Y$46))^0.5)*EXP((-67837/'No EGR'!O19)))/('No EGR'!$B$1*6))*'Reference tables'!$B$51</f>
        <v>6.7669440034225949E-6</v>
      </c>
      <c r="Q19" s="33">
        <f t="shared" si="6"/>
        <v>3690.9056734243341</v>
      </c>
      <c r="R19" s="34">
        <f>((4170000000000*((('Reference tables'!$X$47)*('Reference tables'!$Y$47))^0.5)*EXP((-67837/'No EGR'!Q19)))/('No EGR'!$B$1*6))*'Reference tables'!$B$51</f>
        <v>1.0730995801247932E-5</v>
      </c>
      <c r="S19" s="33">
        <f t="shared" si="7"/>
        <v>3721.8117944186956</v>
      </c>
      <c r="T19" s="34">
        <f>((4170000000000*((('Reference tables'!$X$48)*('Reference tables'!$Y$48))^0.5)*EXP((-67837/'No EGR'!S19)))/('No EGR'!$B$1*6))*'Reference tables'!$B$51</f>
        <v>1.1178849678593064E-5</v>
      </c>
      <c r="U19" s="33">
        <f t="shared" si="13"/>
        <v>3760.7138729160656</v>
      </c>
      <c r="V19" s="34">
        <f>((4170000000000*((('Reference tables'!$X$49)*('Reference tables'!$Y$49))^0.5)*EXP((-67837/'No EGR'!U19)))/('No EGR'!$B$1*6))*'Reference tables'!$B$51</f>
        <v>1.1687993249156364E-5</v>
      </c>
      <c r="W19" s="33">
        <f t="shared" si="8"/>
        <v>3783.5371762776281</v>
      </c>
      <c r="X19" s="34">
        <f>((4170000000000*((('Reference tables'!$X$50)*('Reference tables'!$Y$50))^0.5)*EXP((-67837/'No EGR'!W19)))/('No EGR'!$B$1*6))*'Reference tables'!$B$51</f>
        <v>1.063846562161499E-5</v>
      </c>
      <c r="Y19" s="33">
        <f t="shared" si="9"/>
        <v>3813.478184718831</v>
      </c>
      <c r="Z19" s="34">
        <f>((4170000000000*((('Reference tables'!$X$51)*('Reference tables'!$Y$51))^0.5)*EXP((-67837/'No EGR'!Y19)))/('No EGR'!$B$1*6))*'Reference tables'!$B$51</f>
        <v>8.6582151963576283E-6</v>
      </c>
      <c r="AA19" s="33">
        <f t="shared" si="14"/>
        <v>4256.3167216115889</v>
      </c>
      <c r="AB19" s="35">
        <f>((4170000000000*((('Reference tables'!$X$52)*('Reference tables'!$Y$52))^0.5)*EXP((-67837/'No EGR'!AA19)))/('No EGR'!$B$1*6))*'Reference tables'!$B$51</f>
        <v>0</v>
      </c>
    </row>
    <row r="20" spans="1:28" x14ac:dyDescent="0.3">
      <c r="A20" s="7">
        <f t="shared" si="10"/>
        <v>14</v>
      </c>
      <c r="B20" s="8">
        <f t="shared" si="11"/>
        <v>38</v>
      </c>
      <c r="C20" s="33">
        <f t="shared" si="0"/>
        <v>2636.7450024502082</v>
      </c>
      <c r="D20" s="34">
        <f>((4170000000000*((('Reference tables'!$X$40)*('Reference tables'!$Y$40))^0.5)*EXP((-67837/'No EGR'!C20)))/('No EGR'!$B$1*6))*'Reference tables'!$B$51</f>
        <v>1.9655600250871491E-8</v>
      </c>
      <c r="E20" s="33">
        <f t="shared" si="1"/>
        <v>2801.4082242608515</v>
      </c>
      <c r="F20" s="34">
        <f>((4170000000000*((('Reference tables'!$X$41)*('Reference tables'!$Y$41))^0.5)*EXP((-67837/'No EGR'!E20)))/('No EGR'!$B$1*6))*'Reference tables'!$B$51</f>
        <v>8.3345810775101768E-8</v>
      </c>
      <c r="G20" s="33">
        <f t="shared" si="2"/>
        <v>2964.568181927244</v>
      </c>
      <c r="H20" s="34">
        <f>((4170000000000*((('Reference tables'!$X$42)*('Reference tables'!$Y$42))^0.5)*EXP((-67837/'No EGR'!G20)))/('No EGR'!$B$1*6))*'Reference tables'!$B$51</f>
        <v>2.9231239028406721E-7</v>
      </c>
      <c r="I20" s="33">
        <f t="shared" si="3"/>
        <v>3126.6860296246286</v>
      </c>
      <c r="J20" s="34">
        <f>((4170000000000*((('Reference tables'!$X$43)*('Reference tables'!$Y$43))^0.5)*EXP((-67837/'No EGR'!I20)))/('No EGR'!$B$1*6))*'Reference tables'!$B$51</f>
        <v>8.7330835445608964E-7</v>
      </c>
      <c r="K20" s="33">
        <f t="shared" si="12"/>
        <v>3287.7273038737239</v>
      </c>
      <c r="L20" s="34">
        <f>((4170000000000*((('Reference tables'!$X$44)*('Reference tables'!$Y$44))^0.5)*EXP((-67837/'No EGR'!K20)))/('No EGR'!$B$1*6))*'Reference tables'!$B$51</f>
        <v>2.25886956191728E-6</v>
      </c>
      <c r="M20" s="33">
        <f t="shared" si="4"/>
        <v>3448.0333572312916</v>
      </c>
      <c r="N20" s="34">
        <f>((4170000000000*((('Reference tables'!$X$45)*('Reference tables'!$Y$45))^0.5)*EXP((-67837/'No EGR'!M20)))/('No EGR'!$B$1*6))*'Reference tables'!$B$51</f>
        <v>5.1012398266311817E-6</v>
      </c>
      <c r="O20" s="33">
        <f t="shared" si="5"/>
        <v>3607.0347217300359</v>
      </c>
      <c r="P20" s="34">
        <f>((4170000000000*((('Reference tables'!$X$46)*('Reference tables'!$Y$46))^0.5)*EXP((-67837/'No EGR'!O20)))/('No EGR'!$B$1*6))*'Reference tables'!$B$51</f>
        <v>9.9063506384756213E-6</v>
      </c>
      <c r="Q20" s="33">
        <f t="shared" si="6"/>
        <v>3765.7029392623231</v>
      </c>
      <c r="R20" s="34">
        <f>((4170000000000*((('Reference tables'!$X$47)*('Reference tables'!$Y$47))^0.5)*EXP((-67837/'No EGR'!Q20)))/('No EGR'!$B$1*6))*'Reference tables'!$B$51</f>
        <v>1.5459195585635804E-5</v>
      </c>
      <c r="S20" s="33">
        <f t="shared" si="7"/>
        <v>3797.2353816944496</v>
      </c>
      <c r="T20" s="34">
        <f>((4170000000000*((('Reference tables'!$X$48)*('Reference tables'!$Y$48))^0.5)*EXP((-67837/'No EGR'!S20)))/('No EGR'!$B$1*6))*'Reference tables'!$B$51</f>
        <v>1.6055631857788413E-5</v>
      </c>
      <c r="U20" s="33">
        <f t="shared" si="13"/>
        <v>3836.9258220098877</v>
      </c>
      <c r="V20" s="34">
        <f>((4170000000000*((('Reference tables'!$X$49)*('Reference tables'!$Y$49))^0.5)*EXP((-67837/'No EGR'!U20)))/('No EGR'!$B$1*6))*'Reference tables'!$B$51</f>
        <v>1.6724140018194014E-5</v>
      </c>
      <c r="W20" s="33">
        <f t="shared" si="8"/>
        <v>3860.2116461833821</v>
      </c>
      <c r="X20" s="34">
        <f>((4170000000000*((('Reference tables'!$X$50)*('Reference tables'!$Y$50))^0.5)*EXP((-67837/'No EGR'!W20)))/('No EGR'!$B$1*6))*'Reference tables'!$B$51</f>
        <v>1.5189525017375781E-5</v>
      </c>
      <c r="Y20" s="33">
        <f t="shared" si="9"/>
        <v>3890.7594177786691</v>
      </c>
      <c r="Z20" s="34">
        <f>((4170000000000*((('Reference tables'!$X$51)*('Reference tables'!$Y$51))^0.5)*EXP((-67837/'No EGR'!Y20)))/('No EGR'!$B$1*6))*'Reference tables'!$B$51</f>
        <v>1.2327620090552823E-5</v>
      </c>
      <c r="AA20" s="33">
        <f t="shared" si="14"/>
        <v>4364.0607547628397</v>
      </c>
      <c r="AB20" s="35">
        <f>((4170000000000*((('Reference tables'!$X$52)*('Reference tables'!$Y$52))^0.5)*EXP((-67837/'No EGR'!AA20)))/('No EGR'!$B$1*6))*'Reference tables'!$B$51</f>
        <v>0</v>
      </c>
    </row>
    <row r="21" spans="1:28" ht="15" thickBot="1" x14ac:dyDescent="0.35">
      <c r="A21" s="7">
        <f t="shared" si="10"/>
        <v>15</v>
      </c>
      <c r="B21" s="8">
        <f t="shared" si="11"/>
        <v>40</v>
      </c>
      <c r="C21" s="33">
        <f t="shared" si="0"/>
        <v>2687.4117713202318</v>
      </c>
      <c r="D21" s="34">
        <f>((4170000000000*((('Reference tables'!$X$40)*('Reference tables'!$Y$40))^0.5)*EXP((-67837/'No EGR'!C21)))/('No EGR'!$B$1*6))*'Reference tables'!$B$51</f>
        <v>3.1925766161066441E-8</v>
      </c>
      <c r="E21" s="33">
        <f t="shared" si="1"/>
        <v>2855.2391039543031</v>
      </c>
      <c r="F21" s="34">
        <f>((4170000000000*((('Reference tables'!$X$41)*('Reference tables'!$Y$41))^0.5)*EXP((-67837/'No EGR'!E21)))/('No EGR'!$B$1*6))*'Reference tables'!$B$51</f>
        <v>1.3156996474491628E-7</v>
      </c>
      <c r="G21" s="33">
        <f t="shared" si="2"/>
        <v>3021.5342862466055</v>
      </c>
      <c r="H21" s="34">
        <f>((4170000000000*((('Reference tables'!$X$42)*('Reference tables'!$Y$42))^0.5)*EXP((-67837/'No EGR'!G21)))/('No EGR'!$B$1*6))*'Reference tables'!$B$51</f>
        <v>4.4999524256834458E-7</v>
      </c>
      <c r="I21" s="33">
        <f t="shared" si="3"/>
        <v>3186.7673337495644</v>
      </c>
      <c r="J21" s="34">
        <f>((4170000000000*((('Reference tables'!$X$43)*('Reference tables'!$Y$43))^0.5)*EXP((-67837/'No EGR'!I21)))/('No EGR'!$B$1*6))*'Reference tables'!$B$51</f>
        <v>1.3146607895415811E-6</v>
      </c>
      <c r="K21" s="33">
        <f t="shared" si="12"/>
        <v>3350.903120745757</v>
      </c>
      <c r="L21" s="34">
        <f>((4170000000000*((('Reference tables'!$X$44)*('Reference tables'!$Y$44))^0.5)*EXP((-67837/'No EGR'!K21)))/('No EGR'!$B$1*6))*'Reference tables'!$B$51</f>
        <v>3.3330028841851423E-6</v>
      </c>
      <c r="M21" s="33">
        <f t="shared" si="4"/>
        <v>3514.289559103152</v>
      </c>
      <c r="N21" s="34">
        <f>((4170000000000*((('Reference tables'!$X$45)*('Reference tables'!$Y$45))^0.5)*EXP((-67837/'No EGR'!M21)))/('No EGR'!$B$1*6))*'Reference tables'!$B$51</f>
        <v>7.3920637589489682E-6</v>
      </c>
      <c r="O21" s="33">
        <f t="shared" si="5"/>
        <v>3676.3462381573831</v>
      </c>
      <c r="P21" s="34">
        <f>((4170000000000*((('Reference tables'!$X$46)*('Reference tables'!$Y$46))^0.5)*EXP((-67837/'No EGR'!O21)))/('No EGR'!$B$1*6))*'Reference tables'!$B$51</f>
        <v>1.4122210045127839E-5</v>
      </c>
      <c r="Q21" s="33">
        <f t="shared" si="6"/>
        <v>3838.0633686096676</v>
      </c>
      <c r="R21" s="34">
        <f>((4170000000000*((('Reference tables'!$X$47)*('Reference tables'!$Y$47))^0.5)*EXP((-67837/'No EGR'!Q21)))/('No EGR'!$B$1*6))*'Reference tables'!$B$51</f>
        <v>2.1711384769201095E-5</v>
      </c>
      <c r="S21" s="33">
        <f t="shared" si="7"/>
        <v>3870.2017274163895</v>
      </c>
      <c r="T21" s="34">
        <f>((4170000000000*((('Reference tables'!$X$48)*('Reference tables'!$Y$48))^0.5)*EXP((-67837/'No EGR'!S21)))/('No EGR'!$B$1*6))*'Reference tables'!$B$51</f>
        <v>2.2485532697707945E-5</v>
      </c>
      <c r="U21" s="33">
        <f t="shared" si="13"/>
        <v>3910.6548453377177</v>
      </c>
      <c r="V21" s="34">
        <f>((4170000000000*((('Reference tables'!$X$49)*('Reference tables'!$Y$49))^0.5)*EXP((-67837/'No EGR'!U21)))/('No EGR'!$B$1*6))*'Reference tables'!$B$51</f>
        <v>2.3340300793862962E-5</v>
      </c>
      <c r="W21" s="33">
        <f t="shared" si="8"/>
        <v>3934.3881217564044</v>
      </c>
      <c r="X21" s="34">
        <f>((4170000000000*((('Reference tables'!$X$50)*('Reference tables'!$Y$50))^0.5)*EXP((-67837/'No EGR'!W21)))/('No EGR'!$B$1*6))*'Reference tables'!$B$51</f>
        <v>2.1156002047705547E-5</v>
      </c>
      <c r="Y21" s="33">
        <f t="shared" si="9"/>
        <v>3965.5228886362088</v>
      </c>
      <c r="Z21" s="34">
        <f>((4170000000000*((('Reference tables'!$X$51)*('Reference tables'!$Y$51))^0.5)*EXP((-67837/'No EGR'!Y21)))/('No EGR'!$B$1*6))*'Reference tables'!$B$51</f>
        <v>1.7125328880756331E-5</v>
      </c>
      <c r="AA21" s="33">
        <f t="shared" si="14"/>
        <v>4468.7969963673386</v>
      </c>
      <c r="AB21" s="35">
        <f>((4170000000000*((('Reference tables'!$X$52)*('Reference tables'!$Y$52))^0.5)*EXP((-67837/'No EGR'!AA21)))/('No EGR'!$B$1*6))*'Reference tables'!$B$51</f>
        <v>0</v>
      </c>
    </row>
    <row r="22" spans="1:28" ht="15" thickBot="1" x14ac:dyDescent="0.35">
      <c r="A22" s="10"/>
      <c r="B22" s="11"/>
      <c r="C22" s="40">
        <f>(D22/'Reference tables'!Q48)*1000000</f>
        <v>3270.439054091215</v>
      </c>
      <c r="D22" s="36">
        <f>SUM(D6:D21)</f>
        <v>7.6919285968176265E-8</v>
      </c>
      <c r="E22" s="40">
        <f>(F22/'Reference tables'!Q49)*1000000</f>
        <v>14131.388287600947</v>
      </c>
      <c r="F22" s="36">
        <f>SUM(F6:F21)</f>
        <v>3.3011114982420284E-7</v>
      </c>
      <c r="G22" s="40">
        <f>(H22/'Reference tables'!Q50)*1000000</f>
        <v>50556.525519655734</v>
      </c>
      <c r="H22" s="36">
        <f>SUM(H6:H21)</f>
        <v>1.1729607784081096E-6</v>
      </c>
      <c r="I22" s="40">
        <f>(J22/'Reference tables'!Q51)*1000000</f>
        <v>154184.36465166032</v>
      </c>
      <c r="J22" s="36">
        <f>SUM(J6:J21)</f>
        <v>3.5527287635370538E-6</v>
      </c>
      <c r="K22" s="40">
        <f>(L22/'Reference tables'!Q52)*1000000</f>
        <v>407295.8713537642</v>
      </c>
      <c r="L22" s="36">
        <f>SUM(L6:L21)</f>
        <v>9.3203348766643477E-6</v>
      </c>
      <c r="M22" s="40">
        <f>(N22/'Reference tables'!Q53)*1000000</f>
        <v>939672.28706337011</v>
      </c>
      <c r="N22" s="36">
        <f>SUM(N6:N21)</f>
        <v>2.1354129437731257E-5</v>
      </c>
      <c r="O22" s="40">
        <f>(P22/'Reference tables'!Q54)*1000000</f>
        <v>1864442.5383991371</v>
      </c>
      <c r="P22" s="36">
        <f>SUM(P6:P21)</f>
        <v>4.207482806794883E-5</v>
      </c>
      <c r="Q22" s="40">
        <f>(R22/'Reference tables'!Q55)*1000000</f>
        <v>2973053.5607740567</v>
      </c>
      <c r="R22" s="36">
        <f>SUM(R6:R21)</f>
        <v>6.6623542880668969E-5</v>
      </c>
      <c r="S22" s="40">
        <f>(T22/'Reference tables'!Q56)*1000000</f>
        <v>3101096.3537482102</v>
      </c>
      <c r="T22" s="36">
        <f>SUM(T6:T21)</f>
        <v>6.9395068888782274E-5</v>
      </c>
      <c r="U22" s="40">
        <f>(V22/'Reference tables'!Q57)*1000000</f>
        <v>3246612.9274572115</v>
      </c>
      <c r="V22" s="36">
        <f>SUM(V6:V21)</f>
        <v>7.2549022441282786E-5</v>
      </c>
      <c r="W22" s="40">
        <f>(X22/'Reference tables'!Q58)*1000000</f>
        <v>2959201.7756727003</v>
      </c>
      <c r="X22" s="36">
        <f>SUM(X6:X21)</f>
        <v>6.6033249434495637E-5</v>
      </c>
      <c r="Y22" s="40">
        <f>(Z22/'Reference tables'!Q59)*1000000</f>
        <v>2411814.5996496468</v>
      </c>
      <c r="Z22" s="36">
        <f>SUM(Z6:Z21)</f>
        <v>5.3742564376142298E-5</v>
      </c>
      <c r="AA22" s="40">
        <f>(AB22/'Reference tables'!Q60)*1000000</f>
        <v>0</v>
      </c>
      <c r="AB22" s="37">
        <f>SUM(AB6:AB21)</f>
        <v>0</v>
      </c>
    </row>
    <row r="23" spans="1:28" s="39" customFormat="1" ht="15" thickBot="1" x14ac:dyDescent="0.35">
      <c r="A23" s="32"/>
      <c r="B23" s="32"/>
      <c r="C23" s="41">
        <f>VALUE(C22)</f>
        <v>3270.439054091215</v>
      </c>
      <c r="D23" s="32"/>
      <c r="E23" s="41">
        <f>VALUE(E22)</f>
        <v>14131.388287600947</v>
      </c>
      <c r="F23" s="32"/>
      <c r="G23" s="41">
        <f>VALUE(G22)</f>
        <v>50556.525519655734</v>
      </c>
      <c r="H23" s="32"/>
      <c r="I23" s="41">
        <f>VALUE(I22)</f>
        <v>154184.36465166032</v>
      </c>
      <c r="J23" s="32"/>
      <c r="K23" s="41">
        <f>VALUE(K22)</f>
        <v>407295.8713537642</v>
      </c>
      <c r="L23" s="32"/>
      <c r="M23" s="41">
        <f>VALUE(M22)</f>
        <v>939672.28706337011</v>
      </c>
      <c r="N23" s="32"/>
      <c r="O23" s="41">
        <f>VALUE(O22)</f>
        <v>1864442.5383991371</v>
      </c>
      <c r="P23" s="32"/>
      <c r="Q23" s="41">
        <f>VALUE(Q22)</f>
        <v>2973053.5607740567</v>
      </c>
      <c r="R23" s="32"/>
      <c r="S23" s="41">
        <f>VALUE(S22)</f>
        <v>3101096.3537482102</v>
      </c>
      <c r="T23" s="32"/>
      <c r="U23" s="41">
        <f>VALUE(U22)</f>
        <v>3246612.9274572115</v>
      </c>
      <c r="V23" s="32"/>
      <c r="W23" s="41">
        <f>VALUE(W22)</f>
        <v>2959201.7756727003</v>
      </c>
      <c r="X23" s="32"/>
      <c r="Y23" s="41">
        <f>VALUE(Y22)</f>
        <v>2411814.5996496468</v>
      </c>
      <c r="Z23" s="32"/>
      <c r="AA23" s="41">
        <f>VALUE(AA22)</f>
        <v>0</v>
      </c>
      <c r="AB23" s="32"/>
    </row>
    <row r="24" spans="1:28" x14ac:dyDescent="0.3">
      <c r="A24" s="79" t="s">
        <v>16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2"/>
      <c r="V24" s="80"/>
      <c r="W24" s="82"/>
      <c r="X24" s="80"/>
      <c r="Y24" s="82"/>
      <c r="Z24" s="80"/>
      <c r="AA24" s="82"/>
      <c r="AB24" s="81"/>
    </row>
    <row r="25" spans="1:28" x14ac:dyDescent="0.3">
      <c r="A25" s="7"/>
      <c r="B25" s="30" t="s">
        <v>7</v>
      </c>
      <c r="C25" s="82">
        <v>0.6</v>
      </c>
      <c r="D25" s="82"/>
      <c r="E25" s="82">
        <f>C25+0.05</f>
        <v>0.65</v>
      </c>
      <c r="F25" s="82"/>
      <c r="G25" s="82">
        <v>0.7</v>
      </c>
      <c r="H25" s="82"/>
      <c r="I25" s="82">
        <v>0.75</v>
      </c>
      <c r="J25" s="82"/>
      <c r="K25" s="82">
        <v>0.8</v>
      </c>
      <c r="L25" s="82"/>
      <c r="M25" s="82">
        <v>0.85</v>
      </c>
      <c r="N25" s="82"/>
      <c r="O25" s="82">
        <v>0.9</v>
      </c>
      <c r="P25" s="82"/>
      <c r="Q25" s="82">
        <v>0.95</v>
      </c>
      <c r="R25" s="82"/>
      <c r="S25" s="82">
        <v>0.96</v>
      </c>
      <c r="T25" s="82"/>
      <c r="U25" s="82">
        <v>0.97</v>
      </c>
      <c r="V25" s="82"/>
      <c r="W25" s="82">
        <v>0.98</v>
      </c>
      <c r="X25" s="82"/>
      <c r="Y25" s="82">
        <v>0.99</v>
      </c>
      <c r="Z25" s="82"/>
      <c r="AA25" s="82">
        <v>1</v>
      </c>
      <c r="AB25" s="83"/>
    </row>
    <row r="26" spans="1:28" x14ac:dyDescent="0.3">
      <c r="A26" s="7" t="s">
        <v>0</v>
      </c>
      <c r="B26" s="8" t="s">
        <v>1</v>
      </c>
      <c r="C26" s="15" t="s">
        <v>102</v>
      </c>
      <c r="D26" s="8" t="s">
        <v>4</v>
      </c>
      <c r="E26" s="15" t="s">
        <v>102</v>
      </c>
      <c r="F26" s="8" t="s">
        <v>4</v>
      </c>
      <c r="G26" s="15" t="s">
        <v>102</v>
      </c>
      <c r="H26" s="8" t="s">
        <v>4</v>
      </c>
      <c r="I26" s="15" t="s">
        <v>102</v>
      </c>
      <c r="J26" s="8" t="s">
        <v>4</v>
      </c>
      <c r="K26" s="15" t="s">
        <v>102</v>
      </c>
      <c r="L26" s="8" t="s">
        <v>4</v>
      </c>
      <c r="M26" s="15" t="s">
        <v>102</v>
      </c>
      <c r="N26" s="8" t="s">
        <v>4</v>
      </c>
      <c r="O26" s="15" t="s">
        <v>102</v>
      </c>
      <c r="P26" s="8" t="s">
        <v>4</v>
      </c>
      <c r="Q26" s="15" t="s">
        <v>102</v>
      </c>
      <c r="R26" s="8" t="s">
        <v>4</v>
      </c>
      <c r="S26" s="15" t="s">
        <v>102</v>
      </c>
      <c r="T26" s="8" t="s">
        <v>4</v>
      </c>
      <c r="U26" s="15" t="s">
        <v>102</v>
      </c>
      <c r="V26" s="8" t="s">
        <v>4</v>
      </c>
      <c r="W26" s="15" t="s">
        <v>102</v>
      </c>
      <c r="X26" s="8" t="s">
        <v>4</v>
      </c>
      <c r="Y26" s="15" t="s">
        <v>102</v>
      </c>
      <c r="Z26" s="8" t="s">
        <v>4</v>
      </c>
      <c r="AA26" s="15" t="s">
        <v>102</v>
      </c>
      <c r="AB26" s="9" t="s">
        <v>4</v>
      </c>
    </row>
    <row r="27" spans="1:28" x14ac:dyDescent="0.3">
      <c r="A27" s="7" t="s">
        <v>2</v>
      </c>
      <c r="B27" s="8" t="s">
        <v>3</v>
      </c>
      <c r="C27" s="8" t="s">
        <v>5</v>
      </c>
      <c r="D27" s="8" t="s">
        <v>6</v>
      </c>
      <c r="E27" s="8" t="s">
        <v>5</v>
      </c>
      <c r="F27" s="8" t="s">
        <v>6</v>
      </c>
      <c r="G27" s="8" t="s">
        <v>5</v>
      </c>
      <c r="H27" s="8" t="s">
        <v>6</v>
      </c>
      <c r="I27" s="8" t="s">
        <v>5</v>
      </c>
      <c r="J27" s="8" t="s">
        <v>6</v>
      </c>
      <c r="K27" s="8" t="s">
        <v>5</v>
      </c>
      <c r="L27" s="8" t="s">
        <v>6</v>
      </c>
      <c r="M27" s="8" t="s">
        <v>5</v>
      </c>
      <c r="N27" s="8" t="s">
        <v>6</v>
      </c>
      <c r="O27" s="8" t="s">
        <v>5</v>
      </c>
      <c r="P27" s="8" t="s">
        <v>6</v>
      </c>
      <c r="Q27" s="8" t="s">
        <v>5</v>
      </c>
      <c r="R27" s="8" t="s">
        <v>6</v>
      </c>
      <c r="S27" s="8" t="s">
        <v>5</v>
      </c>
      <c r="T27" s="8" t="s">
        <v>6</v>
      </c>
      <c r="U27" s="8" t="s">
        <v>5</v>
      </c>
      <c r="V27" s="8" t="s">
        <v>6</v>
      </c>
      <c r="W27" s="8" t="s">
        <v>5</v>
      </c>
      <c r="X27" s="8" t="s">
        <v>6</v>
      </c>
      <c r="Y27" s="8" t="s">
        <v>5</v>
      </c>
      <c r="Z27" s="8" t="s">
        <v>6</v>
      </c>
      <c r="AA27" s="8" t="s">
        <v>5</v>
      </c>
      <c r="AB27" s="9" t="s">
        <v>6</v>
      </c>
    </row>
    <row r="28" spans="1:28" x14ac:dyDescent="0.3">
      <c r="A28" s="7">
        <v>0</v>
      </c>
      <c r="B28" s="8">
        <v>10</v>
      </c>
      <c r="C28" s="33">
        <v>1635.028</v>
      </c>
      <c r="D28" s="23">
        <f>((4170000000000*((('Reference tables'!$T$40)*('Reference tables'!$U$40))^0.5)*EXP((-67837/'No EGR'!C28)))/('No EGR'!$B$1*6))*'Reference tables'!$B$51</f>
        <v>8.1619846767846483E-17</v>
      </c>
      <c r="E28" s="8">
        <v>1728.261</v>
      </c>
      <c r="F28" s="23">
        <f>((4170000000000*((('Reference tables'!$T$41)*('Reference tables'!$U$41))^0.5)*EXP((-67837/'No EGR'!E28)))/('No EGR'!$B$1*6))*'Reference tables'!$B$51</f>
        <v>7.9145414861582888E-16</v>
      </c>
      <c r="G28" s="8">
        <v>1819.1610000000001</v>
      </c>
      <c r="H28" s="23">
        <f>((4170000000000*((('Reference tables'!$T$42)*('Reference tables'!$U$42))^0.5)*EXP((-67837/'No EGR'!G28)))/('No EGR'!$B$1*6))*'Reference tables'!$B$51</f>
        <v>5.8014177712271725E-15</v>
      </c>
      <c r="I28" s="8">
        <v>1908.6669999999999</v>
      </c>
      <c r="J28" s="23">
        <f>((4170000000000*((('Reference tables'!$T$43)*('Reference tables'!$U$43))^0.5)*EXP((-67837/'No EGR'!I28)))/('No EGR'!$B$1*6))*'Reference tables'!$B$51</f>
        <v>3.4293390254350238E-14</v>
      </c>
      <c r="K28" s="8">
        <v>1996.1220000000001</v>
      </c>
      <c r="L28" s="23">
        <f>((4170000000000*((('Reference tables'!$T$44)*('Reference tables'!$U$44))^0.5)*EXP((-67837/'No EGR'!K28)))/('No EGR'!$B$1*6))*'Reference tables'!$B$51</f>
        <v>1.6701272165207795E-13</v>
      </c>
      <c r="M28" s="8">
        <v>2082.0569999999998</v>
      </c>
      <c r="N28" s="23">
        <f>((4170000000000*((('Reference tables'!$T$45)*('Reference tables'!$U$45))^0.5)*EXP((-67837/'No EGR'!M28)))/('No EGR'!$B$1*6))*'Reference tables'!$B$51</f>
        <v>6.9560505868819541E-13</v>
      </c>
      <c r="O28" s="8">
        <v>2166.0639999999999</v>
      </c>
      <c r="P28" s="23">
        <f>((4170000000000*((('Reference tables'!$T$46)*('Reference tables'!$U$46))^0.5)*EXP((-67837/'No EGR'!O28)))/('No EGR'!$B$1*6))*'Reference tables'!$B$51</f>
        <v>2.5168169669860517E-12</v>
      </c>
      <c r="Q28" s="8">
        <v>2248.6419999999998</v>
      </c>
      <c r="R28" s="23">
        <f>((4170000000000*((('Reference tables'!$T$47)*('Reference tables'!$U$47))^0.5)*EXP((-67837/'No EGR'!Q28)))/('No EGR'!$B$1*6))*'Reference tables'!$B$51</f>
        <v>8.116843067693387E-12</v>
      </c>
      <c r="S28" s="8">
        <v>2264.9470000000001</v>
      </c>
      <c r="T28" s="23">
        <f>((4170000000000*((('Reference tables'!$T$48)*('Reference tables'!$U$48))^0.5)*EXP((-67837/'No EGR'!S28)))/('No EGR'!$B$1*6))*'Reference tables'!$B$51</f>
        <v>1.0126104495023164E-11</v>
      </c>
      <c r="U28" s="8">
        <v>2281.2330000000002</v>
      </c>
      <c r="V28" s="23">
        <f>((4170000000000*((('Reference tables'!$T$49)*('Reference tables'!$U$49))^0.5)*EXP((-67837/'No EGR'!U28)))/('No EGR'!$B$1*6))*'Reference tables'!$B$51</f>
        <v>1.2589803277454381E-11</v>
      </c>
      <c r="W28" s="8">
        <v>2297.4580000000001</v>
      </c>
      <c r="X28" s="23">
        <f>((4170000000000*((('Reference tables'!$T$50)*('Reference tables'!$U$50))^0.5)*EXP((-67837/'No EGR'!W28)))/('No EGR'!$B$1*6))*'Reference tables'!$B$51</f>
        <v>1.5592512130657388E-11</v>
      </c>
      <c r="Y28" s="8">
        <v>2313.567</v>
      </c>
      <c r="Z28" s="23">
        <f>((4170000000000*((('Reference tables'!$T$51)*('Reference tables'!$U$51))^0.5)*EXP((-67837/'No EGR'!Y28)))/('No EGR'!$B$1*6))*'Reference tables'!$B$51</f>
        <v>1.9225323965195959E-11</v>
      </c>
      <c r="AA28" s="8">
        <v>2329.6190000000001</v>
      </c>
      <c r="AB28" s="27">
        <f>((4170000000000*((('Reference tables'!$T$51)*('Reference tables'!$U$51))^0.5)*EXP((-67837/'No EGR'!AA28)))/('No EGR'!$B$1*6))*'Reference tables'!$B$51</f>
        <v>2.3529721958706536E-11</v>
      </c>
    </row>
    <row r="29" spans="1:28" x14ac:dyDescent="0.3">
      <c r="A29" s="7">
        <f>A28+1</f>
        <v>1</v>
      </c>
      <c r="B29" s="8">
        <f>B28+2</f>
        <v>12</v>
      </c>
      <c r="C29" s="33">
        <f>((((B29^(1.86-1))/(B28^(1.86-1)))*C28^(1.86)))^(1/1.86)</f>
        <v>1778.8358687288505</v>
      </c>
      <c r="D29" s="23">
        <f>((4170000000000*((('Reference tables'!$T$40)*('Reference tables'!$U$40))^0.5)*EXP((-67837/'No EGR'!C29)))/('No EGR'!$B$1*6))*'Reference tables'!$B$51</f>
        <v>2.3361667179106104E-15</v>
      </c>
      <c r="E29" s="33">
        <f>((((B29^(1.86-1))/(B28^(1.86-1)))*E28^(1.86)))^(1/1.86)</f>
        <v>1880.2691191375263</v>
      </c>
      <c r="F29" s="23">
        <f>((4170000000000*((('Reference tables'!$T$41)*('Reference tables'!$U$41))^0.5)*EXP((-67837/'No EGR'!E29)))/('No EGR'!$B$1*6))*'Reference tables'!$B$51</f>
        <v>1.8903840695633191E-14</v>
      </c>
      <c r="G29" s="33">
        <f>((((B29^(1.86-1))/(B28^(1.86-1)))*G28^(1.86)))^(1/1.86)</f>
        <v>1979.1641719852171</v>
      </c>
      <c r="H29" s="23">
        <f>((4170000000000*((('Reference tables'!$T$42)*('Reference tables'!$U$42))^0.5)*EXP((-67837/'No EGR'!G29)))/('No EGR'!$B$1*6))*'Reference tables'!$B$51</f>
        <v>1.1824865014707435E-13</v>
      </c>
      <c r="I29" s="33">
        <f>((((B29^(1.86-1))/(B28^(1.86-1)))*I28^(1.86)))^(1/1.86)</f>
        <v>2076.5426164316996</v>
      </c>
      <c r="J29" s="23">
        <f>((4170000000000*((('Reference tables'!$T$43)*('Reference tables'!$U$43))^0.5)*EXP((-67837/'No EGR'!I29)))/('No EGR'!$B$1*6))*'Reference tables'!$B$51</f>
        <v>6.0684149941584542E-13</v>
      </c>
      <c r="K29" s="33">
        <f>((((B29^(1.86-1))/(B28^(1.86-1)))*K28^(1.86)))^(1/1.86)</f>
        <v>2171.689666451442</v>
      </c>
      <c r="L29" s="23">
        <f>((4170000000000*((('Reference tables'!$T$44)*('Reference tables'!$U$44))^0.5)*EXP((-67837/'No EGR'!K29)))/('No EGR'!$B$1*6))*'Reference tables'!$B$51</f>
        <v>2.6058078322726092E-12</v>
      </c>
      <c r="M29" s="33">
        <f>((((B29^(1.86-1))/(B28^(1.86-1)))*M28^(1.86)))^(1/1.86)</f>
        <v>2265.1830258185073</v>
      </c>
      <c r="N29" s="23">
        <f>((4170000000000*((('Reference tables'!$T$45)*('Reference tables'!$U$45))^0.5)*EXP((-67837/'No EGR'!M29)))/('No EGR'!$B$1*6))*'Reference tables'!$B$51</f>
        <v>9.6896395025331385E-12</v>
      </c>
      <c r="O29" s="33">
        <f>((((B29^(1.86-1))/(B28^(1.86-1)))*O28^(1.86)))^(1/1.86)</f>
        <v>2356.5788091471741</v>
      </c>
      <c r="P29" s="23">
        <f>((4170000000000*((('Reference tables'!$T$46)*('Reference tables'!$U$46))^0.5)*EXP((-67837/'No EGR'!O29)))/('No EGR'!$B$1*6))*'Reference tables'!$B$51</f>
        <v>3.1654147471320739E-11</v>
      </c>
      <c r="Q29" s="33">
        <f>((((B29^(1.86-1))/(B28^(1.86-1)))*Q28^(1.86)))^(1/1.86)</f>
        <v>2446.4199056714506</v>
      </c>
      <c r="R29" s="23">
        <f>((4170000000000*((('Reference tables'!$T$47)*('Reference tables'!$U$47))^0.5)*EXP((-67837/'No EGR'!Q29)))/('No EGR'!$B$1*6))*'Reference tables'!$B$51</f>
        <v>9.3022016725582961E-11</v>
      </c>
      <c r="S29" s="33">
        <f>((((B29^(1.86-1))/(B28^(1.86-1)))*S28^(1.86)))^(1/1.86)</f>
        <v>2464.1590017845579</v>
      </c>
      <c r="T29" s="23">
        <f>((4170000000000*((('Reference tables'!$T$48)*('Reference tables'!$U$48))^0.5)*EXP((-67837/'No EGR'!S29)))/('No EGR'!$B$1*6))*'Reference tables'!$B$51</f>
        <v>1.1402917987072316E-10</v>
      </c>
      <c r="U29" s="33">
        <f>((((B29^(1.86-1))/(B28^(1.86-1)))*U28^(1.86)))^(1/1.86)</f>
        <v>2481.8774267645103</v>
      </c>
      <c r="V29" s="23">
        <f>((4170000000000*((('Reference tables'!$T$49)*('Reference tables'!$U$49))^0.5)*EXP((-67837/'No EGR'!U29)))/('No EGR'!$B$1*6))*'Reference tables'!$B$51</f>
        <v>1.3934302302419571E-10</v>
      </c>
      <c r="W29" s="33">
        <f>((((B29^(1.86-1))/(B28^(1.86-1)))*W28^(1.86)))^(1/1.86)</f>
        <v>2499.5294865274773</v>
      </c>
      <c r="X29" s="23">
        <f>((4170000000000*((('Reference tables'!$T$50)*('Reference tables'!$U$50))^0.5)*EXP((-67837/'No EGR'!W29)))/('No EGR'!$B$1*6))*'Reference tables'!$B$51</f>
        <v>1.6967154672606302E-10</v>
      </c>
      <c r="Y29" s="33">
        <f>((((B29^(1.86-1))/(B28^(1.86-1)))*Y28^(1.86)))^(1/1.86)</f>
        <v>2517.0553435827401</v>
      </c>
      <c r="Z29" s="23">
        <f>((4170000000000*((('Reference tables'!$T$51)*('Reference tables'!$U$51))^0.5)*EXP((-67837/'No EGR'!Y29)))/('No EGR'!$B$1*6))*'Reference tables'!$B$51</f>
        <v>2.0575399040916895E-10</v>
      </c>
      <c r="AA29" s="33">
        <f>((((B29^(1.86-1))/(B28^(1.86-1)))*AA28^(1.86)))^(1/1.86)</f>
        <v>2534.519187238528</v>
      </c>
      <c r="AB29" s="27">
        <f>((4170000000000*((('Reference tables'!$T$51)*('Reference tables'!$U$51))^0.5)*EXP((-67837/'No EGR'!AA29)))/('No EGR'!$B$1*6))*'Reference tables'!$B$51</f>
        <v>2.4774101148779969E-10</v>
      </c>
    </row>
    <row r="30" spans="1:28" x14ac:dyDescent="0.3">
      <c r="A30" s="7">
        <f t="shared" ref="A30:A43" si="15">A29+1</f>
        <v>2</v>
      </c>
      <c r="B30" s="8">
        <f t="shared" ref="B30:B43" si="16">B29+2</f>
        <v>14</v>
      </c>
      <c r="C30" s="33">
        <f t="shared" ref="C30:C42" si="17">((((B30^(1.86-1))/(B29^(1.86-1)))*C29^(1.86)))^(1/1.86)</f>
        <v>1910.2480720116794</v>
      </c>
      <c r="D30" s="23">
        <f>((4170000000000*((('Reference tables'!$T$40)*('Reference tables'!$U$40))^0.5)*EXP((-67837/'No EGR'!C30)))/('No EGR'!$B$1*6))*'Reference tables'!$B$51</f>
        <v>3.2200595147327989E-14</v>
      </c>
      <c r="E30" s="33">
        <f t="shared" ref="E30:E43" si="18">((((B30^(1.86-1))/(B29^(1.86-1)))*E29^(1.86)))^(1/1.86)</f>
        <v>2019.174743908347</v>
      </c>
      <c r="F30" s="23">
        <f>((4170000000000*((('Reference tables'!$T$41)*('Reference tables'!$U$41))^0.5)*EXP((-67837/'No EGR'!E30)))/('No EGR'!$B$1*6))*'Reference tables'!$B$51</f>
        <v>2.2617575243879966E-13</v>
      </c>
      <c r="G30" s="33">
        <f t="shared" ref="G30:G43" si="19">((((B30^(1.86-1))/(B29^(1.86-1)))*G29^(1.86)))^(1/1.86)</f>
        <v>2125.3757078954245</v>
      </c>
      <c r="H30" s="23">
        <f>((4170000000000*((('Reference tables'!$T$42)*('Reference tables'!$U$42))^0.5)*EXP((-67837/'No EGR'!G30)))/('No EGR'!$B$1*6))*'Reference tables'!$B$51</f>
        <v>1.249774856357257E-12</v>
      </c>
      <c r="I30" s="33">
        <f t="shared" ref="I30:I43" si="20">((((B30^(1.86-1))/(B29^(1.86-1)))*I29^(1.86)))^(1/1.86)</f>
        <v>2229.948023435878</v>
      </c>
      <c r="J30" s="23">
        <f>((4170000000000*((('Reference tables'!$T$43)*('Reference tables'!$U$43))^0.5)*EXP((-67837/'No EGR'!I30)))/('No EGR'!$B$1*6))*'Reference tables'!$B$51</f>
        <v>5.7423441719726986E-12</v>
      </c>
      <c r="K30" s="33">
        <f t="shared" ref="K30:K43" si="21">((((B30^(1.86-1))/(B29^(1.86-1)))*K29^(1.86)))^(1/1.86)</f>
        <v>2332.1240994038608</v>
      </c>
      <c r="L30" s="23">
        <f>((4170000000000*((('Reference tables'!$T$44)*('Reference tables'!$U$44))^0.5)*EXP((-67837/'No EGR'!K30)))/('No EGR'!$B$1*6))*'Reference tables'!$B$51</f>
        <v>2.2345741300553887E-11</v>
      </c>
      <c r="M30" s="33">
        <f t="shared" ref="M30:M43" si="22">((((B30^(1.86-1))/(B29^(1.86-1)))*M29^(1.86)))^(1/1.86)</f>
        <v>2432.5243176682106</v>
      </c>
      <c r="N30" s="23">
        <f>((4170000000000*((('Reference tables'!$T$45)*('Reference tables'!$U$45))^0.5)*EXP((-67837/'No EGR'!M30)))/('No EGR'!$B$1*6))*'Reference tables'!$B$51</f>
        <v>7.6039781796974238E-11</v>
      </c>
      <c r="O30" s="33">
        <f t="shared" ref="O30:O43" si="23">((((B30^(1.86-1))/(B29^(1.86-1)))*O29^(1.86)))^(1/1.86)</f>
        <v>2530.67200063479</v>
      </c>
      <c r="P30" s="23">
        <f>((4170000000000*((('Reference tables'!$T$46)*('Reference tables'!$U$46))^0.5)*EXP((-67837/'No EGR'!O30)))/('No EGR'!$B$1*6))*'Reference tables'!$B$51</f>
        <v>2.2933123047491533E-10</v>
      </c>
      <c r="Q30" s="33">
        <f t="shared" ref="Q30:Q43" si="24">((((B30^(1.86-1))/(B29^(1.86-1)))*Q29^(1.86)))^(1/1.86)</f>
        <v>2627.1501436944736</v>
      </c>
      <c r="R30" s="23">
        <f>((4170000000000*((('Reference tables'!$T$47)*('Reference tables'!$U$47))^0.5)*EXP((-67837/'No EGR'!Q30)))/('No EGR'!$B$1*6))*'Reference tables'!$B$51</f>
        <v>6.2666425906161657E-10</v>
      </c>
      <c r="S30" s="33">
        <f t="shared" ref="S30:S43" si="25">((((B30^(1.86-1))/(B29^(1.86-1)))*S29^(1.86)))^(1/1.86)</f>
        <v>2646.1997225482596</v>
      </c>
      <c r="T30" s="23">
        <f>((4170000000000*((('Reference tables'!$T$48)*('Reference tables'!$U$48))^0.5)*EXP((-67837/'No EGR'!S30)))/('No EGR'!$B$1*6))*'Reference tables'!$B$51</f>
        <v>7.5770700031249564E-10</v>
      </c>
      <c r="U30" s="33">
        <f t="shared" ref="U30:U43" si="26">((((B30^(1.86-1))/(B29^(1.86-1)))*U29^(1.86)))^(1/1.86)</f>
        <v>2665.2271031807536</v>
      </c>
      <c r="V30" s="23">
        <f>((4170000000000*((('Reference tables'!$T$49)*('Reference tables'!$U$49))^0.5)*EXP((-67837/'No EGR'!U30)))/('No EGR'!$B$1*6))*'Reference tables'!$B$51</f>
        <v>9.1347928748866464E-10</v>
      </c>
      <c r="W30" s="33">
        <f t="shared" ref="W30:W43" si="27">((((B30^(1.86-1))/(B29^(1.86-1)))*W29^(1.86)))^(1/1.86)</f>
        <v>2684.1832158396128</v>
      </c>
      <c r="X30" s="23">
        <f>((4170000000000*((('Reference tables'!$T$50)*('Reference tables'!$U$50))^0.5)*EXP((-67837/'No EGR'!W30)))/('No EGR'!$B$1*6))*'Reference tables'!$B$51</f>
        <v>1.0976286788715478E-9</v>
      </c>
      <c r="Y30" s="33">
        <f t="shared" ref="Y30:Y43" si="28">((((B30^(1.86-1))/(B29^(1.86-1)))*Y29^(1.86)))^(1/1.86)</f>
        <v>2703.0038025158251</v>
      </c>
      <c r="Z30" s="23">
        <f>((4170000000000*((('Reference tables'!$T$51)*('Reference tables'!$U$51))^0.5)*EXP((-67837/'No EGR'!Y30)))/('No EGR'!$B$1*6))*'Reference tables'!$B$51</f>
        <v>1.3138594180975797E-9</v>
      </c>
      <c r="AA30" s="33">
        <f t="shared" ref="AA30:AA43" si="29">((((B30^(1.86-1))/(B29^(1.86-1)))*AA29^(1.86)))^(1/1.86)</f>
        <v>2721.7577945281528</v>
      </c>
      <c r="AB30" s="27">
        <f>((4170000000000*((('Reference tables'!$T$51)*('Reference tables'!$U$51))^0.5)*EXP((-67837/'No EGR'!AA30)))/('No EGR'!$B$1*6))*'Reference tables'!$B$51</f>
        <v>1.5618897907478426E-9</v>
      </c>
    </row>
    <row r="31" spans="1:28" x14ac:dyDescent="0.3">
      <c r="A31" s="7">
        <f t="shared" si="15"/>
        <v>3</v>
      </c>
      <c r="B31" s="8">
        <f t="shared" si="16"/>
        <v>16</v>
      </c>
      <c r="C31" s="33">
        <f t="shared" si="17"/>
        <v>2031.9043069688469</v>
      </c>
      <c r="D31" s="23">
        <f>((4170000000000*((('Reference tables'!$T$40)*('Reference tables'!$U$40))^0.5)*EXP((-67837/'No EGR'!C31)))/('No EGR'!$B$1*6))*'Reference tables'!$B$51</f>
        <v>2.699411263261185E-13</v>
      </c>
      <c r="E31" s="33">
        <f t="shared" si="18"/>
        <v>2147.7680929417043</v>
      </c>
      <c r="F31" s="23">
        <f>((4170000000000*((('Reference tables'!$T$41)*('Reference tables'!$U$41))^0.5)*EXP((-67837/'No EGR'!E31)))/('No EGR'!$B$1*6))*'Reference tables'!$B$51</f>
        <v>1.6905851981741707E-12</v>
      </c>
      <c r="G31" s="33">
        <f t="shared" si="19"/>
        <v>2260.7325813195612</v>
      </c>
      <c r="H31" s="23">
        <f>((4170000000000*((('Reference tables'!$T$42)*('Reference tables'!$U$42))^0.5)*EXP((-67837/'No EGR'!G31)))/('No EGR'!$B$1*6))*'Reference tables'!$B$51</f>
        <v>8.4483350115623426E-12</v>
      </c>
      <c r="I31" s="33">
        <f t="shared" si="20"/>
        <v>2371.9646989955595</v>
      </c>
      <c r="J31" s="23">
        <f>((4170000000000*((('Reference tables'!$T$43)*('Reference tables'!$U$43))^0.5)*EXP((-67837/'No EGR'!I31)))/('No EGR'!$B$1*6))*'Reference tables'!$B$51</f>
        <v>3.5490242393939018E-11</v>
      </c>
      <c r="K31" s="33">
        <f t="shared" si="21"/>
        <v>2480.6479699645915</v>
      </c>
      <c r="L31" s="23">
        <f>((4170000000000*((('Reference tables'!$T$44)*('Reference tables'!$U$44))^0.5)*EXP((-67837/'No EGR'!K31)))/('No EGR'!$B$1*6))*'Reference tables'!$B$51</f>
        <v>1.2751403788643446E-10</v>
      </c>
      <c r="M31" s="33">
        <f t="shared" si="22"/>
        <v>2587.4422857924355</v>
      </c>
      <c r="N31" s="23">
        <f>((4170000000000*((('Reference tables'!$T$45)*('Reference tables'!$U$45))^0.5)*EXP((-67837/'No EGR'!M31)))/('No EGR'!$B$1*6))*'Reference tables'!$B$51</f>
        <v>4.0381820371059476E-10</v>
      </c>
      <c r="O31" s="33">
        <f t="shared" si="23"/>
        <v>2691.8406111517143</v>
      </c>
      <c r="P31" s="23">
        <f>((4170000000000*((('Reference tables'!$T$46)*('Reference tables'!$U$46))^0.5)*EXP((-67837/'No EGR'!O31)))/('No EGR'!$B$1*6))*'Reference tables'!$B$51</f>
        <v>1.1415232237870743E-9</v>
      </c>
      <c r="Q31" s="33">
        <f t="shared" si="24"/>
        <v>2794.4630701315496</v>
      </c>
      <c r="R31" s="23">
        <f>((4170000000000*((('Reference tables'!$T$47)*('Reference tables'!$U$47))^0.5)*EXP((-67837/'No EGR'!Q31)))/('No EGR'!$B$1*6))*'Reference tables'!$B$51</f>
        <v>2.9407588095202038E-9</v>
      </c>
      <c r="S31" s="33">
        <f t="shared" si="25"/>
        <v>2814.7258422217669</v>
      </c>
      <c r="T31" s="23">
        <f>((4170000000000*((('Reference tables'!$T$48)*('Reference tables'!$U$48))^0.5)*EXP((-67837/'No EGR'!S31)))/('No EGR'!$B$1*6))*'Reference tables'!$B$51</f>
        <v>3.5163516532338161E-9</v>
      </c>
      <c r="U31" s="33">
        <f t="shared" si="26"/>
        <v>2834.9650023727236</v>
      </c>
      <c r="V31" s="23">
        <f>((4170000000000*((('Reference tables'!$T$49)*('Reference tables'!$U$49))^0.5)*EXP((-67837/'No EGR'!U31)))/('No EGR'!$B$1*6))*'Reference tables'!$B$51</f>
        <v>4.193057623897267E-9</v>
      </c>
      <c r="W31" s="33">
        <f t="shared" si="27"/>
        <v>2855.1283557712982</v>
      </c>
      <c r="X31" s="23">
        <f>((4170000000000*((('Reference tables'!$T$50)*('Reference tables'!$U$50))^0.5)*EXP((-67837/'No EGR'!W31)))/('No EGR'!$B$1*6))*'Reference tables'!$B$51</f>
        <v>4.9844083208892019E-9</v>
      </c>
      <c r="Y31" s="33">
        <f t="shared" si="28"/>
        <v>2875.1475520669969</v>
      </c>
      <c r="Z31" s="23">
        <f>((4170000000000*((('Reference tables'!$T$51)*('Reference tables'!$U$51))^0.5)*EXP((-67837/'No EGR'!Y31)))/('No EGR'!$B$1*6))*'Reference tables'!$B$51</f>
        <v>5.9037964706693484E-9</v>
      </c>
      <c r="AA31" s="33">
        <f t="shared" si="29"/>
        <v>2895.0959125448999</v>
      </c>
      <c r="AB31" s="27">
        <f>((4170000000000*((('Reference tables'!$T$51)*('Reference tables'!$U$51))^0.5)*EXP((-67837/'No EGR'!AA31)))/('No EGR'!$B$1*6))*'Reference tables'!$B$51</f>
        <v>6.946024523110342E-9</v>
      </c>
    </row>
    <row r="32" spans="1:28" x14ac:dyDescent="0.3">
      <c r="A32" s="7">
        <f t="shared" si="15"/>
        <v>4</v>
      </c>
      <c r="B32" s="8">
        <f t="shared" si="16"/>
        <v>18</v>
      </c>
      <c r="C32" s="33">
        <f t="shared" si="17"/>
        <v>2145.627946563648</v>
      </c>
      <c r="D32" s="23">
        <f>((4170000000000*((('Reference tables'!$T$40)*('Reference tables'!$U$40))^0.5)*EXP((-67837/'No EGR'!C32)))/('No EGR'!$B$1*6))*'Reference tables'!$B$51</f>
        <v>1.5840516218373703E-12</v>
      </c>
      <c r="E32" s="33">
        <f t="shared" si="18"/>
        <v>2267.9765120573084</v>
      </c>
      <c r="F32" s="23">
        <f>((4170000000000*((('Reference tables'!$T$41)*('Reference tables'!$U$41))^0.5)*EXP((-67837/'No EGR'!E32)))/('No EGR'!$B$1*6))*'Reference tables'!$B$51</f>
        <v>9.0173664297011493E-12</v>
      </c>
      <c r="G32" s="33">
        <f t="shared" si="19"/>
        <v>2387.2635091867992</v>
      </c>
      <c r="H32" s="23">
        <f>((4170000000000*((('Reference tables'!$T$42)*('Reference tables'!$U$42))^0.5)*EXP((-67837/'No EGR'!G32)))/('No EGR'!$B$1*6))*'Reference tables'!$B$51</f>
        <v>4.1446212589719781E-11</v>
      </c>
      <c r="I32" s="33">
        <f t="shared" si="20"/>
        <v>2504.7211765693301</v>
      </c>
      <c r="J32" s="23">
        <f>((4170000000000*((('Reference tables'!$T$43)*('Reference tables'!$U$43))^0.5)*EXP((-67837/'No EGR'!I32)))/('No EGR'!$B$1*6))*'Reference tables'!$B$51</f>
        <v>1.6159652167585331E-10</v>
      </c>
      <c r="K32" s="33">
        <f t="shared" si="21"/>
        <v>2619.4873408593126</v>
      </c>
      <c r="L32" s="23">
        <f>((4170000000000*((('Reference tables'!$T$44)*('Reference tables'!$U$44))^0.5)*EXP((-67837/'No EGR'!K32)))/('No EGR'!$B$1*6))*'Reference tables'!$B$51</f>
        <v>5.4329823531387076E-10</v>
      </c>
      <c r="M32" s="33">
        <f t="shared" si="22"/>
        <v>2732.2588270894853</v>
      </c>
      <c r="N32" s="23">
        <f>((4170000000000*((('Reference tables'!$T$45)*('Reference tables'!$U$45))^0.5)*EXP((-67837/'No EGR'!M32)))/('No EGR'!$B$1*6))*'Reference tables'!$B$51</f>
        <v>1.6206340697273248E-9</v>
      </c>
      <c r="O32" s="33">
        <f t="shared" si="23"/>
        <v>2842.5002216753705</v>
      </c>
      <c r="P32" s="23">
        <f>((4170000000000*((('Reference tables'!$T$46)*('Reference tables'!$U$46))^0.5)*EXP((-67837/'No EGR'!O32)))/('No EGR'!$B$1*6))*'Reference tables'!$B$51</f>
        <v>4.3408838804395691E-9</v>
      </c>
      <c r="Q32" s="33">
        <f t="shared" si="24"/>
        <v>2950.8663564273957</v>
      </c>
      <c r="R32" s="23">
        <f>((4170000000000*((('Reference tables'!$T$47)*('Reference tables'!$U$47))^0.5)*EXP((-67837/'No EGR'!Q32)))/('No EGR'!$B$1*6))*'Reference tables'!$B$51</f>
        <v>1.0647551867374522E-8</v>
      </c>
      <c r="S32" s="33">
        <f t="shared" si="25"/>
        <v>2972.2632154834587</v>
      </c>
      <c r="T32" s="23">
        <f>((4170000000000*((('Reference tables'!$T$48)*('Reference tables'!$U$48))^0.5)*EXP((-67837/'No EGR'!S32)))/('No EGR'!$B$1*6))*'Reference tables'!$B$51</f>
        <v>1.2614208736512667E-8</v>
      </c>
      <c r="U32" s="33">
        <f t="shared" si="26"/>
        <v>2993.6351410637817</v>
      </c>
      <c r="V32" s="23">
        <f>((4170000000000*((('Reference tables'!$T$49)*('Reference tables'!$U$49))^0.5)*EXP((-67837/'No EGR'!U32)))/('No EGR'!$B$1*6))*'Reference tables'!$B$51</f>
        <v>1.4905206240323351E-8</v>
      </c>
      <c r="W32" s="33">
        <f t="shared" si="27"/>
        <v>3014.9270170640698</v>
      </c>
      <c r="X32" s="23">
        <f>((4170000000000*((('Reference tables'!$T$50)*('Reference tables'!$U$50))^0.5)*EXP((-67837/'No EGR'!W32)))/('No EGR'!$B$1*6))*'Reference tables'!$B$51</f>
        <v>1.7560257771490131E-8</v>
      </c>
      <c r="Y32" s="33">
        <f t="shared" si="28"/>
        <v>3036.0666676334713</v>
      </c>
      <c r="Z32" s="23">
        <f>((4170000000000*((('Reference tables'!$T$51)*('Reference tables'!$U$51))^0.5)*EXP((-67837/'No EGR'!Y32)))/('No EGR'!$B$1*6))*'Reference tables'!$B$51</f>
        <v>2.0617716005698648E-8</v>
      </c>
      <c r="AA32" s="33">
        <f t="shared" si="29"/>
        <v>3057.1315177756342</v>
      </c>
      <c r="AB32" s="27">
        <f>((4170000000000*((('Reference tables'!$T$51)*('Reference tables'!$U$51))^0.5)*EXP((-67837/'No EGR'!AA32)))/('No EGR'!$B$1*6))*'Reference tables'!$B$51</f>
        <v>2.4049344887434086E-8</v>
      </c>
    </row>
    <row r="33" spans="1:28" x14ac:dyDescent="0.3">
      <c r="A33" s="7">
        <f t="shared" si="15"/>
        <v>5</v>
      </c>
      <c r="B33" s="8">
        <f t="shared" si="16"/>
        <v>20</v>
      </c>
      <c r="C33" s="33">
        <f t="shared" si="17"/>
        <v>2252.7401859547126</v>
      </c>
      <c r="D33" s="23">
        <f>((4170000000000*((('Reference tables'!$T$40)*('Reference tables'!$U$40))^0.5)*EXP((-67837/'No EGR'!C33)))/('No EGR'!$B$1*6))*'Reference tables'!$B$51</f>
        <v>7.1225586623802401E-12</v>
      </c>
      <c r="E33" s="33">
        <f t="shared" si="18"/>
        <v>2381.1965339543281</v>
      </c>
      <c r="F33" s="23">
        <f>((4170000000000*((('Reference tables'!$T$41)*('Reference tables'!$U$41))^0.5)*EXP((-67837/'No EGR'!E33)))/('No EGR'!$B$1*6))*'Reference tables'!$B$51</f>
        <v>3.7387531114754168E-11</v>
      </c>
      <c r="G33" s="33">
        <f t="shared" si="19"/>
        <v>2506.438476540809</v>
      </c>
      <c r="H33" s="23">
        <f>((4170000000000*((('Reference tables'!$T$42)*('Reference tables'!$U$42))^0.5)*EXP((-67837/'No EGR'!G33)))/('No EGR'!$B$1*6))*'Reference tables'!$B$51</f>
        <v>1.6005501099863891E-10</v>
      </c>
      <c r="I33" s="33">
        <f t="shared" si="20"/>
        <v>2629.7597671144636</v>
      </c>
      <c r="J33" s="23">
        <f>((4170000000000*((('Reference tables'!$T$43)*('Reference tables'!$U$43))^0.5)*EXP((-67837/'No EGR'!I33)))/('No EGR'!$B$1*6))*'Reference tables'!$B$51</f>
        <v>5.8573269528479747E-10</v>
      </c>
      <c r="K33" s="33">
        <f t="shared" si="21"/>
        <v>2750.2551916348161</v>
      </c>
      <c r="L33" s="23">
        <f>((4170000000000*((('Reference tables'!$T$44)*('Reference tables'!$U$44))^0.5)*EXP((-67837/'No EGR'!K33)))/('No EGR'!$B$1*6))*'Reference tables'!$B$51</f>
        <v>1.8612421276704529E-9</v>
      </c>
      <c r="M33" s="33">
        <f t="shared" si="22"/>
        <v>2868.6563614496558</v>
      </c>
      <c r="N33" s="23">
        <f>((4170000000000*((('Reference tables'!$T$45)*('Reference tables'!$U$45))^0.5)*EXP((-67837/'No EGR'!M33)))/('No EGR'!$B$1*6))*'Reference tables'!$B$51</f>
        <v>5.2768849406384111E-9</v>
      </c>
      <c r="O33" s="33">
        <f t="shared" si="23"/>
        <v>2984.4011345064455</v>
      </c>
      <c r="P33" s="23">
        <f>((4170000000000*((('Reference tables'!$T$46)*('Reference tables'!$U$46))^0.5)*EXP((-67837/'No EGR'!O33)))/('No EGR'!$B$1*6))*'Reference tables'!$B$51</f>
        <v>1.3501652976671049E-8</v>
      </c>
      <c r="Q33" s="33">
        <f t="shared" si="24"/>
        <v>3098.1770325802208</v>
      </c>
      <c r="R33" s="23">
        <f>((4170000000000*((('Reference tables'!$T$47)*('Reference tables'!$U$47))^0.5)*EXP((-67837/'No EGR'!Q33)))/('No EGR'!$B$1*6))*'Reference tables'!$B$51</f>
        <v>3.1765878850997897E-8</v>
      </c>
      <c r="S33" s="33">
        <f t="shared" si="25"/>
        <v>3120.6420476943281</v>
      </c>
      <c r="T33" s="23">
        <f>((4170000000000*((('Reference tables'!$T$48)*('Reference tables'!$U$48))^0.5)*EXP((-67837/'No EGR'!S33)))/('No EGR'!$B$1*6))*'Reference tables'!$B$51</f>
        <v>3.7338232272276366E-8</v>
      </c>
      <c r="U33" s="33">
        <f t="shared" si="26"/>
        <v>3143.0808846246264</v>
      </c>
      <c r="V33" s="23">
        <f>((4170000000000*((('Reference tables'!$T$49)*('Reference tables'!$U$49))^0.5)*EXP((-67837/'No EGR'!U33)))/('No EGR'!$B$1*6))*'Reference tables'!$B$51</f>
        <v>4.3779127903297708E-8</v>
      </c>
      <c r="W33" s="33">
        <f t="shared" si="27"/>
        <v>3165.4356758068684</v>
      </c>
      <c r="X33" s="23">
        <f>((4170000000000*((('Reference tables'!$T$50)*('Reference tables'!$U$50))^0.5)*EXP((-67837/'No EGR'!W33)))/('No EGR'!$B$1*6))*'Reference tables'!$B$51</f>
        <v>5.1186497810325294E-8</v>
      </c>
      <c r="Y33" s="33">
        <f t="shared" si="28"/>
        <v>3187.6306422878938</v>
      </c>
      <c r="Z33" s="23">
        <f>((4170000000000*((('Reference tables'!$T$51)*('Reference tables'!$U$51))^0.5)*EXP((-67837/'No EGR'!Y33)))/('No EGR'!$B$1*6))*'Reference tables'!$B$51</f>
        <v>5.9652682168601044E-8</v>
      </c>
      <c r="AA33" s="33">
        <f t="shared" si="29"/>
        <v>3209.7470742174664</v>
      </c>
      <c r="AB33" s="27">
        <f>((4170000000000*((('Reference tables'!$T$51)*('Reference tables'!$U$51))^0.5)*EXP((-67837/'No EGR'!AA33)))/('No EGR'!$B$1*6))*'Reference tables'!$B$51</f>
        <v>6.907382669698395E-8</v>
      </c>
    </row>
    <row r="34" spans="1:28" x14ac:dyDescent="0.3">
      <c r="A34" s="7">
        <f t="shared" si="15"/>
        <v>6</v>
      </c>
      <c r="B34" s="8">
        <f t="shared" si="16"/>
        <v>22</v>
      </c>
      <c r="C34" s="33">
        <f t="shared" si="17"/>
        <v>2354.234174534246</v>
      </c>
      <c r="D34" s="23">
        <f>((4170000000000*((('Reference tables'!$T$40)*('Reference tables'!$U$40))^0.5)*EXP((-67837/'No EGR'!C34)))/('No EGR'!$B$1*6))*'Reference tables'!$B$51</f>
        <v>2.6088137848597699E-11</v>
      </c>
      <c r="E34" s="33">
        <f t="shared" si="18"/>
        <v>2488.4779396528561</v>
      </c>
      <c r="F34" s="23">
        <f>((4170000000000*((('Reference tables'!$T$41)*('Reference tables'!$U$41))^0.5)*EXP((-67837/'No EGR'!E34)))/('No EGR'!$B$1*6))*'Reference tables'!$B$51</f>
        <v>1.2767875012502828E-10</v>
      </c>
      <c r="G34" s="33">
        <f t="shared" si="19"/>
        <v>2619.3624789177284</v>
      </c>
      <c r="H34" s="23">
        <f>((4170000000000*((('Reference tables'!$T$42)*('Reference tables'!$U$42))^0.5)*EXP((-67837/'No EGR'!G34)))/('No EGR'!$B$1*6))*'Reference tables'!$B$51</f>
        <v>5.1405375948928111E-10</v>
      </c>
      <c r="I34" s="33">
        <f t="shared" si="20"/>
        <v>2748.2398339390861</v>
      </c>
      <c r="J34" s="23">
        <f>((4170000000000*((('Reference tables'!$T$43)*('Reference tables'!$U$43))^0.5)*EXP((-67837/'No EGR'!I34)))/('No EGR'!$B$1*6))*'Reference tables'!$B$51</f>
        <v>1.7810472550352758E-9</v>
      </c>
      <c r="K34" s="33">
        <f t="shared" si="21"/>
        <v>2874.1640075519476</v>
      </c>
      <c r="L34" s="23">
        <f>((4170000000000*((('Reference tables'!$T$44)*('Reference tables'!$U$44))^0.5)*EXP((-67837/'No EGR'!K34)))/('No EGR'!$B$1*6))*'Reference tables'!$B$51</f>
        <v>5.3903688949160759E-9</v>
      </c>
      <c r="M34" s="33">
        <f t="shared" si="22"/>
        <v>2997.899572807461</v>
      </c>
      <c r="N34" s="23">
        <f>((4170000000000*((('Reference tables'!$T$45)*('Reference tables'!$U$45))^0.5)*EXP((-67837/'No EGR'!M34)))/('No EGR'!$B$1*6))*'Reference tables'!$B$51</f>
        <v>1.4626224022260178E-8</v>
      </c>
      <c r="O34" s="33">
        <f t="shared" si="23"/>
        <v>3118.8590611465606</v>
      </c>
      <c r="P34" s="23">
        <f>((4170000000000*((('Reference tables'!$T$46)*('Reference tables'!$U$46))^0.5)*EXP((-67837/'No EGR'!O34)))/('No EGR'!$B$1*6))*'Reference tables'!$B$51</f>
        <v>3.5972454821966104E-8</v>
      </c>
      <c r="Q34" s="33">
        <f t="shared" si="24"/>
        <v>3237.7609696549712</v>
      </c>
      <c r="R34" s="23">
        <f>((4170000000000*((('Reference tables'!$T$47)*('Reference tables'!$U$47))^0.5)*EXP((-67837/'No EGR'!Q34)))/('No EGR'!$B$1*6))*'Reference tables'!$B$51</f>
        <v>8.164227692245867E-8</v>
      </c>
      <c r="S34" s="33">
        <f t="shared" si="25"/>
        <v>3261.2381139092454</v>
      </c>
      <c r="T34" s="23">
        <f>((4170000000000*((('Reference tables'!$T$48)*('Reference tables'!$U$48))^0.5)*EXP((-67837/'No EGR'!S34)))/('No EGR'!$B$1*6))*'Reference tables'!$B$51</f>
        <v>9.5314020565585017E-8</v>
      </c>
      <c r="U34" s="33">
        <f t="shared" si="26"/>
        <v>3284.6879005590631</v>
      </c>
      <c r="V34" s="23">
        <f>((4170000000000*((('Reference tables'!$T$49)*('Reference tables'!$U$49))^0.5)*EXP((-67837/'No EGR'!U34)))/('No EGR'!$B$1*6))*'Reference tables'!$B$51</f>
        <v>1.1101061234257607E-7</v>
      </c>
      <c r="W34" s="33">
        <f t="shared" si="27"/>
        <v>3308.0498548997975</v>
      </c>
      <c r="X34" s="23">
        <f>((4170000000000*((('Reference tables'!$T$50)*('Reference tables'!$U$50))^0.5)*EXP((-67837/'No EGR'!W34)))/('No EGR'!$B$1*6))*'Reference tables'!$B$51</f>
        <v>1.2894336826397359E-7</v>
      </c>
      <c r="Y34" s="33">
        <f t="shared" si="28"/>
        <v>3331.2447838658859</v>
      </c>
      <c r="Z34" s="23">
        <f>((4170000000000*((('Reference tables'!$T$51)*('Reference tables'!$U$51))^0.5)*EXP((-67837/'No EGR'!Y34)))/('No EGR'!$B$1*6))*'Reference tables'!$B$51</f>
        <v>1.4930686435536083E-7</v>
      </c>
      <c r="AA34" s="33">
        <f t="shared" si="29"/>
        <v>3354.3576400185784</v>
      </c>
      <c r="AB34" s="27">
        <f>((4170000000000*((('Reference tables'!$T$51)*('Reference tables'!$U$51))^0.5)*EXP((-67837/'No EGR'!AA34)))/('No EGR'!$B$1*6))*'Reference tables'!$B$51</f>
        <v>1.7179789507923401E-7</v>
      </c>
    </row>
    <row r="35" spans="1:28" x14ac:dyDescent="0.3">
      <c r="A35" s="7">
        <f t="shared" si="15"/>
        <v>7</v>
      </c>
      <c r="B35" s="8">
        <f t="shared" si="16"/>
        <v>24</v>
      </c>
      <c r="C35" s="33">
        <f t="shared" si="17"/>
        <v>2450.8785450176674</v>
      </c>
      <c r="D35" s="23">
        <f>((4170000000000*((('Reference tables'!$T$40)*('Reference tables'!$U$40))^0.5)*EXP((-67837/'No EGR'!C35)))/('No EGR'!$B$1*6))*'Reference tables'!$B$51</f>
        <v>8.1265786291772482E-11</v>
      </c>
      <c r="E35" s="33">
        <f t="shared" si="18"/>
        <v>2590.6331910467434</v>
      </c>
      <c r="F35" s="23">
        <f>((4170000000000*((('Reference tables'!$T$41)*('Reference tables'!$U$41))^0.5)*EXP((-67837/'No EGR'!E35)))/('No EGR'!$B$1*6))*'Reference tables'!$B$51</f>
        <v>3.7407852142565591E-10</v>
      </c>
      <c r="G35" s="33">
        <f t="shared" si="19"/>
        <v>2726.8907106379133</v>
      </c>
      <c r="H35" s="23">
        <f>((4170000000000*((('Reference tables'!$T$42)*('Reference tables'!$U$42))^0.5)*EXP((-67837/'No EGR'!G35)))/('No EGR'!$B$1*6))*'Reference tables'!$B$51</f>
        <v>1.4273332391493858E-9</v>
      </c>
      <c r="I35" s="33">
        <f t="shared" si="20"/>
        <v>2861.0586484654896</v>
      </c>
      <c r="J35" s="23">
        <f>((4170000000000*((('Reference tables'!$T$43)*('Reference tables'!$U$43))^0.5)*EXP((-67837/'No EGR'!I35)))/('No EGR'!$B$1*6))*'Reference tables'!$B$51</f>
        <v>4.714045589588159E-9</v>
      </c>
      <c r="K35" s="33">
        <f t="shared" si="21"/>
        <v>2992.1521729522365</v>
      </c>
      <c r="L35" s="23">
        <f>((4170000000000*((('Reference tables'!$T$44)*('Reference tables'!$U$44))^0.5)*EXP((-67837/'No EGR'!K35)))/('No EGR'!$B$1*6))*'Reference tables'!$B$51</f>
        <v>1.3671510378715734E-8</v>
      </c>
      <c r="M35" s="33">
        <f t="shared" si="22"/>
        <v>3120.9672438660605</v>
      </c>
      <c r="N35" s="23">
        <f>((4170000000000*((('Reference tables'!$T$45)*('Reference tables'!$U$45))^0.5)*EXP((-67837/'No EGR'!M35)))/('No EGR'!$B$1*6))*'Reference tables'!$B$51</f>
        <v>3.5698282867187319E-8</v>
      </c>
      <c r="O35" s="33">
        <f t="shared" si="23"/>
        <v>3246.8922763005521</v>
      </c>
      <c r="P35" s="23">
        <f>((4170000000000*((('Reference tables'!$T$46)*('Reference tables'!$U$46))^0.5)*EXP((-67837/'No EGR'!O35)))/('No EGR'!$B$1*6))*'Reference tables'!$B$51</f>
        <v>8.4811762087524168E-8</v>
      </c>
      <c r="Q35" s="33">
        <f t="shared" si="24"/>
        <v>3370.6752625799736</v>
      </c>
      <c r="R35" s="23">
        <f>((4170000000000*((('Reference tables'!$T$47)*('Reference tables'!$U$47))^0.5)*EXP((-67837/'No EGR'!Q35)))/('No EGR'!$B$1*6))*'Reference tables'!$B$51</f>
        <v>1.8651859251110165E-7</v>
      </c>
      <c r="S35" s="33">
        <f t="shared" si="25"/>
        <v>3395.1161740973967</v>
      </c>
      <c r="T35" s="23">
        <f>((4170000000000*((('Reference tables'!$T$48)*('Reference tables'!$U$48))^0.5)*EXP((-67837/'No EGR'!S35)))/('No EGR'!$B$1*6))*'Reference tables'!$B$51</f>
        <v>2.1646157546361818E-7</v>
      </c>
      <c r="U35" s="33">
        <f t="shared" si="26"/>
        <v>3419.5286049451697</v>
      </c>
      <c r="V35" s="23">
        <f>((4170000000000*((('Reference tables'!$T$49)*('Reference tables'!$U$49))^0.5)*EXP((-67837/'No EGR'!U35)))/('No EGR'!$B$1*6))*'Reference tables'!$B$51</f>
        <v>2.5063712322947729E-7</v>
      </c>
      <c r="W35" s="33">
        <f t="shared" si="27"/>
        <v>3443.8495978534966</v>
      </c>
      <c r="X35" s="23">
        <f>((4170000000000*((('Reference tables'!$T$50)*('Reference tables'!$U$50))^0.5)*EXP((-67837/'No EGR'!W35)))/('No EGR'!$B$1*6))*'Reference tables'!$B$51</f>
        <v>2.8945573649636855E-7</v>
      </c>
      <c r="Y35" s="33">
        <f t="shared" si="28"/>
        <v>3467.9967087786199</v>
      </c>
      <c r="Z35" s="23">
        <f>((4170000000000*((('Reference tables'!$T$51)*('Reference tables'!$U$51))^0.5)*EXP((-67837/'No EGR'!Y35)))/('No EGR'!$B$1*6))*'Reference tables'!$B$51</f>
        <v>3.3328647686838052E-7</v>
      </c>
      <c r="AA35" s="33">
        <f t="shared" si="29"/>
        <v>3492.0583776947633</v>
      </c>
      <c r="AB35" s="27">
        <f>((4170000000000*((('Reference tables'!$T$51)*('Reference tables'!$U$51))^0.5)*EXP((-67837/'No EGR'!AA35)))/('No EGR'!$B$1*6))*'Reference tables'!$B$51</f>
        <v>3.8137552049256394E-7</v>
      </c>
    </row>
    <row r="36" spans="1:28" x14ac:dyDescent="0.3">
      <c r="A36" s="7">
        <f t="shared" si="15"/>
        <v>8</v>
      </c>
      <c r="B36" s="8">
        <f t="shared" si="16"/>
        <v>26</v>
      </c>
      <c r="C36" s="33">
        <f t="shared" si="17"/>
        <v>2543.2824349369635</v>
      </c>
      <c r="D36" s="23">
        <f>((4170000000000*((('Reference tables'!$T$40)*('Reference tables'!$U$40))^0.5)*EXP((-67837/'No EGR'!C36)))/('No EGR'!$B$1*6))*'Reference tables'!$B$51</f>
        <v>2.2215167876621991E-10</v>
      </c>
      <c r="E36" s="33">
        <f t="shared" si="18"/>
        <v>2688.3061600697893</v>
      </c>
      <c r="F36" s="23">
        <f>((4170000000000*((('Reference tables'!$T$41)*('Reference tables'!$U$41))^0.5)*EXP((-67837/'No EGR'!E36)))/('No EGR'!$B$1*6))*'Reference tables'!$B$51</f>
        <v>9.6859917705769397E-10</v>
      </c>
      <c r="G36" s="33">
        <f t="shared" si="19"/>
        <v>2829.7009088666146</v>
      </c>
      <c r="H36" s="23">
        <f>((4170000000000*((('Reference tables'!$T$42)*('Reference tables'!$U$42))^0.5)*EXP((-67837/'No EGR'!G36)))/('No EGR'!$B$1*6))*'Reference tables'!$B$51</f>
        <v>3.5242022246986881E-9</v>
      </c>
      <c r="I36" s="33">
        <f t="shared" si="20"/>
        <v>2968.9272937489914</v>
      </c>
      <c r="J36" s="23">
        <f>((4170000000000*((('Reference tables'!$T$43)*('Reference tables'!$U$43))^0.5)*EXP((-67837/'No EGR'!I36)))/('No EGR'!$B$1*6))*'Reference tables'!$B$51</f>
        <v>1.1156332857433682E-8</v>
      </c>
      <c r="K36" s="33">
        <f t="shared" si="21"/>
        <v>3104.9633526711682</v>
      </c>
      <c r="L36" s="23">
        <f>((4170000000000*((('Reference tables'!$T$44)*('Reference tables'!$U$44))^0.5)*EXP((-67837/'No EGR'!K36)))/('No EGR'!$B$1*6))*'Reference tables'!$B$51</f>
        <v>3.1156791651030094E-8</v>
      </c>
      <c r="M36" s="33">
        <f t="shared" si="22"/>
        <v>3238.6350549577974</v>
      </c>
      <c r="N36" s="23">
        <f>((4170000000000*((('Reference tables'!$T$45)*('Reference tables'!$U$45))^0.5)*EXP((-67837/'No EGR'!M36)))/('No EGR'!$B$1*6))*'Reference tables'!$B$51</f>
        <v>7.8635440508465259E-8</v>
      </c>
      <c r="O36" s="33">
        <f t="shared" si="23"/>
        <v>3369.3077575119751</v>
      </c>
      <c r="P36" s="23">
        <f>((4170000000000*((('Reference tables'!$T$46)*('Reference tables'!$U$46))^0.5)*EXP((-67837/'No EGR'!O36)))/('No EGR'!$B$1*6))*'Reference tables'!$B$51</f>
        <v>1.8118638254708418E-7</v>
      </c>
      <c r="Q36" s="33">
        <f t="shared" si="24"/>
        <v>3497.7576537291807</v>
      </c>
      <c r="R36" s="23">
        <f>((4170000000000*((('Reference tables'!$T$47)*('Reference tables'!$U$47))^0.5)*EXP((-67837/'No EGR'!Q36)))/('No EGR'!$B$1*6))*'Reference tables'!$B$51</f>
        <v>3.8751184438112202E-7</v>
      </c>
      <c r="S36" s="33">
        <f t="shared" si="25"/>
        <v>3523.1200451387735</v>
      </c>
      <c r="T36" s="23">
        <f>((4170000000000*((('Reference tables'!$T$48)*('Reference tables'!$U$48))^0.5)*EXP((-67837/'No EGR'!S36)))/('No EGR'!$B$1*6))*'Reference tables'!$B$51</f>
        <v>4.4736044465902803E-7</v>
      </c>
      <c r="U36" s="33">
        <f t="shared" si="26"/>
        <v>3548.4528820904334</v>
      </c>
      <c r="V36" s="23">
        <f>((4170000000000*((('Reference tables'!$T$49)*('Reference tables'!$U$49))^0.5)*EXP((-67837/'No EGR'!U36)))/('No EGR'!$B$1*6))*'Reference tables'!$B$51</f>
        <v>5.1531331514660264E-7</v>
      </c>
      <c r="W36" s="33">
        <f t="shared" si="27"/>
        <v>3573.6908336771071</v>
      </c>
      <c r="X36" s="23">
        <f>((4170000000000*((('Reference tables'!$T$50)*('Reference tables'!$U$50))^0.5)*EXP((-67837/'No EGR'!W36)))/('No EGR'!$B$1*6))*'Reference tables'!$B$51</f>
        <v>5.9210331260891998E-7</v>
      </c>
      <c r="Y36" s="33">
        <f t="shared" si="28"/>
        <v>3598.7483475205354</v>
      </c>
      <c r="Z36" s="23">
        <f>((4170000000000*((('Reference tables'!$T$51)*('Reference tables'!$U$51))^0.5)*EXP((-67837/'No EGR'!Y36)))/('No EGR'!$B$1*6))*'Reference tables'!$B$51</f>
        <v>6.783734847482906E-7</v>
      </c>
      <c r="AA36" s="33">
        <f t="shared" si="29"/>
        <v>3623.717197990135</v>
      </c>
      <c r="AB36" s="27">
        <f>((4170000000000*((('Reference tables'!$T$51)*('Reference tables'!$U$51))^0.5)*EXP((-67837/'No EGR'!AA36)))/('No EGR'!$B$1*6))*'Reference tables'!$B$51</f>
        <v>7.7246223488182697E-7</v>
      </c>
    </row>
    <row r="37" spans="1:28" x14ac:dyDescent="0.3">
      <c r="A37" s="7">
        <f t="shared" si="15"/>
        <v>9</v>
      </c>
      <c r="B37" s="8">
        <f t="shared" si="16"/>
        <v>28</v>
      </c>
      <c r="C37" s="33">
        <f t="shared" si="17"/>
        <v>2631.9381667856583</v>
      </c>
      <c r="D37" s="23">
        <f>((4170000000000*((('Reference tables'!$T$40)*('Reference tables'!$U$40))^0.5)*EXP((-67837/'No EGR'!C37)))/('No EGR'!$B$1*6))*'Reference tables'!$B$51</f>
        <v>5.4556914661909327E-10</v>
      </c>
      <c r="E37" s="33">
        <f t="shared" si="18"/>
        <v>2782.0172425592395</v>
      </c>
      <c r="F37" s="23">
        <f>((4170000000000*((('Reference tables'!$T$41)*('Reference tables'!$U$41))^0.5)*EXP((-67837/'No EGR'!E37)))/('No EGR'!$B$1*6))*'Reference tables'!$B$51</f>
        <v>2.2661805383246322E-9</v>
      </c>
      <c r="G37" s="33">
        <f t="shared" si="19"/>
        <v>2928.3408402962955</v>
      </c>
      <c r="H37" s="23">
        <f>((4170000000000*((('Reference tables'!$T$42)*('Reference tables'!$U$42))^0.5)*EXP((-67837/'No EGR'!G37)))/('No EGR'!$B$1*6))*'Reference tables'!$B$51</f>
        <v>7.9025179332020437E-9</v>
      </c>
      <c r="I37" s="33">
        <f t="shared" si="20"/>
        <v>3072.4204875906021</v>
      </c>
      <c r="J37" s="23">
        <f>((4170000000000*((('Reference tables'!$T$43)*('Reference tables'!$U$43))^0.5)*EXP((-67837/'No EGR'!I37)))/('No EGR'!$B$1*6))*'Reference tables'!$B$51</f>
        <v>2.4086850073029769E-8</v>
      </c>
      <c r="K37" s="33">
        <f t="shared" si="21"/>
        <v>3213.1985980426693</v>
      </c>
      <c r="L37" s="23">
        <f>((4170000000000*((('Reference tables'!$T$44)*('Reference tables'!$U$44))^0.5)*EXP((-67837/'No EGR'!K37)))/('No EGR'!$B$1*6))*'Reference tables'!$B$51</f>
        <v>6.5037911934605723E-8</v>
      </c>
      <c r="M37" s="33">
        <f t="shared" si="22"/>
        <v>3351.5299332630634</v>
      </c>
      <c r="N37" s="23">
        <f>((4170000000000*((('Reference tables'!$T$45)*('Reference tables'!$U$45))^0.5)*EXP((-67837/'No EGR'!M37)))/('No EGR'!$B$1*6))*'Reference tables'!$B$51</f>
        <v>1.5923568978838705E-7</v>
      </c>
      <c r="O37" s="33">
        <f t="shared" si="23"/>
        <v>3486.7577272685276</v>
      </c>
      <c r="P37" s="23">
        <f>((4170000000000*((('Reference tables'!$T$46)*('Reference tables'!$U$46))^0.5)*EXP((-67837/'No EGR'!O37)))/('No EGR'!$B$1*6))*'Reference tables'!$B$51</f>
        <v>3.5699620504521407E-7</v>
      </c>
      <c r="Q37" s="33">
        <f t="shared" si="24"/>
        <v>3619.685230612095</v>
      </c>
      <c r="R37" s="23">
        <f>((4170000000000*((('Reference tables'!$T$47)*('Reference tables'!$U$47))^0.5)*EXP((-67837/'No EGR'!Q37)))/('No EGR'!$B$1*6))*'Reference tables'!$B$51</f>
        <v>7.4474322190725616E-7</v>
      </c>
      <c r="S37" s="33">
        <f t="shared" si="25"/>
        <v>3645.9317241335675</v>
      </c>
      <c r="T37" s="23">
        <f>((4170000000000*((('Reference tables'!$T$48)*('Reference tables'!$U$48))^0.5)*EXP((-67837/'No EGR'!S37)))/('No EGR'!$B$1*6))*'Reference tables'!$B$51</f>
        <v>8.5572987057318344E-7</v>
      </c>
      <c r="U37" s="33">
        <f t="shared" si="26"/>
        <v>3672.1476329646621</v>
      </c>
      <c r="V37" s="23">
        <f>((4170000000000*((('Reference tables'!$T$49)*('Reference tables'!$U$49))^0.5)*EXP((-67837/'No EGR'!U37)))/('No EGR'!$B$1*6))*'Reference tables'!$B$51</f>
        <v>9.8115931972682219E-7</v>
      </c>
      <c r="W37" s="33">
        <f t="shared" si="27"/>
        <v>3698.2653488423794</v>
      </c>
      <c r="X37" s="23">
        <f>((4170000000000*((('Reference tables'!$T$50)*('Reference tables'!$U$50))^0.5)*EXP((-67837/'No EGR'!W37)))/('No EGR'!$B$1*6))*'Reference tables'!$B$51</f>
        <v>1.1222525490682926E-6</v>
      </c>
      <c r="Y37" s="33">
        <f t="shared" si="28"/>
        <v>3724.1963371366119</v>
      </c>
      <c r="Z37" s="23">
        <f>((4170000000000*((('Reference tables'!$T$51)*('Reference tables'!$U$51))^0.5)*EXP((-67837/'No EGR'!Y37)))/('No EGR'!$B$1*6))*'Reference tables'!$B$51</f>
        <v>1.2800544424305375E-6</v>
      </c>
      <c r="AA37" s="33">
        <f t="shared" si="29"/>
        <v>3750.0355713596546</v>
      </c>
      <c r="AB37" s="27">
        <f>((4170000000000*((('Reference tables'!$T$51)*('Reference tables'!$U$51))^0.5)*EXP((-67837/'No EGR'!AA37)))/('No EGR'!$B$1*6))*'Reference tables'!$B$51</f>
        <v>1.451231645169445E-6</v>
      </c>
    </row>
    <row r="38" spans="1:28" x14ac:dyDescent="0.3">
      <c r="A38" s="7">
        <f t="shared" si="15"/>
        <v>10</v>
      </c>
      <c r="B38" s="8">
        <f t="shared" si="16"/>
        <v>30</v>
      </c>
      <c r="C38" s="33">
        <f t="shared" si="17"/>
        <v>2717.2503007742066</v>
      </c>
      <c r="D38" s="23">
        <f>((4170000000000*((('Reference tables'!$T$40)*('Reference tables'!$U$40))^0.5)*EXP((-67837/'No EGR'!C38)))/('No EGR'!$B$1*6))*'Reference tables'!$B$51</f>
        <v>1.2254455982943548E-9</v>
      </c>
      <c r="E38" s="33">
        <f t="shared" si="18"/>
        <v>2872.1940676650984</v>
      </c>
      <c r="F38" s="23">
        <f>((4170000000000*((('Reference tables'!$T$41)*('Reference tables'!$U$41))^0.5)*EXP((-67837/'No EGR'!E38)))/('No EGR'!$B$1*6))*'Reference tables'!$B$51</f>
        <v>4.8728122923334681E-9</v>
      </c>
      <c r="G38" s="33">
        <f t="shared" si="19"/>
        <v>3023.2606257548573</v>
      </c>
      <c r="H38" s="23">
        <f>((4170000000000*((('Reference tables'!$T$42)*('Reference tables'!$U$42))^0.5)*EXP((-67837/'No EGR'!G38)))/('No EGR'!$B$1*6))*'Reference tables'!$B$51</f>
        <v>1.6354490446247843E-8</v>
      </c>
      <c r="I38" s="33">
        <f t="shared" si="20"/>
        <v>3172.0104975742388</v>
      </c>
      <c r="J38" s="23">
        <f>((4170000000000*((('Reference tables'!$T$43)*('Reference tables'!$U$43))^0.5)*EXP((-67837/'No EGR'!I38)))/('No EGR'!$B$1*6))*'Reference tables'!$B$51</f>
        <v>4.8176905051802048E-8</v>
      </c>
      <c r="K38" s="33">
        <f t="shared" si="21"/>
        <v>3317.3518159211972</v>
      </c>
      <c r="L38" s="23">
        <f>((4170000000000*((('Reference tables'!$T$44)*('Reference tables'!$U$44))^0.5)*EXP((-67837/'No EGR'!K38)))/('No EGR'!$B$1*6))*'Reference tables'!$B$51</f>
        <v>1.261930243967852E-7</v>
      </c>
      <c r="M38" s="33">
        <f t="shared" si="22"/>
        <v>3460.1670488083564</v>
      </c>
      <c r="N38" s="23">
        <f>((4170000000000*((('Reference tables'!$T$45)*('Reference tables'!$U$45))^0.5)*EXP((-67837/'No EGR'!M38)))/('No EGR'!$B$1*6))*'Reference tables'!$B$51</f>
        <v>3.0062677150591171E-7</v>
      </c>
      <c r="O38" s="33">
        <f t="shared" si="23"/>
        <v>3599.778141717562</v>
      </c>
      <c r="P38" s="23">
        <f>((4170000000000*((('Reference tables'!$T$46)*('Reference tables'!$U$46))^0.5)*EXP((-67837/'No EGR'!O38)))/('No EGR'!$B$1*6))*'Reference tables'!$B$51</f>
        <v>6.5757782130165784E-7</v>
      </c>
      <c r="Q38" s="33">
        <f t="shared" si="24"/>
        <v>3737.0143819148689</v>
      </c>
      <c r="R38" s="23">
        <f>((4170000000000*((('Reference tables'!$T$47)*('Reference tables'!$U$47))^0.5)*EXP((-67837/'No EGR'!Q38)))/('No EGR'!$B$1*6))*'Reference tables'!$B$51</f>
        <v>1.3413681083024227E-6</v>
      </c>
      <c r="S38" s="33">
        <f t="shared" si="25"/>
        <v>3764.1116341662728</v>
      </c>
      <c r="T38" s="23">
        <f>((4170000000000*((('Reference tables'!$T$48)*('Reference tables'!$U$48))^0.5)*EXP((-67837/'No EGR'!S38)))/('No EGR'!$B$1*6))*'Reference tables'!$B$51</f>
        <v>1.5347530547427008E-6</v>
      </c>
      <c r="U38" s="33">
        <f t="shared" si="26"/>
        <v>3791.1773103494547</v>
      </c>
      <c r="V38" s="23">
        <f>((4170000000000*((('Reference tables'!$T$49)*('Reference tables'!$U$49))^0.5)*EXP((-67837/'No EGR'!U38)))/('No EGR'!$B$1*6))*'Reference tables'!$B$51</f>
        <v>1.7523874723932397E-6</v>
      </c>
      <c r="W38" s="33">
        <f t="shared" si="27"/>
        <v>3818.1416107345653</v>
      </c>
      <c r="X38" s="23">
        <f>((4170000000000*((('Reference tables'!$T$50)*('Reference tables'!$U$50))^0.5)*EXP((-67837/'No EGR'!W38)))/('No EGR'!$B$1*6))*'Reference tables'!$B$51</f>
        <v>1.9961920280950031E-6</v>
      </c>
      <c r="Y38" s="33">
        <f t="shared" si="28"/>
        <v>3844.9131309135314</v>
      </c>
      <c r="Z38" s="23">
        <f>((4170000000000*((('Reference tables'!$T$51)*('Reference tables'!$U$51))^0.5)*EXP((-67837/'No EGR'!Y38)))/('No EGR'!$B$1*6))*'Reference tables'!$B$51</f>
        <v>2.2677682430786095E-6</v>
      </c>
      <c r="AA38" s="33">
        <f t="shared" si="29"/>
        <v>3871.5899228877397</v>
      </c>
      <c r="AB38" s="27">
        <f>((4170000000000*((('Reference tables'!$T$51)*('Reference tables'!$U$51))^0.5)*EXP((-67837/'No EGR'!AA38)))/('No EGR'!$B$1*6))*'Reference tables'!$B$51</f>
        <v>2.5609175630195565E-6</v>
      </c>
    </row>
    <row r="39" spans="1:28" x14ac:dyDescent="0.3">
      <c r="A39" s="7">
        <f t="shared" si="15"/>
        <v>11</v>
      </c>
      <c r="B39" s="8">
        <f t="shared" si="16"/>
        <v>32</v>
      </c>
      <c r="C39" s="33">
        <f t="shared" si="17"/>
        <v>2799.5560237030686</v>
      </c>
      <c r="D39" s="23">
        <f>((4170000000000*((('Reference tables'!$T$40)*('Reference tables'!$U$40))^0.5)*EXP((-67837/'No EGR'!C39)))/('No EGR'!$B$1*6))*'Reference tables'!$B$51</f>
        <v>2.5530118275549105E-9</v>
      </c>
      <c r="E39" s="33">
        <f t="shared" si="18"/>
        <v>2959.1930493429427</v>
      </c>
      <c r="F39" s="23">
        <f>((4170000000000*((('Reference tables'!$T$41)*('Reference tables'!$U$41))^0.5)*EXP((-67837/'No EGR'!E39)))/('No EGR'!$B$1*6))*'Reference tables'!$B$51</f>
        <v>9.7575923008963688E-9</v>
      </c>
      <c r="G39" s="33">
        <f t="shared" si="19"/>
        <v>3114.8354252255649</v>
      </c>
      <c r="H39" s="23">
        <f>((4170000000000*((('Reference tables'!$T$42)*('Reference tables'!$U$42))^0.5)*EXP((-67837/'No EGR'!G39)))/('No EGR'!$B$1*6))*'Reference tables'!$B$51</f>
        <v>3.1632351447958117E-8</v>
      </c>
      <c r="I39" s="33">
        <f t="shared" si="20"/>
        <v>3268.0909422305153</v>
      </c>
      <c r="J39" s="23">
        <f>((4170000000000*((('Reference tables'!$T$43)*('Reference tables'!$U$43))^0.5)*EXP((-67837/'No EGR'!I39)))/('No EGR'!$B$1*6))*'Reference tables'!$B$51</f>
        <v>9.0343797126821276E-8</v>
      </c>
      <c r="K39" s="33">
        <f t="shared" si="21"/>
        <v>3417.834660413283</v>
      </c>
      <c r="L39" s="23">
        <f>((4170000000000*((('Reference tables'!$T$44)*('Reference tables'!$U$44))^0.5)*EXP((-67837/'No EGR'!K39)))/('No EGR'!$B$1*6))*'Reference tables'!$B$51</f>
        <v>2.3021381833086076E-7</v>
      </c>
      <c r="M39" s="33">
        <f t="shared" si="22"/>
        <v>3564.9757778112221</v>
      </c>
      <c r="N39" s="23">
        <f>((4170000000000*((('Reference tables'!$T$45)*('Reference tables'!$U$45))^0.5)*EXP((-67837/'No EGR'!M39)))/('No EGR'!$B$1*6))*'Reference tables'!$B$51</f>
        <v>5.3499188147992182E-7</v>
      </c>
      <c r="O39" s="33">
        <f t="shared" si="23"/>
        <v>3708.8157015820921</v>
      </c>
      <c r="P39" s="23">
        <f>((4170000000000*((('Reference tables'!$T$46)*('Reference tables'!$U$46))^0.5)*EXP((-67837/'No EGR'!O39)))/('No EGR'!$B$1*6))*'Reference tables'!$B$51</f>
        <v>1.144348989964795E-6</v>
      </c>
      <c r="Q39" s="33">
        <f t="shared" si="24"/>
        <v>3850.2088381677295</v>
      </c>
      <c r="R39" s="23">
        <f>((4170000000000*((('Reference tables'!$T$47)*('Reference tables'!$U$47))^0.5)*EXP((-67837/'No EGR'!Q39)))/('No EGR'!$B$1*6))*'Reference tables'!$B$51</f>
        <v>2.2873004762633876E-6</v>
      </c>
      <c r="S39" s="33">
        <f t="shared" si="25"/>
        <v>3878.1268682971604</v>
      </c>
      <c r="T39" s="23">
        <f>((4170000000000*((('Reference tables'!$T$48)*('Reference tables'!$U$48))^0.5)*EXP((-67837/'No EGR'!S39)))/('No EGR'!$B$1*6))*'Reference tables'!$B$51</f>
        <v>2.6070252440517053E-6</v>
      </c>
      <c r="U39" s="33">
        <f t="shared" si="26"/>
        <v>3906.0123659168071</v>
      </c>
      <c r="V39" s="23">
        <f>((4170000000000*((('Reference tables'!$T$49)*('Reference tables'!$U$49))^0.5)*EXP((-67837/'No EGR'!U39)))/('No EGR'!$B$1*6))*'Reference tables'!$B$51</f>
        <v>2.9654739262984854E-6</v>
      </c>
      <c r="W39" s="33">
        <f t="shared" si="27"/>
        <v>3933.793417057575</v>
      </c>
      <c r="X39" s="23">
        <f>((4170000000000*((('Reference tables'!$T$50)*('Reference tables'!$U$50))^0.5)*EXP((-67837/'No EGR'!W39)))/('No EGR'!$B$1*6))*'Reference tables'!$B$51</f>
        <v>3.3655251432457391E-6</v>
      </c>
      <c r="Y39" s="33">
        <f t="shared" si="28"/>
        <v>3961.3758486647621</v>
      </c>
      <c r="Z39" s="23">
        <f>((4170000000000*((('Reference tables'!$T$51)*('Reference tables'!$U$51))^0.5)*EXP((-67837/'No EGR'!Y39)))/('No EGR'!$B$1*6))*'Reference tables'!$B$51</f>
        <v>3.8095148221838844E-6</v>
      </c>
      <c r="AA39" s="33">
        <f t="shared" si="29"/>
        <v>3988.8606827425024</v>
      </c>
      <c r="AB39" s="27">
        <f>((4170000000000*((('Reference tables'!$T$51)*('Reference tables'!$U$51))^0.5)*EXP((-67837/'No EGR'!AA39)))/('No EGR'!$B$1*6))*'Reference tables'!$B$51</f>
        <v>4.2866141212372739E-6</v>
      </c>
    </row>
    <row r="40" spans="1:28" x14ac:dyDescent="0.3">
      <c r="A40" s="7">
        <f t="shared" si="15"/>
        <v>12</v>
      </c>
      <c r="B40" s="8">
        <f t="shared" si="16"/>
        <v>34</v>
      </c>
      <c r="C40" s="33">
        <f t="shared" si="17"/>
        <v>2879.1398339352172</v>
      </c>
      <c r="D40" s="23">
        <f>((4170000000000*((('Reference tables'!$T$40)*('Reference tables'!$U$40))^0.5)*EXP((-67837/'No EGR'!C40)))/('No EGR'!$B$1*6))*'Reference tables'!$B$51</f>
        <v>4.9881493841422812E-9</v>
      </c>
      <c r="E40" s="33">
        <f t="shared" si="18"/>
        <v>3043.3149086968006</v>
      </c>
      <c r="F40" s="23">
        <f>((4170000000000*((('Reference tables'!$T$41)*('Reference tables'!$U$41))^0.5)*EXP((-67837/'No EGR'!E40)))/('No EGR'!$B$1*6))*'Reference tables'!$B$51</f>
        <v>1.8388109598158727E-8</v>
      </c>
      <c r="G40" s="33">
        <f t="shared" si="19"/>
        <v>3203.3817766065326</v>
      </c>
      <c r="H40" s="23">
        <f>((4170000000000*((('Reference tables'!$T$42)*('Reference tables'!$U$42))^0.5)*EXP((-67837/'No EGR'!G40)))/('No EGR'!$B$1*6))*'Reference tables'!$B$51</f>
        <v>5.7753053815105134E-8</v>
      </c>
      <c r="I40" s="33">
        <f t="shared" si="20"/>
        <v>3360.9939336926554</v>
      </c>
      <c r="J40" s="23">
        <f>((4170000000000*((('Reference tables'!$T$43)*('Reference tables'!$U$43))^0.5)*EXP((-67837/'No EGR'!I40)))/('No EGR'!$B$1*6))*'Reference tables'!$B$51</f>
        <v>1.6035464804712952E-7</v>
      </c>
      <c r="K40" s="33">
        <f t="shared" si="21"/>
        <v>3514.994461008876</v>
      </c>
      <c r="L40" s="23">
        <f>((4170000000000*((('Reference tables'!$T$44)*('Reference tables'!$U$44))^0.5)*EXP((-67837/'No EGR'!K40)))/('No EGR'!$B$1*6))*'Reference tables'!$B$51</f>
        <v>3.9847150811460886E-7</v>
      </c>
      <c r="M40" s="33">
        <f t="shared" si="22"/>
        <v>3666.318402635085</v>
      </c>
      <c r="N40" s="23">
        <f>((4170000000000*((('Reference tables'!$T$45)*('Reference tables'!$U$45))^0.5)*EXP((-67837/'No EGR'!M40)))/('No EGR'!$B$1*6))*'Reference tables'!$B$51</f>
        <v>9.0527154654726518E-7</v>
      </c>
      <c r="O40" s="33">
        <f t="shared" si="23"/>
        <v>3814.2473066229127</v>
      </c>
      <c r="P40" s="23">
        <f>((4170000000000*((('Reference tables'!$T$46)*('Reference tables'!$U$46))^0.5)*EXP((-67837/'No EGR'!O40)))/('No EGR'!$B$1*6))*'Reference tables'!$B$51</f>
        <v>1.8972774571754662E-6</v>
      </c>
      <c r="Q40" s="33">
        <f t="shared" si="24"/>
        <v>3959.6598678797791</v>
      </c>
      <c r="R40" s="23">
        <f>((4170000000000*((('Reference tables'!$T$47)*('Reference tables'!$U$47))^0.5)*EXP((-67837/'No EGR'!Q40)))/('No EGR'!$B$1*6))*'Reference tables'!$B$51</f>
        <v>3.7224777571537573E-6</v>
      </c>
      <c r="S40" s="33">
        <f t="shared" si="25"/>
        <v>3988.3715321401451</v>
      </c>
      <c r="T40" s="23">
        <f>((4170000000000*((('Reference tables'!$T$48)*('Reference tables'!$U$48))^0.5)*EXP((-67837/'No EGR'!S40)))/('No EGR'!$B$1*6))*'Reference tables'!$B$51</f>
        <v>4.2279662123146938E-6</v>
      </c>
      <c r="U40" s="33">
        <f t="shared" si="26"/>
        <v>4017.049739079413</v>
      </c>
      <c r="V40" s="23">
        <f>((4170000000000*((('Reference tables'!$T$49)*('Reference tables'!$U$49))^0.5)*EXP((-67837/'No EGR'!U40)))/('No EGR'!$B$1*6))*'Reference tables'!$B$51</f>
        <v>4.7927112424308253E-6</v>
      </c>
      <c r="W40" s="33">
        <f t="shared" si="27"/>
        <v>4045.6205304087384</v>
      </c>
      <c r="X40" s="23">
        <f>((4170000000000*((('Reference tables'!$T$50)*('Reference tables'!$U$50))^0.5)*EXP((-67837/'No EGR'!W40)))/('No EGR'!$B$1*6))*'Reference tables'!$B$51</f>
        <v>5.4208529344177666E-6</v>
      </c>
      <c r="Y40" s="33">
        <f t="shared" si="28"/>
        <v>4073.9870559880346</v>
      </c>
      <c r="Z40" s="23">
        <f>((4170000000000*((('Reference tables'!$T$51)*('Reference tables'!$U$51))^0.5)*EXP((-67837/'No EGR'!Y40)))/('No EGR'!$B$1*6))*'Reference tables'!$B$51</f>
        <v>6.1156559093729043E-6</v>
      </c>
      <c r="AA40" s="33">
        <f t="shared" si="29"/>
        <v>4102.2532096039395</v>
      </c>
      <c r="AB40" s="27">
        <f>((4170000000000*((('Reference tables'!$T$51)*('Reference tables'!$U$51))^0.5)*EXP((-67837/'No EGR'!AA40)))/('No EGR'!$B$1*6))*'Reference tables'!$B$51</f>
        <v>6.8591655157948454E-6</v>
      </c>
    </row>
    <row r="41" spans="1:28" x14ac:dyDescent="0.3">
      <c r="A41" s="7">
        <f t="shared" si="15"/>
        <v>13</v>
      </c>
      <c r="B41" s="8">
        <f t="shared" si="16"/>
        <v>36</v>
      </c>
      <c r="C41" s="33">
        <f t="shared" si="17"/>
        <v>2956.2443574858753</v>
      </c>
      <c r="D41" s="23">
        <f>((4170000000000*((('Reference tables'!$T$40)*('Reference tables'!$U$40))^0.5)*EXP((-67837/'No EGR'!C41)))/('No EGR'!$B$1*6))*'Reference tables'!$B$51</f>
        <v>9.2220321677715959E-9</v>
      </c>
      <c r="E41" s="33">
        <f t="shared" si="18"/>
        <v>3124.816106826856</v>
      </c>
      <c r="F41" s="23">
        <f>((4170000000000*((('Reference tables'!$T$41)*('Reference tables'!$U$41))^0.5)*EXP((-67837/'No EGR'!E41)))/('No EGR'!$B$1*6))*'Reference tables'!$B$51</f>
        <v>3.2887187431067592E-8</v>
      </c>
      <c r="G41" s="33">
        <f t="shared" si="19"/>
        <v>3289.169629883017</v>
      </c>
      <c r="H41" s="23">
        <f>((4170000000000*((('Reference tables'!$T$42)*('Reference tables'!$U$42))^0.5)*EXP((-67837/'No EGR'!G41)))/('No EGR'!$B$1*6))*'Reference tables'!$B$51</f>
        <v>1.0033401184248445E-7</v>
      </c>
      <c r="I41" s="33">
        <f t="shared" si="20"/>
        <v>3451.0027039717388</v>
      </c>
      <c r="J41" s="23">
        <f>((4170000000000*((('Reference tables'!$T$43)*('Reference tables'!$U$43))^0.5)*EXP((-67837/'No EGR'!I41)))/('No EGR'!$B$1*6))*'Reference tables'!$B$51</f>
        <v>2.7146012232850997E-7</v>
      </c>
      <c r="K41" s="33">
        <f t="shared" si="21"/>
        <v>3609.1274273917033</v>
      </c>
      <c r="L41" s="23">
        <f>((4170000000000*((('Reference tables'!$T$44)*('Reference tables'!$U$44))^0.5)*EXP((-67837/'No EGR'!K41)))/('No EGR'!$B$1*6))*'Reference tables'!$B$51</f>
        <v>6.5918172955902086E-7</v>
      </c>
      <c r="M41" s="33">
        <f t="shared" si="22"/>
        <v>3764.50388507961</v>
      </c>
      <c r="N41" s="23">
        <f>((4170000000000*((('Reference tables'!$T$45)*('Reference tables'!$U$45))^0.5)*EXP((-67837/'No EGR'!M41)))/('No EGR'!$B$1*6))*'Reference tables'!$B$51</f>
        <v>1.4667764132793161E-6</v>
      </c>
      <c r="O41" s="33">
        <f t="shared" si="23"/>
        <v>3916.3943846547427</v>
      </c>
      <c r="P41" s="23">
        <f>((4170000000000*((('Reference tables'!$T$46)*('Reference tables'!$U$46))^0.5)*EXP((-67837/'No EGR'!O41)))/('No EGR'!$B$1*6))*'Reference tables'!$B$51</f>
        <v>3.0170847156106536E-6</v>
      </c>
      <c r="Q41" s="33">
        <f t="shared" si="24"/>
        <v>4065.7011528278072</v>
      </c>
      <c r="R41" s="23">
        <f>((4170000000000*((('Reference tables'!$T$47)*('Reference tables'!$U$47))^0.5)*EXP((-67837/'No EGR'!Q41)))/('No EGR'!$B$1*6))*'Reference tables'!$B$51</f>
        <v>5.8195657111960635E-6</v>
      </c>
      <c r="S41" s="33">
        <f t="shared" si="25"/>
        <v>4095.1817270129459</v>
      </c>
      <c r="T41" s="23">
        <f>((4170000000000*((('Reference tables'!$T$48)*('Reference tables'!$U$48))^0.5)*EXP((-67837/'No EGR'!S41)))/('No EGR'!$B$1*6))*'Reference tables'!$B$51</f>
        <v>6.5885974879778654E-6</v>
      </c>
      <c r="U41" s="33">
        <f t="shared" si="26"/>
        <v>4124.6279478764764</v>
      </c>
      <c r="V41" s="23">
        <f>((4170000000000*((('Reference tables'!$T$49)*('Reference tables'!$U$49))^0.5)*EXP((-67837/'No EGR'!U41)))/('No EGR'!$B$1*6))*'Reference tables'!$B$51</f>
        <v>7.4450445100414061E-6</v>
      </c>
      <c r="W41" s="33">
        <f t="shared" si="27"/>
        <v>4153.9638764967822</v>
      </c>
      <c r="X41" s="23">
        <f>((4170000000000*((('Reference tables'!$T$50)*('Reference tables'!$U$50))^0.5)*EXP((-67837/'No EGR'!W41)))/('No EGR'!$B$1*6))*'Reference tables'!$B$51</f>
        <v>8.3946533810667187E-6</v>
      </c>
      <c r="Y41" s="33">
        <f t="shared" si="28"/>
        <v>4183.0900690480748</v>
      </c>
      <c r="Z41" s="23">
        <f>((4170000000000*((('Reference tables'!$T$51)*('Reference tables'!$U$51))^0.5)*EXP((-67837/'No EGR'!Y41)))/('No EGR'!$B$1*6))*'Reference tables'!$B$51</f>
        <v>9.4418195815785834E-6</v>
      </c>
      <c r="AA41" s="33">
        <f t="shared" si="29"/>
        <v>4212.1132016343836</v>
      </c>
      <c r="AB41" s="27">
        <f>((4170000000000*((('Reference tables'!$T$51)*('Reference tables'!$U$51))^0.5)*EXP((-67837/'No EGR'!AA41)))/('No EGR'!$B$1*6))*'Reference tables'!$B$51</f>
        <v>1.0558064768084279E-5</v>
      </c>
    </row>
    <row r="42" spans="1:28" x14ac:dyDescent="0.3">
      <c r="A42" s="7">
        <f t="shared" si="15"/>
        <v>14</v>
      </c>
      <c r="B42" s="8">
        <f t="shared" si="16"/>
        <v>38</v>
      </c>
      <c r="C42" s="33">
        <f t="shared" si="17"/>
        <v>3031.0784713192897</v>
      </c>
      <c r="D42" s="23">
        <f>((4170000000000*((('Reference tables'!$T$40)*('Reference tables'!$U$40))^0.5)*EXP((-67837/'No EGR'!C42)))/('No EGR'!$B$1*6))*'Reference tables'!$B$51</f>
        <v>1.6250651985208627E-8</v>
      </c>
      <c r="E42" s="33">
        <f t="shared" si="18"/>
        <v>3203.9174313349713</v>
      </c>
      <c r="F42" s="23">
        <f>((4170000000000*((('Reference tables'!$T$41)*('Reference tables'!$U$41))^0.5)*EXP((-67837/'No EGR'!E42)))/('No EGR'!$B$1*6))*'Reference tables'!$B$51</f>
        <v>5.6207951712874149E-8</v>
      </c>
      <c r="G42" s="33">
        <f t="shared" si="19"/>
        <v>3372.4313852507003</v>
      </c>
      <c r="H42" s="23">
        <f>((4170000000000*((('Reference tables'!$T$42)*('Reference tables'!$U$42))^0.5)*EXP((-67837/'No EGR'!G42)))/('No EGR'!$B$1*6))*'Reference tables'!$B$51</f>
        <v>1.6695063690636221E-7</v>
      </c>
      <c r="I42" s="33">
        <f t="shared" si="20"/>
        <v>3538.361087771953</v>
      </c>
      <c r="J42" s="23">
        <f>((4170000000000*((('Reference tables'!$T$43)*('Reference tables'!$U$43))^0.5)*EXP((-67837/'No EGR'!I42)))/('No EGR'!$B$1*6))*'Reference tables'!$B$51</f>
        <v>4.4103768099471022E-7</v>
      </c>
      <c r="K42" s="33">
        <f t="shared" si="21"/>
        <v>3700.4885667565259</v>
      </c>
      <c r="L42" s="23">
        <f>((4170000000000*((('Reference tables'!$T$44)*('Reference tables'!$U$44))^0.5)*EXP((-67837/'No EGR'!K42)))/('No EGR'!$B$1*6))*'Reference tables'!$B$51</f>
        <v>1.0484325157648145E-6</v>
      </c>
      <c r="M42" s="33">
        <f t="shared" si="22"/>
        <v>3859.7982106481395</v>
      </c>
      <c r="N42" s="23">
        <f>((4170000000000*((('Reference tables'!$T$45)*('Reference tables'!$U$45))^0.5)*EXP((-67837/'No EGR'!M42)))/('No EGR'!$B$1*6))*'Reference tables'!$B$51</f>
        <v>2.2886587990817488E-6</v>
      </c>
      <c r="O42" s="33">
        <f t="shared" si="23"/>
        <v>4015.5336531849857</v>
      </c>
      <c r="P42" s="23">
        <f>((4170000000000*((('Reference tables'!$T$46)*('Reference tables'!$U$46))^0.5)*EXP((-67837/'No EGR'!O42)))/('No EGR'!$B$1*6))*'Reference tables'!$B$51</f>
        <v>4.6271230645601386E-6</v>
      </c>
      <c r="Q42" s="33">
        <f t="shared" si="24"/>
        <v>4168.6199599666534</v>
      </c>
      <c r="R42" s="23">
        <f>((4170000000000*((('Reference tables'!$T$47)*('Reference tables'!$U$47))^0.5)*EXP((-67837/'No EGR'!Q42)))/('No EGR'!$B$1*6))*'Reference tables'!$B$51</f>
        <v>8.7860506721297293E-6</v>
      </c>
      <c r="S42" s="33">
        <f t="shared" si="25"/>
        <v>4198.8468028554726</v>
      </c>
      <c r="T42" s="23">
        <f>((4170000000000*((('Reference tables'!$T$48)*('Reference tables'!$U$48))^0.5)*EXP((-67837/'No EGR'!S42)))/('No EGR'!$B$1*6))*'Reference tables'!$B$51</f>
        <v>9.9176369890499808E-6</v>
      </c>
      <c r="U42" s="33">
        <f t="shared" si="26"/>
        <v>4229.038422805681</v>
      </c>
      <c r="V42" s="23">
        <f>((4170000000000*((('Reference tables'!$T$49)*('Reference tables'!$U$49))^0.5)*EXP((-67837/'No EGR'!U42)))/('No EGR'!$B$1*6))*'Reference tables'!$B$51</f>
        <v>1.1174150422189858E-5</v>
      </c>
      <c r="W42" s="33">
        <f t="shared" si="27"/>
        <v>4259.1169585843636</v>
      </c>
      <c r="X42" s="23">
        <f>((4170000000000*((('Reference tables'!$T$50)*('Reference tables'!$U$50))^0.5)*EXP((-67837/'No EGR'!W42)))/('No EGR'!$B$1*6))*'Reference tables'!$B$51</f>
        <v>1.2563324936646273E-5</v>
      </c>
      <c r="Y42" s="33">
        <f t="shared" si="28"/>
        <v>4288.9804490533334</v>
      </c>
      <c r="Z42" s="23">
        <f>((4170000000000*((('Reference tables'!$T$51)*('Reference tables'!$U$51))^0.5)*EXP((-67837/'No EGR'!Y42)))/('No EGR'!$B$1*6))*'Reference tables'!$B$51</f>
        <v>1.4090886446801736E-5</v>
      </c>
      <c r="AA42" s="33">
        <f t="shared" si="29"/>
        <v>4318.7382707062834</v>
      </c>
      <c r="AB42" s="27">
        <f>((4170000000000*((('Reference tables'!$T$51)*('Reference tables'!$U$51))^0.5)*EXP((-67837/'No EGR'!AA42)))/('No EGR'!$B$1*6))*'Reference tables'!$B$51</f>
        <v>1.5713351268381261E-5</v>
      </c>
    </row>
    <row r="43" spans="1:28" ht="15" thickBot="1" x14ac:dyDescent="0.35">
      <c r="A43" s="7">
        <f t="shared" si="15"/>
        <v>15</v>
      </c>
      <c r="B43" s="8">
        <f t="shared" si="16"/>
        <v>40</v>
      </c>
      <c r="C43" s="33">
        <f>((((B43^(1.86-1))/(B42^(1.86-1)))*C42^(1.86)))^(1/1.86)</f>
        <v>3103.8235096984686</v>
      </c>
      <c r="D43" s="23">
        <f>((4170000000000*((('Reference tables'!$T$40)*('Reference tables'!$U$40))^0.5)*EXP((-67837/'No EGR'!C43)))/('No EGR'!$B$1*6))*'Reference tables'!$B$51</f>
        <v>2.7458331824896469E-8</v>
      </c>
      <c r="E43" s="33">
        <f t="shared" si="18"/>
        <v>3280.8105565745568</v>
      </c>
      <c r="F43" s="23">
        <f>((4170000000000*((('Reference tables'!$T$41)*('Reference tables'!$U$41))^0.5)*EXP((-67837/'No EGR'!E43)))/('No EGR'!$B$1*6))*'Reference tables'!$B$51</f>
        <v>9.2323446357996902E-8</v>
      </c>
      <c r="G43" s="33">
        <f t="shared" si="19"/>
        <v>3453.3687984099283</v>
      </c>
      <c r="H43" s="23">
        <f>((4170000000000*((('Reference tables'!$T$42)*('Reference tables'!$U$42))^0.5)*EXP((-67837/'No EGR'!G43)))/('No EGR'!$B$1*6))*'Reference tables'!$B$51</f>
        <v>2.6750597910584414E-7</v>
      </c>
      <c r="I43" s="33">
        <f t="shared" si="20"/>
        <v>3623.2807675377198</v>
      </c>
      <c r="J43" s="23">
        <f>((4170000000000*((('Reference tables'!$T$43)*('Reference tables'!$U$43))^0.5)*EXP((-67837/'No EGR'!I43)))/('No EGR'!$B$1*6))*'Reference tables'!$B$51</f>
        <v>6.9122537662157193E-7</v>
      </c>
      <c r="K43" s="33">
        <f t="shared" si="21"/>
        <v>3789.2992608238524</v>
      </c>
      <c r="L43" s="23">
        <f>((4170000000000*((('Reference tables'!$T$44)*('Reference tables'!$U$44))^0.5)*EXP((-67837/'No EGR'!K43)))/('No EGR'!$B$1*6))*'Reference tables'!$B$51</f>
        <v>1.6111453537169746E-6</v>
      </c>
      <c r="M43" s="33">
        <f t="shared" si="22"/>
        <v>3952.4322917602831</v>
      </c>
      <c r="N43" s="23">
        <f>((4170000000000*((('Reference tables'!$T$45)*('Reference tables'!$U$45))^0.5)*EXP((-67837/'No EGR'!M43)))/('No EGR'!$B$1*6))*'Reference tables'!$B$51</f>
        <v>3.4552047355552592E-6</v>
      </c>
      <c r="O43" s="33">
        <f t="shared" si="23"/>
        <v>4111.9053415057642</v>
      </c>
      <c r="P43" s="23">
        <f>((4170000000000*((('Reference tables'!$T$46)*('Reference tables'!$U$46))^0.5)*EXP((-67837/'No EGR'!O43)))/('No EGR'!$B$1*6))*'Reference tables'!$B$51</f>
        <v>6.87488983981366E-6</v>
      </c>
      <c r="Q43" s="33">
        <f t="shared" si="24"/>
        <v>4268.665676976414</v>
      </c>
      <c r="R43" s="23">
        <f>((4170000000000*((('Reference tables'!$T$47)*('Reference tables'!$U$47))^0.5)*EXP((-67837/'No EGR'!Q43)))/('No EGR'!$B$1*6))*'Reference tables'!$B$51</f>
        <v>1.2865705887997161E-5</v>
      </c>
      <c r="S43" s="33">
        <f t="shared" si="25"/>
        <v>4299.6179556686393</v>
      </c>
      <c r="T43" s="23">
        <f>((4170000000000*((('Reference tables'!$T$48)*('Reference tables'!$U$48))^0.5)*EXP((-67837/'No EGR'!S43)))/('No EGR'!$B$1*6))*'Reference tables'!$B$51</f>
        <v>1.4482905852973423E-5</v>
      </c>
      <c r="U43" s="33">
        <f t="shared" si="26"/>
        <v>4330.5341660815448</v>
      </c>
      <c r="V43" s="23">
        <f>((4170000000000*((('Reference tables'!$T$49)*('Reference tables'!$U$49))^0.5)*EXP((-67837/'No EGR'!U43)))/('No EGR'!$B$1*6))*'Reference tables'!$B$51</f>
        <v>1.6273763573322171E-5</v>
      </c>
      <c r="W43" s="33">
        <f t="shared" si="27"/>
        <v>4361.334578334332</v>
      </c>
      <c r="X43" s="23">
        <f>((4170000000000*((('Reference tables'!$T$50)*('Reference tables'!$U$50))^0.5)*EXP((-67837/'No EGR'!W43)))/('No EGR'!$B$1*6))*'Reference tables'!$B$51</f>
        <v>1.8248409537287931E-5</v>
      </c>
      <c r="Y43" s="33">
        <f t="shared" si="28"/>
        <v>4391.9147842499187</v>
      </c>
      <c r="Z43" s="23">
        <f>((4170000000000*((('Reference tables'!$T$51)*('Reference tables'!$U$51))^0.5)*EXP((-67837/'No EGR'!Y43)))/('No EGR'!$B$1*6))*'Reference tables'!$B$51</f>
        <v>2.0414085189777434E-5</v>
      </c>
      <c r="AA43" s="33">
        <f t="shared" si="29"/>
        <v>4422.3867853273568</v>
      </c>
      <c r="AB43" s="27">
        <f>((4170000000000*((('Reference tables'!$T$51)*('Reference tables'!$U$51))^0.5)*EXP((-67837/'No EGR'!AA43)))/('No EGR'!$B$1*6))*'Reference tables'!$B$51</f>
        <v>2.2706548828096402E-5</v>
      </c>
    </row>
    <row r="44" spans="1:28" ht="15" thickBot="1" x14ac:dyDescent="0.35">
      <c r="A44" s="10"/>
      <c r="B44" s="11"/>
      <c r="C44" s="42">
        <f>(D44/'Reference tables'!J48)*1000000</f>
        <v>85359.098730651516</v>
      </c>
      <c r="D44" s="29">
        <f>SUM(D28:D43)</f>
        <v>6.2581708707186177E-8</v>
      </c>
      <c r="E44" s="42">
        <f>(F44/'Reference tables'!J49)*1000000</f>
        <v>291147.14102859638</v>
      </c>
      <c r="F44" s="29">
        <f>SUM(F28:F43)</f>
        <v>2.1822197803405012E-7</v>
      </c>
      <c r="G44" s="42">
        <f>(H44/'Reference tables'!J50)*1000000</f>
        <v>854283.28952352621</v>
      </c>
      <c r="H44" s="29">
        <f>SUM(H28:H43)</f>
        <v>6.5410995410406553E-7</v>
      </c>
      <c r="I44" s="42">
        <f>(J44/'Reference tables'!J51)*1000000</f>
        <v>2232658.1380565222</v>
      </c>
      <c r="J44" s="29">
        <f>SUM(J28:J43)</f>
        <v>1.7451260088840482E-6</v>
      </c>
      <c r="K44" s="42">
        <f>(L44/'Reference tables'!J52)*1000000</f>
        <v>5256473.9949925719</v>
      </c>
      <c r="L44" s="29">
        <f>SUM(L28:L43)</f>
        <v>4.1914517057050576E-6</v>
      </c>
      <c r="M44" s="42">
        <f>(N44/'Reference tables'!J53)*1000000</f>
        <v>11374849.315531081</v>
      </c>
      <c r="N44" s="29">
        <f>SUM(N28:N43)</f>
        <v>9.2471135468761571E-6</v>
      </c>
      <c r="O44" s="42">
        <f>(P44/'Reference tables'!J54)*1000000</f>
        <v>22813454.170085005</v>
      </c>
      <c r="P44" s="29">
        <f>SUM(P28:P43)</f>
        <v>1.8896516255203971E-5</v>
      </c>
      <c r="Q44" s="42">
        <f>(R44/'Reference tables'!J55)*1000000</f>
        <v>42999306.554925054</v>
      </c>
      <c r="R44" s="29">
        <f>SUM(R28:R43)</f>
        <v>3.626896654141121E-5</v>
      </c>
      <c r="S44" s="42">
        <f>(T44/'Reference tables'!J56)*1000000</f>
        <v>48468506.654884934</v>
      </c>
      <c r="T44" s="29">
        <f>SUM(T28:T43)</f>
        <v>4.1028101407318484E-5</v>
      </c>
      <c r="U44" s="42">
        <f>(V44/'Reference tables'!J57)*1000000</f>
        <v>54533134.441076733</v>
      </c>
      <c r="V44" s="29">
        <f>SUM(V28:V43)</f>
        <v>4.6325594321002772E-5</v>
      </c>
      <c r="W44" s="42">
        <f>(X44/'Reference tables'!J58)*1000000</f>
        <v>61228437.373243101</v>
      </c>
      <c r="X44" s="29">
        <f>SUM(X28:X43)</f>
        <v>5.2196726983837414E-5</v>
      </c>
      <c r="Y44" s="42">
        <f>(Z44/'Reference tables'!J59)*1000000</f>
        <v>68579478.715080291</v>
      </c>
      <c r="Z44" s="29">
        <f>SUM(Z28:Z43)</f>
        <v>5.8668464494573164E-5</v>
      </c>
      <c r="AA44" s="42">
        <f>(AB44/'Reference tables'!J60)*1000000</f>
        <v>76372974.923429012</v>
      </c>
      <c r="AB44" s="28">
        <f>SUM(AB28:AB43)</f>
        <v>6.5563431716868413E-5</v>
      </c>
    </row>
    <row r="45" spans="1:28" ht="15" thickBot="1" x14ac:dyDescent="0.35">
      <c r="C45" s="43">
        <f>C44</f>
        <v>85359.098730651516</v>
      </c>
      <c r="E45" s="43">
        <f>E44</f>
        <v>291147.14102859638</v>
      </c>
      <c r="G45" s="43">
        <f>G44</f>
        <v>854283.28952352621</v>
      </c>
      <c r="I45" s="43">
        <f>I44</f>
        <v>2232658.1380565222</v>
      </c>
      <c r="K45" s="43">
        <f>K44</f>
        <v>5256473.9949925719</v>
      </c>
      <c r="M45" s="43">
        <f>M44</f>
        <v>11374849.315531081</v>
      </c>
      <c r="O45" s="43">
        <f>O44</f>
        <v>22813454.170085005</v>
      </c>
      <c r="Q45" s="43">
        <f>Q44</f>
        <v>42999306.554925054</v>
      </c>
      <c r="S45" s="43">
        <f>S44</f>
        <v>48468506.654884934</v>
      </c>
      <c r="U45" s="43">
        <f>U44</f>
        <v>54533134.441076733</v>
      </c>
      <c r="W45" s="43">
        <f>W44</f>
        <v>61228437.373243101</v>
      </c>
      <c r="Y45" s="43">
        <f>Y44</f>
        <v>68579478.715080291</v>
      </c>
      <c r="AA45" s="43">
        <f>AA44</f>
        <v>76372974.923429012</v>
      </c>
    </row>
  </sheetData>
  <mergeCells count="28">
    <mergeCell ref="U25:V25"/>
    <mergeCell ref="W25:X25"/>
    <mergeCell ref="Y25:Z25"/>
    <mergeCell ref="AA25:AB25"/>
    <mergeCell ref="C25:D25"/>
    <mergeCell ref="E25:F25"/>
    <mergeCell ref="G25:H25"/>
    <mergeCell ref="I25:J25"/>
    <mergeCell ref="K25:L25"/>
    <mergeCell ref="M25:N25"/>
    <mergeCell ref="O25:P25"/>
    <mergeCell ref="Q25:R25"/>
    <mergeCell ref="S25:T25"/>
    <mergeCell ref="A2:AB2"/>
    <mergeCell ref="A24:AB24"/>
    <mergeCell ref="C3:D3"/>
    <mergeCell ref="E3:F3"/>
    <mergeCell ref="G3:H3"/>
    <mergeCell ref="I3:J3"/>
    <mergeCell ref="K3:L3"/>
    <mergeCell ref="M3:N3"/>
    <mergeCell ref="AA3:AB3"/>
    <mergeCell ref="O3:P3"/>
    <mergeCell ref="Q3:R3"/>
    <mergeCell ref="S3:T3"/>
    <mergeCell ref="U3:V3"/>
    <mergeCell ref="W3:X3"/>
    <mergeCell ref="Y3:Z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BC359-08C3-4823-B58E-77BC4FB1F84A}">
  <dimension ref="A1:Y36"/>
  <sheetViews>
    <sheetView tabSelected="1" workbookViewId="0">
      <selection activeCell="Z34" sqref="Z34"/>
    </sheetView>
  </sheetViews>
  <sheetFormatPr defaultRowHeight="14.4" x14ac:dyDescent="0.3"/>
  <cols>
    <col min="1" max="22" width="10.77734375" style="73" customWidth="1"/>
    <col min="23" max="24" width="10.77734375" style="75" customWidth="1"/>
  </cols>
  <sheetData>
    <row r="1" spans="1:25" x14ac:dyDescent="0.3">
      <c r="A1" s="105" t="s">
        <v>101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25" x14ac:dyDescent="0.3">
      <c r="A2" s="108" t="s">
        <v>100</v>
      </c>
      <c r="B2" s="74" t="s">
        <v>86</v>
      </c>
      <c r="C2" s="74" t="s">
        <v>87</v>
      </c>
      <c r="D2" s="74" t="s">
        <v>88</v>
      </c>
      <c r="E2" s="74" t="s">
        <v>89</v>
      </c>
      <c r="F2" s="33" t="s">
        <v>108</v>
      </c>
      <c r="G2" s="33" t="s">
        <v>11</v>
      </c>
      <c r="H2" s="31" t="s">
        <v>84</v>
      </c>
      <c r="I2" s="31" t="s">
        <v>85</v>
      </c>
      <c r="J2" s="33" t="s">
        <v>103</v>
      </c>
      <c r="K2" s="33" t="s">
        <v>105</v>
      </c>
      <c r="L2" s="109" t="s">
        <v>104</v>
      </c>
      <c r="M2" s="32"/>
    </row>
    <row r="3" spans="1:25" x14ac:dyDescent="0.3">
      <c r="A3" s="110">
        <v>0</v>
      </c>
      <c r="B3" s="74">
        <v>7.76</v>
      </c>
      <c r="C3" s="74">
        <v>8.73</v>
      </c>
      <c r="D3" s="74">
        <v>0.75</v>
      </c>
      <c r="E3" s="74">
        <v>47</v>
      </c>
      <c r="F3" s="34">
        <v>2.2346064671806778E-5</v>
      </c>
      <c r="G3" s="31">
        <v>4913.05</v>
      </c>
      <c r="H3" s="76">
        <f>'Reference tables'!X49</f>
        <v>0.40872705462909337</v>
      </c>
      <c r="I3" s="76">
        <f>'Reference tables'!Y49</f>
        <v>6.5222402334429797E-3</v>
      </c>
      <c r="J3" s="74">
        <f>C19</f>
        <v>2337.9949999999999</v>
      </c>
      <c r="K3" s="34">
        <f>(100000*0.00004)/(8314*J3)</f>
        <v>2.0578153056776369E-7</v>
      </c>
      <c r="L3" s="35">
        <f>C35</f>
        <v>4.5343139025801741E-6</v>
      </c>
    </row>
    <row r="4" spans="1:25" x14ac:dyDescent="0.3">
      <c r="A4" s="110">
        <f>A3+2</f>
        <v>2</v>
      </c>
      <c r="B4" s="33">
        <f>$B$3*1.02</f>
        <v>7.9151999999999996</v>
      </c>
      <c r="C4" s="33">
        <f>$C$3*1.02</f>
        <v>8.9046000000000003</v>
      </c>
      <c r="D4" s="33">
        <f>$D$3*1.02</f>
        <v>0.76500000000000001</v>
      </c>
      <c r="E4" s="33">
        <f>$E$3*1.02</f>
        <v>47.94</v>
      </c>
      <c r="F4" s="34">
        <v>2.279298596524291E-5</v>
      </c>
      <c r="G4" s="33">
        <v>4914.3280000000004</v>
      </c>
      <c r="H4" s="34">
        <f>('Reference tables'!$W$49*'With EGR'!E4)/'Reference tables'!$B$51</f>
        <v>0.41690159572167523</v>
      </c>
      <c r="I4" s="34">
        <f>('Reference tables'!$W$49*'With EGR'!D4)/'Reference tables'!$B$51</f>
        <v>6.6526850381118385E-3</v>
      </c>
      <c r="J4" s="33">
        <v>2297.1427494309855</v>
      </c>
      <c r="K4" s="34">
        <f t="shared" ref="K4:K13" si="0">(100000*0.00004)/(8314*J4)</f>
        <v>2.09441137116513E-7</v>
      </c>
      <c r="L4" s="35">
        <f>E35</f>
        <v>3.3564536477566385E-6</v>
      </c>
    </row>
    <row r="5" spans="1:25" x14ac:dyDescent="0.3">
      <c r="A5" s="110">
        <f t="shared" ref="A5:A13" si="1">A4+2</f>
        <v>4</v>
      </c>
      <c r="B5" s="33">
        <f>B4+($B$3*0.02)</f>
        <v>8.0703999999999994</v>
      </c>
      <c r="C5" s="33">
        <f>C4+($C$3*0.02)</f>
        <v>9.0792000000000002</v>
      </c>
      <c r="D5" s="33">
        <f>D4+($D$3*0.02)</f>
        <v>0.78</v>
      </c>
      <c r="E5" s="33">
        <f>E4+($E$3*0.02)</f>
        <v>48.879999999999995</v>
      </c>
      <c r="F5" s="34">
        <v>2.3239907258679041E-5</v>
      </c>
      <c r="G5" s="33">
        <v>4915.3630000000003</v>
      </c>
      <c r="H5" s="34">
        <f>('Reference tables'!$W$49*'With EGR'!E5)/'Reference tables'!$B$51</f>
        <v>0.4250761368142571</v>
      </c>
      <c r="I5" s="34">
        <f>('Reference tables'!$W$49*'With EGR'!D5)/'Reference tables'!$B$51</f>
        <v>6.7831298427806982E-3</v>
      </c>
      <c r="J5" s="33">
        <v>2262.9604071856675</v>
      </c>
      <c r="K5" s="34">
        <f t="shared" si="0"/>
        <v>2.1260477559928645E-7</v>
      </c>
      <c r="L5" s="35">
        <f>G35</f>
        <v>2.5943423029374302E-6</v>
      </c>
    </row>
    <row r="6" spans="1:25" x14ac:dyDescent="0.3">
      <c r="A6" s="110">
        <f t="shared" si="1"/>
        <v>6</v>
      </c>
      <c r="B6" s="33">
        <f t="shared" ref="B6:B13" si="2">B5+($B$3*0.02)</f>
        <v>8.2256</v>
      </c>
      <c r="C6" s="33">
        <f t="shared" ref="C6:C13" si="3">C5+($C$3*0.02)</f>
        <v>9.2538</v>
      </c>
      <c r="D6" s="33">
        <f t="shared" ref="D6:D13" si="4">D5+($D$3*0.02)</f>
        <v>0.79500000000000004</v>
      </c>
      <c r="E6" s="33">
        <f t="shared" ref="E6:E13" si="5">E5+($E$3*0.02)</f>
        <v>49.819999999999993</v>
      </c>
      <c r="F6" s="34">
        <v>2.3686828552115179E-5</v>
      </c>
      <c r="G6" s="33">
        <v>4917.0339999999997</v>
      </c>
      <c r="H6" s="34">
        <f>('Reference tables'!$W$49*'With EGR'!E6)/'Reference tables'!$B$51</f>
        <v>0.43325067790683885</v>
      </c>
      <c r="I6" s="34">
        <f>('Reference tables'!$W$49*'With EGR'!D6)/'Reference tables'!$B$51</f>
        <v>6.913574647449558E-3</v>
      </c>
      <c r="J6" s="33">
        <v>2229.8852487927065</v>
      </c>
      <c r="K6" s="34">
        <f t="shared" si="0"/>
        <v>2.1575827268253478E-7</v>
      </c>
      <c r="L6" s="35">
        <f>I35</f>
        <v>2.006625969308265E-6</v>
      </c>
    </row>
    <row r="7" spans="1:25" x14ac:dyDescent="0.3">
      <c r="A7" s="110">
        <f t="shared" si="1"/>
        <v>8</v>
      </c>
      <c r="B7" s="33">
        <f t="shared" si="2"/>
        <v>8.3808000000000007</v>
      </c>
      <c r="C7" s="33">
        <f t="shared" si="3"/>
        <v>9.4283999999999999</v>
      </c>
      <c r="D7" s="33">
        <f t="shared" si="4"/>
        <v>0.81</v>
      </c>
      <c r="E7" s="33">
        <f t="shared" si="5"/>
        <v>50.759999999999991</v>
      </c>
      <c r="F7" s="34">
        <v>2.4133749845551317E-5</v>
      </c>
      <c r="G7" s="33">
        <v>4918.07</v>
      </c>
      <c r="H7" s="34">
        <f>('Reference tables'!$W$49*'With EGR'!E7)/'Reference tables'!$B$51</f>
        <v>0.44142521899942072</v>
      </c>
      <c r="I7" s="34">
        <f>('Reference tables'!$W$49*'With EGR'!D7)/'Reference tables'!$B$51</f>
        <v>7.0440194521184185E-3</v>
      </c>
      <c r="J7" s="33">
        <v>2198.2021836281456</v>
      </c>
      <c r="K7" s="34">
        <f t="shared" si="0"/>
        <v>2.1886803367909205E-7</v>
      </c>
      <c r="L7" s="35">
        <f>K35</f>
        <v>1.5576767015269163E-6</v>
      </c>
    </row>
    <row r="8" spans="1:25" x14ac:dyDescent="0.3">
      <c r="A8" s="110">
        <f t="shared" si="1"/>
        <v>10</v>
      </c>
      <c r="B8" s="33">
        <f t="shared" si="2"/>
        <v>8.5360000000000014</v>
      </c>
      <c r="C8" s="33">
        <f t="shared" si="3"/>
        <v>9.6029999999999998</v>
      </c>
      <c r="D8" s="33">
        <f t="shared" si="4"/>
        <v>0.82500000000000007</v>
      </c>
      <c r="E8" s="33">
        <f t="shared" si="5"/>
        <v>51.699999999999989</v>
      </c>
      <c r="F8" s="34">
        <v>2.4580671138987448E-5</v>
      </c>
      <c r="G8" s="33">
        <v>4919.3469999999998</v>
      </c>
      <c r="H8" s="34">
        <f>('Reference tables'!$W$49*'With EGR'!E8)/'Reference tables'!$B$51</f>
        <v>0.44959976009200259</v>
      </c>
      <c r="I8" s="34">
        <f>('Reference tables'!$W$49*'With EGR'!D8)/'Reference tables'!$B$51</f>
        <v>7.1744642567872783E-3</v>
      </c>
      <c r="J8" s="33">
        <v>2167.5548044621564</v>
      </c>
      <c r="K8" s="34">
        <f t="shared" si="0"/>
        <v>2.2196264129947105E-7</v>
      </c>
      <c r="L8" s="35">
        <f>M35</f>
        <v>1.210533154406901E-6</v>
      </c>
    </row>
    <row r="9" spans="1:25" x14ac:dyDescent="0.3">
      <c r="A9" s="110">
        <f t="shared" si="1"/>
        <v>12</v>
      </c>
      <c r="B9" s="33">
        <f t="shared" si="2"/>
        <v>8.691200000000002</v>
      </c>
      <c r="C9" s="33">
        <f t="shared" si="3"/>
        <v>9.7775999999999996</v>
      </c>
      <c r="D9" s="33">
        <f t="shared" si="4"/>
        <v>0.84000000000000008</v>
      </c>
      <c r="E9" s="33">
        <f t="shared" si="5"/>
        <v>52.639999999999986</v>
      </c>
      <c r="F9" s="34">
        <v>2.5027592432423586E-5</v>
      </c>
      <c r="G9" s="33">
        <v>4920.625</v>
      </c>
      <c r="H9" s="34">
        <f>('Reference tables'!$W$49*'With EGR'!E9)/'Reference tables'!$B$51</f>
        <v>0.45777430118458445</v>
      </c>
      <c r="I9" s="34">
        <f>('Reference tables'!$W$49*'With EGR'!D9)/'Reference tables'!$B$51</f>
        <v>7.304909061456138E-3</v>
      </c>
      <c r="J9" s="33">
        <v>2138.0091830667434</v>
      </c>
      <c r="K9" s="34">
        <f t="shared" si="0"/>
        <v>2.2502999209276993E-7</v>
      </c>
      <c r="L9" s="35">
        <f>O35</f>
        <v>9.4281521781670592E-7</v>
      </c>
    </row>
    <row r="10" spans="1:25" x14ac:dyDescent="0.3">
      <c r="A10" s="110">
        <f t="shared" si="1"/>
        <v>14</v>
      </c>
      <c r="B10" s="33">
        <f t="shared" si="2"/>
        <v>8.8464000000000027</v>
      </c>
      <c r="C10" s="33">
        <f t="shared" si="3"/>
        <v>9.9521999999999995</v>
      </c>
      <c r="D10" s="33">
        <f t="shared" si="4"/>
        <v>0.85500000000000009</v>
      </c>
      <c r="E10" s="33">
        <f t="shared" si="5"/>
        <v>53.579999999999984</v>
      </c>
      <c r="F10" s="34">
        <v>2.5474513725859718E-5</v>
      </c>
      <c r="G10" s="33">
        <v>4719.2669999999998</v>
      </c>
      <c r="H10" s="34">
        <f>('Reference tables'!$W$49*'With EGR'!E10)/'Reference tables'!$B$51</f>
        <v>0.46594884227716632</v>
      </c>
      <c r="I10" s="34">
        <f>('Reference tables'!$W$49*'With EGR'!D10)/'Reference tables'!$B$51</f>
        <v>7.4353538661249968E-3</v>
      </c>
      <c r="J10" s="33">
        <v>2109.3962894532115</v>
      </c>
      <c r="K10" s="34">
        <f t="shared" si="0"/>
        <v>2.2808241010250925E-7</v>
      </c>
      <c r="L10" s="35">
        <f>Q35</f>
        <v>7.3512618914840058E-7</v>
      </c>
    </row>
    <row r="11" spans="1:25" x14ac:dyDescent="0.3">
      <c r="A11" s="110">
        <f t="shared" si="1"/>
        <v>16</v>
      </c>
      <c r="B11" s="33">
        <f t="shared" si="2"/>
        <v>9.0016000000000034</v>
      </c>
      <c r="C11" s="33">
        <f t="shared" si="3"/>
        <v>10.126799999999999</v>
      </c>
      <c r="D11" s="33">
        <f t="shared" si="4"/>
        <v>0.87000000000000011</v>
      </c>
      <c r="E11" s="33">
        <f t="shared" si="5"/>
        <v>54.519999999999982</v>
      </c>
      <c r="F11" s="34">
        <v>2.5921435019295852E-5</v>
      </c>
      <c r="G11" s="33">
        <v>4923.3320000000003</v>
      </c>
      <c r="H11" s="34">
        <f>('Reference tables'!$W$49*'With EGR'!E11)/'Reference tables'!$B$51</f>
        <v>0.47412338336974819</v>
      </c>
      <c r="I11" s="34">
        <f>('Reference tables'!$W$49*'With EGR'!D11)/'Reference tables'!$B$51</f>
        <v>7.5657986707938565E-3</v>
      </c>
      <c r="J11" s="33">
        <v>2082.2583728671611</v>
      </c>
      <c r="K11" s="34">
        <f t="shared" si="0"/>
        <v>2.310549909794848E-7</v>
      </c>
      <c r="L11" s="35">
        <f>S35</f>
        <v>5.77091621677621E-7</v>
      </c>
    </row>
    <row r="12" spans="1:25" x14ac:dyDescent="0.3">
      <c r="A12" s="110">
        <f t="shared" si="1"/>
        <v>18</v>
      </c>
      <c r="B12" s="33">
        <f t="shared" si="2"/>
        <v>9.156800000000004</v>
      </c>
      <c r="C12" s="33">
        <f t="shared" si="3"/>
        <v>10.301399999999999</v>
      </c>
      <c r="D12" s="33">
        <f t="shared" si="4"/>
        <v>0.88500000000000012</v>
      </c>
      <c r="E12" s="33">
        <f t="shared" si="5"/>
        <v>55.45999999999998</v>
      </c>
      <c r="F12" s="34">
        <v>2.636835631273199E-5</v>
      </c>
      <c r="G12" s="33">
        <v>4924.3670000000002</v>
      </c>
      <c r="H12" s="34">
        <f>('Reference tables'!$W$49*'With EGR'!E12)/'Reference tables'!$B$51</f>
        <v>0.48229792446233</v>
      </c>
      <c r="I12" s="34">
        <f>('Reference tables'!$W$49*'With EGR'!D12)/'Reference tables'!$B$51</f>
        <v>7.6962434754627163E-3</v>
      </c>
      <c r="J12" s="33">
        <v>2055.1204562811108</v>
      </c>
      <c r="K12" s="34">
        <f t="shared" si="0"/>
        <v>2.3410607786484365E-7</v>
      </c>
      <c r="L12" s="35">
        <f>U35</f>
        <v>4.4985936744840406E-7</v>
      </c>
    </row>
    <row r="13" spans="1:25" ht="15" thickBot="1" x14ac:dyDescent="0.35">
      <c r="A13" s="111">
        <f t="shared" si="1"/>
        <v>20</v>
      </c>
      <c r="B13" s="112">
        <f t="shared" si="2"/>
        <v>9.3120000000000047</v>
      </c>
      <c r="C13" s="112">
        <f t="shared" si="3"/>
        <v>10.475999999999999</v>
      </c>
      <c r="D13" s="112">
        <f t="shared" si="4"/>
        <v>0.90000000000000013</v>
      </c>
      <c r="E13" s="112">
        <f t="shared" si="5"/>
        <v>56.399999999999977</v>
      </c>
      <c r="F13" s="36">
        <v>2.6815277606168122E-5</v>
      </c>
      <c r="G13" s="112">
        <v>4925.6448</v>
      </c>
      <c r="H13" s="36">
        <f>('Reference tables'!$W$49*'With EGR'!E13)/'Reference tables'!$B$51</f>
        <v>0.49047246555491181</v>
      </c>
      <c r="I13" s="36">
        <f>('Reference tables'!$W$49*'With EGR'!D13)/'Reference tables'!$B$51</f>
        <v>7.826688280131576E-3</v>
      </c>
      <c r="J13" s="112">
        <v>2029.0180535866593</v>
      </c>
      <c r="K13" s="36">
        <f t="shared" si="0"/>
        <v>2.3711774703498477E-7</v>
      </c>
      <c r="L13" s="37">
        <f>W35</f>
        <v>3.518274018101627E-7</v>
      </c>
    </row>
    <row r="14" spans="1:25" ht="15" thickBot="1" x14ac:dyDescent="0.35"/>
    <row r="15" spans="1:25" x14ac:dyDescent="0.3">
      <c r="A15" s="105" t="s">
        <v>17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7"/>
    </row>
    <row r="16" spans="1:25" x14ac:dyDescent="0.3">
      <c r="A16" s="108"/>
      <c r="B16" s="33" t="s">
        <v>100</v>
      </c>
      <c r="C16" s="82">
        <v>0</v>
      </c>
      <c r="D16" s="82"/>
      <c r="E16" s="82">
        <f>C16+2</f>
        <v>2</v>
      </c>
      <c r="F16" s="82"/>
      <c r="G16" s="82">
        <f t="shared" ref="G16" si="6">E16+2</f>
        <v>4</v>
      </c>
      <c r="H16" s="82"/>
      <c r="I16" s="82">
        <f t="shared" ref="I16" si="7">G16+2</f>
        <v>6</v>
      </c>
      <c r="J16" s="82"/>
      <c r="K16" s="82">
        <f t="shared" ref="K16" si="8">I16+2</f>
        <v>8</v>
      </c>
      <c r="L16" s="82"/>
      <c r="M16" s="82">
        <f t="shared" ref="M16" si="9">K16+2</f>
        <v>10</v>
      </c>
      <c r="N16" s="82"/>
      <c r="O16" s="82">
        <f t="shared" ref="O16" si="10">M16+2</f>
        <v>12</v>
      </c>
      <c r="P16" s="82"/>
      <c r="Q16" s="82">
        <f t="shared" ref="Q16" si="11">O16+2</f>
        <v>14</v>
      </c>
      <c r="R16" s="82"/>
      <c r="S16" s="82">
        <f t="shared" ref="S16" si="12">Q16+2</f>
        <v>16</v>
      </c>
      <c r="T16" s="82"/>
      <c r="U16" s="82">
        <f t="shared" ref="U16" si="13">S16+2</f>
        <v>18</v>
      </c>
      <c r="V16" s="82"/>
      <c r="W16" s="82">
        <f t="shared" ref="W16" si="14">U16+2</f>
        <v>20</v>
      </c>
      <c r="X16" s="83"/>
      <c r="Y16" s="15"/>
    </row>
    <row r="17" spans="1:24" x14ac:dyDescent="0.3">
      <c r="A17" s="7" t="s">
        <v>0</v>
      </c>
      <c r="B17" s="71" t="s">
        <v>1</v>
      </c>
      <c r="C17" s="71" t="s">
        <v>102</v>
      </c>
      <c r="D17" s="71" t="s">
        <v>4</v>
      </c>
      <c r="E17" s="71" t="s">
        <v>102</v>
      </c>
      <c r="F17" s="71" t="s">
        <v>4</v>
      </c>
      <c r="G17" s="71" t="s">
        <v>102</v>
      </c>
      <c r="H17" s="71" t="s">
        <v>4</v>
      </c>
      <c r="I17" s="71" t="s">
        <v>102</v>
      </c>
      <c r="J17" s="71" t="s">
        <v>4</v>
      </c>
      <c r="K17" s="71" t="s">
        <v>102</v>
      </c>
      <c r="L17" s="71" t="s">
        <v>4</v>
      </c>
      <c r="M17" s="71" t="s">
        <v>102</v>
      </c>
      <c r="N17" s="71" t="s">
        <v>4</v>
      </c>
      <c r="O17" s="71" t="s">
        <v>102</v>
      </c>
      <c r="P17" s="71" t="s">
        <v>4</v>
      </c>
      <c r="Q17" s="71" t="s">
        <v>102</v>
      </c>
      <c r="R17" s="71" t="s">
        <v>4</v>
      </c>
      <c r="S17" s="71" t="s">
        <v>102</v>
      </c>
      <c r="T17" s="71" t="s">
        <v>4</v>
      </c>
      <c r="U17" s="71" t="s">
        <v>102</v>
      </c>
      <c r="V17" s="71" t="s">
        <v>4</v>
      </c>
      <c r="W17" s="71" t="s">
        <v>102</v>
      </c>
      <c r="X17" s="72" t="s">
        <v>4</v>
      </c>
    </row>
    <row r="18" spans="1:24" x14ac:dyDescent="0.3">
      <c r="A18" s="7" t="s">
        <v>2</v>
      </c>
      <c r="B18" s="71" t="s">
        <v>3</v>
      </c>
      <c r="C18" s="71" t="s">
        <v>5</v>
      </c>
      <c r="D18" s="71" t="s">
        <v>6</v>
      </c>
      <c r="E18" s="71" t="s">
        <v>5</v>
      </c>
      <c r="F18" s="71" t="s">
        <v>6</v>
      </c>
      <c r="G18" s="71" t="s">
        <v>5</v>
      </c>
      <c r="H18" s="71" t="s">
        <v>6</v>
      </c>
      <c r="I18" s="71" t="s">
        <v>5</v>
      </c>
      <c r="J18" s="71" t="s">
        <v>6</v>
      </c>
      <c r="K18" s="71" t="s">
        <v>5</v>
      </c>
      <c r="L18" s="71" t="s">
        <v>6</v>
      </c>
      <c r="M18" s="71" t="s">
        <v>5</v>
      </c>
      <c r="N18" s="71" t="s">
        <v>6</v>
      </c>
      <c r="O18" s="71" t="s">
        <v>5</v>
      </c>
      <c r="P18" s="71" t="s">
        <v>6</v>
      </c>
      <c r="Q18" s="71" t="s">
        <v>5</v>
      </c>
      <c r="R18" s="71" t="s">
        <v>6</v>
      </c>
      <c r="S18" s="71" t="s">
        <v>5</v>
      </c>
      <c r="T18" s="71" t="s">
        <v>6</v>
      </c>
      <c r="U18" s="71" t="s">
        <v>5</v>
      </c>
      <c r="V18" s="71" t="s">
        <v>6</v>
      </c>
      <c r="W18" s="71" t="s">
        <v>5</v>
      </c>
      <c r="X18" s="72" t="s">
        <v>6</v>
      </c>
    </row>
    <row r="19" spans="1:24" x14ac:dyDescent="0.3">
      <c r="A19" s="7">
        <v>0</v>
      </c>
      <c r="B19" s="71">
        <v>10</v>
      </c>
      <c r="C19" s="33">
        <v>2337.9949999999999</v>
      </c>
      <c r="D19" s="34">
        <v>1.9981083799585803E-10</v>
      </c>
      <c r="E19" s="33">
        <v>2297.1427494309855</v>
      </c>
      <c r="F19" s="34">
        <f>((4170000000000*((($H$4)*($I$4))^0.5)*EXP((-67837/E19)))/(1800*6))*0.00004</f>
        <v>1.2165292631095992E-10</v>
      </c>
      <c r="G19" s="33">
        <v>2262.9604071856675</v>
      </c>
      <c r="H19" s="34">
        <f>((4170000000000*((($H$5)*($I$5))^0.5)*EXP((-67837/G19)))/(1800*6))*0.00004</f>
        <v>7.9401693803775143E-11</v>
      </c>
      <c r="I19" s="33">
        <v>2229.8852487927065</v>
      </c>
      <c r="J19" s="34">
        <f>((4170000000000*((($H$6)*($I$6))^0.5)*EXP((-67837/I19)))/(1800*6))*0.00004</f>
        <v>5.187968643605719E-11</v>
      </c>
      <c r="K19" s="33">
        <v>2198.2021836281456</v>
      </c>
      <c r="L19" s="34">
        <f>((4170000000000*((($H$7)*($I$7))^0.5)*EXP((-67837/K19)))/(1800*6))*0.00004</f>
        <v>3.4094825289015738E-11</v>
      </c>
      <c r="M19" s="33">
        <v>2167.5548044621564</v>
      </c>
      <c r="N19" s="34">
        <f>((4170000000000*((($H$8)*($I$8))^0.5)*EXP((-67837/M19)))/(1800*6))*0.00004</f>
        <v>2.2447012855503213E-11</v>
      </c>
      <c r="O19" s="33">
        <v>2138.0091830667434</v>
      </c>
      <c r="P19" s="34">
        <f>((4170000000000*((($H$9)*($I$9))^0.5)*EXP((-67837/O19)))/(1800*6))*0.00004</f>
        <v>1.4830443056564345E-11</v>
      </c>
      <c r="Q19" s="33">
        <v>2109.3962894532115</v>
      </c>
      <c r="R19" s="34">
        <f>((4170000000000*((($H$10)*($I$10))^0.5)*EXP((-67837/Q19)))/(1800*6))*0.00004</f>
        <v>9.8157976934918388E-12</v>
      </c>
      <c r="S19" s="33">
        <v>2082.2583728671611</v>
      </c>
      <c r="T19" s="34">
        <f>((4170000000000*((($H$11)*($I$11))^0.5)*EXP((-67837/S19)))/(1800*6))*0.00004</f>
        <v>6.5682885314841045E-12</v>
      </c>
      <c r="U19" s="33">
        <v>2055.1204562811108</v>
      </c>
      <c r="V19" s="34">
        <f>((4170000000000*((($H$12)*($I$12))^0.5)*EXP((-67837/U19)))/(1800*6))*0.00004</f>
        <v>4.3455264373988985E-12</v>
      </c>
      <c r="W19" s="33">
        <v>2029.0180535866593</v>
      </c>
      <c r="X19" s="35">
        <f>((4170000000000*((($H$13)*($I$13))^0.5)*EXP((-67837/W19)))/(1800*6))*0.00004</f>
        <v>2.8901577107893834E-12</v>
      </c>
    </row>
    <row r="20" spans="1:24" x14ac:dyDescent="0.3">
      <c r="A20" s="7">
        <f>A19+1</f>
        <v>1</v>
      </c>
      <c r="B20" s="71">
        <f>B19+2</f>
        <v>12</v>
      </c>
      <c r="C20" s="33">
        <f>(((B20^(1.59-1))/(B19^(1.59-1)))*C19^(1.59))^(1/1.59)</f>
        <v>2501.6427985336745</v>
      </c>
      <c r="D20" s="34">
        <v>1.3333132841075919E-9</v>
      </c>
      <c r="E20" s="33">
        <f>((((B20^(1.59-1))/(B19^(1.59-1)))*E19^(1.59)))^(1/1.59)</f>
        <v>2457.9310975078524</v>
      </c>
      <c r="F20" s="34">
        <f t="shared" ref="F20:F34" si="15">((4170000000000*((($H$4)*($I$4))^0.5)*EXP((-67837/E20)))/(1800*6))*0.00004</f>
        <v>8.3964414043355746E-10</v>
      </c>
      <c r="G20" s="33">
        <f>((((B20^(1.59-1))/(B19^(1.59-1)))*G19^(1.59)))^(1/1.59)</f>
        <v>2421.3561645781383</v>
      </c>
      <c r="H20" s="34">
        <f t="shared" ref="H20:H34" si="16">((4170000000000*((($H$5)*($I$5))^0.5)*EXP((-67837/G20)))/(1800*6))*0.00004</f>
        <v>5.6425481214639784E-10</v>
      </c>
      <c r="I20" s="33">
        <f>((((B20^(1.59-1))/(B19^(1.59-1)))*I19^(1.59)))^(1/1.59)</f>
        <v>2385.9659127580476</v>
      </c>
      <c r="J20" s="34">
        <f t="shared" ref="J20:J34" si="17">((4170000000000*((($H$6)*($I$6))^0.5)*EXP((-67837/I20)))/(1800*6))*0.00004</f>
        <v>3.7955527041069021E-10</v>
      </c>
      <c r="K20" s="33">
        <f>((((B20^(1.59-1))/(B19^(1.59-1)))*K19^(1.59)))^(1/1.59)</f>
        <v>2352.0651936357235</v>
      </c>
      <c r="L20" s="34">
        <f t="shared" ref="L20:L34" si="18">((4170000000000*((($H$7)*($I$7))^0.5)*EXP((-67837/K20)))/(1800*6))*0.00004</f>
        <v>2.5669838459212809E-10</v>
      </c>
      <c r="M20" s="33">
        <f>((((B20^(1.59-1))/(B19^(1.59-1)))*M19^(1.59)))^(1/1.59)</f>
        <v>2319.2726532819038</v>
      </c>
      <c r="N20" s="34">
        <f t="shared" ref="N20:N34" si="19">((4170000000000*((($H$8)*($I$8))^0.5)*EXP((-67837/M20)))/(1800*6))*0.00004</f>
        <v>1.7389596429745274E-10</v>
      </c>
      <c r="O20" s="33">
        <f>((((B20^(1.59-1))/(B19^(1.59-1)))*O19^(1.59)))^(1/1.59)</f>
        <v>2287.6589881577111</v>
      </c>
      <c r="P20" s="34">
        <f t="shared" ref="P20:P34" si="20">((4170000000000*((($H$9)*($I$9))^0.5)*EXP((-67837/O20)))/(1800*6))*0.00004</f>
        <v>1.1818766994252381E-10</v>
      </c>
      <c r="Q20" s="33">
        <f>((((B20^(1.59-1))/(B19^(1.59-1)))*Q19^(1.59)))^(1/1.59)</f>
        <v>2257.0433370320675</v>
      </c>
      <c r="R20" s="34">
        <f t="shared" ref="R20:R34" si="21">((4170000000000*((($H$10)*($I$10))^0.5)*EXP((-67837/Q20)))/(1800*6))*0.00004</f>
        <v>8.0458313246400161E-11</v>
      </c>
      <c r="S20" s="33">
        <f>((((B20^(1.59-1))/(B19^(1.59-1)))*S19^(1.59)))^(1/1.59)</f>
        <v>2228.0059038490613</v>
      </c>
      <c r="T20" s="34">
        <f t="shared" ref="T20:T34" si="22">((4170000000000*((($H$11)*($I$11))^0.5)*EXP((-67837/S20)))/(1800*6))*0.00004</f>
        <v>5.5335650247404231E-11</v>
      </c>
      <c r="U20" s="33">
        <f>((((B20^(1.59-1))/(B19^(1.59-1)))*U19^(1.59)))^(1/1.59)</f>
        <v>2198.968470666056</v>
      </c>
      <c r="V20" s="34">
        <f t="shared" ref="V20:V34" si="23">((4170000000000*((($H$12)*($I$12))^0.5)*EXP((-67837/U20)))/(1800*6))*0.00004</f>
        <v>3.7654522057515251E-11</v>
      </c>
      <c r="W20" s="113">
        <f>((((B20^(1.59-1))/(B19^(1.59-1)))*W19^(1.59)))^(1/1.59)</f>
        <v>2171.0390320979664</v>
      </c>
      <c r="X20" s="35">
        <f t="shared" ref="X20:X34" si="24">((4170000000000*((($H$13)*($I$13))^0.5)*EXP((-67837/W20)))/(1800*6))*0.00004</f>
        <v>2.5748998062647747E-11</v>
      </c>
    </row>
    <row r="21" spans="1:24" x14ac:dyDescent="0.3">
      <c r="A21" s="7">
        <f t="shared" ref="A21:A34" si="25">A20+1</f>
        <v>2</v>
      </c>
      <c r="B21" s="71">
        <f t="shared" ref="B21:B34" si="26">B20+2</f>
        <v>14</v>
      </c>
      <c r="C21" s="33">
        <f t="shared" ref="C21:C34" si="27">(((B21^(1.59-1))/(B20^(1.59-1)))*C20^(1.59))^(1/1.59)</f>
        <v>2648.9099141216093</v>
      </c>
      <c r="D21" s="34">
        <v>6.0209527302907547E-9</v>
      </c>
      <c r="E21" s="33">
        <f t="shared" ref="E21:E34" si="28">((((B21^(1.59-1))/(B20^(1.59-1)))*E20^(1.59)))^(1/1.59)</f>
        <v>2602.6249855625488</v>
      </c>
      <c r="F21" s="34">
        <f t="shared" si="15"/>
        <v>3.8946820247637947E-9</v>
      </c>
      <c r="G21" s="33">
        <f t="shared" ref="G21:G34" si="29">((((B21^(1.59-1))/(B20^(1.59-1)))*G20^(1.59)))^(1/1.59)</f>
        <v>2563.8969535259043</v>
      </c>
      <c r="H21" s="34">
        <f t="shared" si="16"/>
        <v>2.6786608648289167E-9</v>
      </c>
      <c r="I21" s="33">
        <f t="shared" ref="I21:I34" si="30">((((B21^(1.59-1))/(B20^(1.59-1)))*I20^(1.59)))^(1/1.59)</f>
        <v>2526.4233425993352</v>
      </c>
      <c r="J21" s="34">
        <f t="shared" si="17"/>
        <v>1.8439576276529359E-9</v>
      </c>
      <c r="K21" s="33">
        <f t="shared" ref="K21:K34" si="31">((((B21^(1.59-1))/(B20^(1.59-1)))*K20^(1.59)))^(1/1.59)</f>
        <v>2490.5269504239186</v>
      </c>
      <c r="L21" s="34">
        <f t="shared" si="18"/>
        <v>1.2758315616879723E-9</v>
      </c>
      <c r="M21" s="33">
        <f t="shared" ref="M21:M34" si="32">((((B21^(1.59-1))/(B20^(1.59-1)))*M20^(1.59)))^(1/1.59)</f>
        <v>2455.8039734651834</v>
      </c>
      <c r="N21" s="34">
        <f t="shared" si="19"/>
        <v>8.8410895775769366E-10</v>
      </c>
      <c r="O21" s="33">
        <f t="shared" ref="O21:O34" si="33">((((B21^(1.59-1))/(B20^(1.59-1)))*O20^(1.59)))^(1/1.59)</f>
        <v>2422.3292699550443</v>
      </c>
      <c r="P21" s="34">
        <f t="shared" si="20"/>
        <v>6.1453669050539781E-10</v>
      </c>
      <c r="Q21" s="33">
        <f t="shared" ref="Q21:Q34" si="34">((((B21^(1.59-1))/(B20^(1.59-1)))*Q20^(1.59)))^(1/1.59)</f>
        <v>2389.9113316940161</v>
      </c>
      <c r="R21" s="34">
        <f t="shared" si="21"/>
        <v>4.2781737407015197E-10</v>
      </c>
      <c r="S21" s="33">
        <f t="shared" ref="S21:S34" si="35">((((B21^(1.59-1))/(B20^(1.59-1)))*S20^(1.59)))^(1/1.59)</f>
        <v>2359.1645181664458</v>
      </c>
      <c r="T21" s="34">
        <f t="shared" si="22"/>
        <v>3.007117113520491E-10</v>
      </c>
      <c r="U21" s="33">
        <f t="shared" ref="U21:U34" si="36">((((B21^(1.59-1))/(B20^(1.59-1)))*U20^(1.59)))^(1/1.59)</f>
        <v>2328.4177046388745</v>
      </c>
      <c r="V21" s="34">
        <f t="shared" si="23"/>
        <v>2.092522210148067E-10</v>
      </c>
      <c r="W21" s="113">
        <f t="shared" ref="W21:W34" si="37">((((B21^(1.59-1))/(B20^(1.59-1)))*W20^(1.59)))^(1/1.59)</f>
        <v>2298.8441113336139</v>
      </c>
      <c r="X21" s="35">
        <f t="shared" si="24"/>
        <v>1.4628354239020671E-10</v>
      </c>
    </row>
    <row r="22" spans="1:24" x14ac:dyDescent="0.3">
      <c r="A22" s="7">
        <f t="shared" si="25"/>
        <v>3</v>
      </c>
      <c r="B22" s="71">
        <f t="shared" si="26"/>
        <v>16</v>
      </c>
      <c r="C22" s="33">
        <f t="shared" si="27"/>
        <v>2783.4678737262175</v>
      </c>
      <c r="D22" s="34">
        <v>2.0764631938544163E-8</v>
      </c>
      <c r="E22" s="33">
        <f t="shared" si="28"/>
        <v>2734.8317872383236</v>
      </c>
      <c r="F22" s="34">
        <f t="shared" si="15"/>
        <v>1.3730701382885985E-8</v>
      </c>
      <c r="G22" s="33">
        <f t="shared" si="29"/>
        <v>2694.1364686048146</v>
      </c>
      <c r="H22" s="34">
        <f t="shared" si="16"/>
        <v>9.6250788560678889E-9</v>
      </c>
      <c r="I22" s="33">
        <f t="shared" si="30"/>
        <v>2654.7592925179456</v>
      </c>
      <c r="J22" s="34">
        <f t="shared" si="17"/>
        <v>6.7526905980734698E-9</v>
      </c>
      <c r="K22" s="33">
        <f t="shared" si="31"/>
        <v>2617.0394539268764</v>
      </c>
      <c r="L22" s="34">
        <f t="shared" si="18"/>
        <v>4.7604097270667062E-9</v>
      </c>
      <c r="M22" s="33">
        <f t="shared" si="32"/>
        <v>2580.5526370934604</v>
      </c>
      <c r="N22" s="34">
        <f t="shared" si="19"/>
        <v>3.3607969103071941E-9</v>
      </c>
      <c r="O22" s="33">
        <f t="shared" si="33"/>
        <v>2545.3775028594673</v>
      </c>
      <c r="P22" s="34">
        <f t="shared" si="20"/>
        <v>2.3795704440544549E-9</v>
      </c>
      <c r="Q22" s="33">
        <f t="shared" si="34"/>
        <v>2511.3128148906676</v>
      </c>
      <c r="R22" s="34">
        <f t="shared" si="21"/>
        <v>1.687269363762865E-9</v>
      </c>
      <c r="S22" s="33">
        <f t="shared" si="35"/>
        <v>2479.00414058763</v>
      </c>
      <c r="T22" s="34">
        <f t="shared" si="22"/>
        <v>1.2073772939783028E-9</v>
      </c>
      <c r="U22" s="33">
        <f t="shared" si="36"/>
        <v>2446.6954662845915</v>
      </c>
      <c r="V22" s="34">
        <f t="shared" si="23"/>
        <v>8.5572558087111079E-10</v>
      </c>
      <c r="W22" s="113">
        <f t="shared" si="37"/>
        <v>2415.6196088396114</v>
      </c>
      <c r="X22" s="35">
        <f t="shared" si="24"/>
        <v>6.091562360184204E-10</v>
      </c>
    </row>
    <row r="23" spans="1:24" x14ac:dyDescent="0.3">
      <c r="A23" s="7">
        <f t="shared" si="25"/>
        <v>4</v>
      </c>
      <c r="B23" s="71">
        <f t="shared" si="26"/>
        <v>18</v>
      </c>
      <c r="C23" s="33">
        <f t="shared" si="27"/>
        <v>2907.8187847899194</v>
      </c>
      <c r="D23" s="34">
        <v>5.8878589241649221E-8</v>
      </c>
      <c r="E23" s="33">
        <f t="shared" si="28"/>
        <v>2857.0098901577567</v>
      </c>
      <c r="F23" s="34">
        <f t="shared" si="15"/>
        <v>3.9662079572808171E-8</v>
      </c>
      <c r="G23" s="33">
        <f t="shared" si="29"/>
        <v>2814.4965157112561</v>
      </c>
      <c r="H23" s="34">
        <f t="shared" si="16"/>
        <v>2.8251774746315854E-8</v>
      </c>
      <c r="I23" s="33">
        <f t="shared" si="30"/>
        <v>2773.3601715852183</v>
      </c>
      <c r="J23" s="34">
        <f t="shared" si="17"/>
        <v>2.0139777225948228E-8</v>
      </c>
      <c r="K23" s="33">
        <f t="shared" si="31"/>
        <v>2733.9552062002472</v>
      </c>
      <c r="L23" s="34">
        <f t="shared" si="18"/>
        <v>1.4423222939931207E-8</v>
      </c>
      <c r="M23" s="33">
        <f t="shared" si="32"/>
        <v>2695.8383475912924</v>
      </c>
      <c r="N23" s="34">
        <f t="shared" si="19"/>
        <v>1.0343489838335984E-8</v>
      </c>
      <c r="O23" s="33">
        <f t="shared" si="33"/>
        <v>2659.0917707586336</v>
      </c>
      <c r="P23" s="34">
        <f t="shared" si="20"/>
        <v>7.438241516773232E-9</v>
      </c>
      <c r="Q23" s="33">
        <f t="shared" si="34"/>
        <v>2623.5052491721376</v>
      </c>
      <c r="R23" s="34">
        <f t="shared" si="21"/>
        <v>5.3563650966355006E-9</v>
      </c>
      <c r="S23" s="33">
        <f t="shared" si="35"/>
        <v>2589.7531908362635</v>
      </c>
      <c r="T23" s="34">
        <f t="shared" si="22"/>
        <v>3.8910533664652422E-9</v>
      </c>
      <c r="U23" s="33">
        <f t="shared" si="36"/>
        <v>2556.0011325003907</v>
      </c>
      <c r="V23" s="34">
        <f t="shared" si="23"/>
        <v>2.8007207620135651E-9</v>
      </c>
      <c r="W23" s="113">
        <f t="shared" si="37"/>
        <v>2523.5369668870862</v>
      </c>
      <c r="X23" s="35">
        <f t="shared" si="24"/>
        <v>2.0243630466711402E-9</v>
      </c>
    </row>
    <row r="24" spans="1:24" x14ac:dyDescent="0.3">
      <c r="A24" s="7">
        <f t="shared" si="25"/>
        <v>5</v>
      </c>
      <c r="B24" s="71">
        <f t="shared" si="26"/>
        <v>20</v>
      </c>
      <c r="C24" s="33">
        <f t="shared" si="27"/>
        <v>3023.7545328821511</v>
      </c>
      <c r="D24" s="34">
        <v>1.4402061938585041E-7</v>
      </c>
      <c r="E24" s="33">
        <f t="shared" si="28"/>
        <v>2970.9198699181616</v>
      </c>
      <c r="F24" s="34">
        <f t="shared" si="15"/>
        <v>9.8571471389702631E-8</v>
      </c>
      <c r="G24" s="33">
        <f t="shared" si="29"/>
        <v>2926.7114724199623</v>
      </c>
      <c r="H24" s="34">
        <f t="shared" si="16"/>
        <v>7.118585414995633E-8</v>
      </c>
      <c r="I24" s="33">
        <f t="shared" si="30"/>
        <v>2883.9350079208884</v>
      </c>
      <c r="J24" s="34">
        <f t="shared" si="17"/>
        <v>5.1446483022692768E-8</v>
      </c>
      <c r="K24" s="33">
        <f t="shared" si="31"/>
        <v>2842.9589528365345</v>
      </c>
      <c r="L24" s="34">
        <f t="shared" si="18"/>
        <v>3.7345118741677572E-8</v>
      </c>
      <c r="M24" s="33">
        <f t="shared" si="32"/>
        <v>2803.3223617941567</v>
      </c>
      <c r="N24" s="34">
        <f t="shared" si="19"/>
        <v>2.7144416715615559E-8</v>
      </c>
      <c r="O24" s="33">
        <f t="shared" si="33"/>
        <v>2765.1106861399339</v>
      </c>
      <c r="P24" s="34">
        <f t="shared" si="20"/>
        <v>1.9782179418322741E-8</v>
      </c>
      <c r="Q24" s="33">
        <f t="shared" si="34"/>
        <v>2728.105317538721</v>
      </c>
      <c r="R24" s="34">
        <f t="shared" si="21"/>
        <v>1.4435647936471248E-8</v>
      </c>
      <c r="S24" s="33">
        <f t="shared" si="35"/>
        <v>2693.0075528771008</v>
      </c>
      <c r="T24" s="34">
        <f t="shared" si="22"/>
        <v>1.0622942562536712E-8</v>
      </c>
      <c r="U24" s="33">
        <f t="shared" si="36"/>
        <v>2657.9097882154797</v>
      </c>
      <c r="V24" s="34">
        <f t="shared" si="23"/>
        <v>7.7483136674048934E-9</v>
      </c>
      <c r="W24" s="113">
        <f t="shared" si="37"/>
        <v>2624.1512650080031</v>
      </c>
      <c r="X24" s="35">
        <f t="shared" si="24"/>
        <v>5.6742845257927957E-9</v>
      </c>
    </row>
    <row r="25" spans="1:24" x14ac:dyDescent="0.3">
      <c r="A25" s="7">
        <f t="shared" si="25"/>
        <v>6</v>
      </c>
      <c r="B25" s="71">
        <f t="shared" si="26"/>
        <v>22</v>
      </c>
      <c r="C25" s="33">
        <f t="shared" si="27"/>
        <v>3132.6082132646884</v>
      </c>
      <c r="D25" s="34">
        <v>3.1404305751886813E-7</v>
      </c>
      <c r="E25" s="33">
        <f t="shared" si="28"/>
        <v>3077.8715283432748</v>
      </c>
      <c r="F25" s="34">
        <f t="shared" si="15"/>
        <v>2.1793991312038673E-7</v>
      </c>
      <c r="G25" s="33">
        <f t="shared" si="29"/>
        <v>3032.0716502142345</v>
      </c>
      <c r="H25" s="34">
        <f t="shared" si="16"/>
        <v>1.5928843616073298E-7</v>
      </c>
      <c r="I25" s="33">
        <f t="shared" si="30"/>
        <v>2987.7552539700955</v>
      </c>
      <c r="J25" s="34">
        <f t="shared" si="17"/>
        <v>1.1650231836294747E-7</v>
      </c>
      <c r="K25" s="33">
        <f t="shared" si="31"/>
        <v>2945.3040809967115</v>
      </c>
      <c r="L25" s="34">
        <f t="shared" si="18"/>
        <v>8.5571489765135204E-8</v>
      </c>
      <c r="M25" s="33">
        <f t="shared" si="32"/>
        <v>2904.2405921139634</v>
      </c>
      <c r="N25" s="34">
        <f t="shared" si="19"/>
        <v>6.2931372322732956E-8</v>
      </c>
      <c r="O25" s="33">
        <f t="shared" si="33"/>
        <v>2864.653314874588</v>
      </c>
      <c r="P25" s="34">
        <f t="shared" si="20"/>
        <v>4.6398871776647751E-8</v>
      </c>
      <c r="Q25" s="33">
        <f t="shared" si="34"/>
        <v>2826.3157711505764</v>
      </c>
      <c r="R25" s="34">
        <f t="shared" si="21"/>
        <v>3.4252446208992804E-8</v>
      </c>
      <c r="S25" s="33">
        <f t="shared" si="35"/>
        <v>2789.9545041725219</v>
      </c>
      <c r="T25" s="34">
        <f t="shared" si="22"/>
        <v>2.5491231598577197E-8</v>
      </c>
      <c r="U25" s="33">
        <f t="shared" si="36"/>
        <v>2753.5932371944691</v>
      </c>
      <c r="V25" s="34">
        <f t="shared" si="23"/>
        <v>1.880931658046053E-8</v>
      </c>
      <c r="W25" s="113">
        <f t="shared" si="37"/>
        <v>2718.6194237061673</v>
      </c>
      <c r="X25" s="35">
        <f t="shared" si="24"/>
        <v>1.3932591893460125E-8</v>
      </c>
    </row>
    <row r="26" spans="1:24" x14ac:dyDescent="0.3">
      <c r="A26" s="7">
        <f t="shared" si="25"/>
        <v>7</v>
      </c>
      <c r="B26" s="71">
        <f t="shared" si="26"/>
        <v>24</v>
      </c>
      <c r="C26" s="33">
        <f t="shared" si="27"/>
        <v>3235.4020225527411</v>
      </c>
      <c r="D26" s="34">
        <v>6.2487225977898984E-7</v>
      </c>
      <c r="E26" s="33">
        <f t="shared" si="28"/>
        <v>3178.8692010040131</v>
      </c>
      <c r="F26" s="34">
        <f t="shared" si="15"/>
        <v>4.389880514867421E-7</v>
      </c>
      <c r="G26" s="33">
        <f t="shared" si="29"/>
        <v>3131.5664397765127</v>
      </c>
      <c r="H26" s="34">
        <f t="shared" si="16"/>
        <v>3.2426038164725268E-7</v>
      </c>
      <c r="I26" s="33">
        <f t="shared" si="30"/>
        <v>3085.7958395995088</v>
      </c>
      <c r="J26" s="34">
        <f t="shared" si="17"/>
        <v>2.3967525487694526E-7</v>
      </c>
      <c r="K26" s="33">
        <f t="shared" si="31"/>
        <v>3041.9516683698471</v>
      </c>
      <c r="L26" s="34">
        <f t="shared" si="18"/>
        <v>1.7788249235072936E-7</v>
      </c>
      <c r="M26" s="33">
        <f t="shared" si="32"/>
        <v>2999.5407168752618</v>
      </c>
      <c r="N26" s="34">
        <f t="shared" si="19"/>
        <v>1.3217971001815061E-7</v>
      </c>
      <c r="O26" s="33">
        <f t="shared" si="33"/>
        <v>2958.6544176229982</v>
      </c>
      <c r="P26" s="34">
        <f t="shared" si="20"/>
        <v>9.8459792129020094E-8</v>
      </c>
      <c r="Q26" s="33">
        <f t="shared" si="34"/>
        <v>2919.0588608025987</v>
      </c>
      <c r="R26" s="34">
        <f t="shared" si="21"/>
        <v>7.3430300546092431E-8</v>
      </c>
      <c r="S26" s="33">
        <f t="shared" si="35"/>
        <v>2881.5044305277811</v>
      </c>
      <c r="T26" s="34">
        <f t="shared" si="22"/>
        <v>5.5193867150653702E-8</v>
      </c>
      <c r="U26" s="33">
        <f t="shared" si="36"/>
        <v>2843.9500002529626</v>
      </c>
      <c r="V26" s="34">
        <f t="shared" si="23"/>
        <v>4.1143696451439547E-8</v>
      </c>
      <c r="W26" s="113">
        <f t="shared" si="37"/>
        <v>2807.8285515453645</v>
      </c>
      <c r="X26" s="35">
        <f t="shared" si="24"/>
        <v>3.0784723497561376E-8</v>
      </c>
    </row>
    <row r="27" spans="1:24" x14ac:dyDescent="0.3">
      <c r="A27" s="7">
        <f t="shared" si="25"/>
        <v>8</v>
      </c>
      <c r="B27" s="71">
        <f t="shared" si="26"/>
        <v>26</v>
      </c>
      <c r="C27" s="33">
        <f t="shared" si="27"/>
        <v>3332.9392593367379</v>
      </c>
      <c r="D27" s="34">
        <v>1.1541757185313835E-6</v>
      </c>
      <c r="E27" s="33">
        <f t="shared" si="28"/>
        <v>3274.7021502951329</v>
      </c>
      <c r="F27" s="34">
        <f t="shared" si="15"/>
        <v>8.197330862822585E-7</v>
      </c>
      <c r="G27" s="33">
        <f t="shared" si="29"/>
        <v>3225.9733589822758</v>
      </c>
      <c r="H27" s="34">
        <f t="shared" si="16"/>
        <v>6.1123817162614628E-7</v>
      </c>
      <c r="I27" s="33">
        <f t="shared" si="30"/>
        <v>3178.8229185764308</v>
      </c>
      <c r="J27" s="34">
        <f t="shared" si="17"/>
        <v>4.560615480327109E-7</v>
      </c>
      <c r="K27" s="33">
        <f t="shared" si="31"/>
        <v>3133.6569829165633</v>
      </c>
      <c r="L27" s="34">
        <f t="shared" si="18"/>
        <v>3.4163354608114504E-7</v>
      </c>
      <c r="M27" s="33">
        <f t="shared" si="32"/>
        <v>3089.9674740775349</v>
      </c>
      <c r="N27" s="34">
        <f t="shared" si="19"/>
        <v>2.5621203063520514E-7</v>
      </c>
      <c r="O27" s="33">
        <f t="shared" si="33"/>
        <v>3047.8485809702879</v>
      </c>
      <c r="P27" s="34">
        <f t="shared" si="20"/>
        <v>1.9260420398881294E-7</v>
      </c>
      <c r="Q27" s="33">
        <f t="shared" si="34"/>
        <v>3007.0593421362605</v>
      </c>
      <c r="R27" s="34">
        <f t="shared" si="21"/>
        <v>1.4495558066149274E-7</v>
      </c>
      <c r="S27" s="33">
        <f t="shared" si="35"/>
        <v>2968.3727634197749</v>
      </c>
      <c r="T27" s="34">
        <f t="shared" si="22"/>
        <v>1.0992585645899717E-7</v>
      </c>
      <c r="U27" s="33">
        <f t="shared" si="36"/>
        <v>2929.6861847032883</v>
      </c>
      <c r="V27" s="34">
        <f t="shared" si="23"/>
        <v>8.269198249006155E-8</v>
      </c>
      <c r="W27" s="113">
        <f t="shared" si="37"/>
        <v>2892.4757874597717</v>
      </c>
      <c r="X27" s="35">
        <f t="shared" si="24"/>
        <v>6.2430292829116425E-8</v>
      </c>
    </row>
    <row r="28" spans="1:24" x14ac:dyDescent="0.3">
      <c r="A28" s="7">
        <f t="shared" si="25"/>
        <v>9</v>
      </c>
      <c r="B28" s="71">
        <f t="shared" si="26"/>
        <v>28</v>
      </c>
      <c r="C28" s="33">
        <f t="shared" si="27"/>
        <v>3425.8641956127676</v>
      </c>
      <c r="D28" s="34">
        <v>2.0046422141427194E-6</v>
      </c>
      <c r="E28" s="33">
        <f t="shared" si="28"/>
        <v>3366.0033907202915</v>
      </c>
      <c r="F28" s="34">
        <f t="shared" si="15"/>
        <v>1.4378095641638225E-6</v>
      </c>
      <c r="G28" s="33">
        <f t="shared" si="29"/>
        <v>3315.9160028428942</v>
      </c>
      <c r="H28" s="34">
        <f t="shared" si="16"/>
        <v>1.0812483637377876E-6</v>
      </c>
      <c r="I28" s="33">
        <f t="shared" si="30"/>
        <v>3267.4509715221907</v>
      </c>
      <c r="J28" s="34">
        <f t="shared" si="17"/>
        <v>8.1360334947484646E-7</v>
      </c>
      <c r="K28" s="33">
        <f t="shared" si="31"/>
        <v>3221.0257744817613</v>
      </c>
      <c r="L28" s="34">
        <f t="shared" si="18"/>
        <v>6.1457246199839452E-7</v>
      </c>
      <c r="M28" s="33">
        <f t="shared" si="32"/>
        <v>3176.1181681891399</v>
      </c>
      <c r="N28" s="34">
        <f t="shared" si="19"/>
        <v>4.6474825395110216E-7</v>
      </c>
      <c r="O28" s="33">
        <f t="shared" si="33"/>
        <v>3132.8249676152736</v>
      </c>
      <c r="P28" s="34">
        <f t="shared" si="20"/>
        <v>3.5225560587153777E-7</v>
      </c>
      <c r="Q28" s="33">
        <f t="shared" si="34"/>
        <v>3090.8984931089244</v>
      </c>
      <c r="R28" s="34">
        <f t="shared" si="21"/>
        <v>2.6729054399279796E-7</v>
      </c>
      <c r="S28" s="33">
        <f t="shared" si="35"/>
        <v>3051.1333025179838</v>
      </c>
      <c r="T28" s="34">
        <f t="shared" si="22"/>
        <v>2.0432052466330887E-7</v>
      </c>
      <c r="U28" s="33">
        <f t="shared" si="36"/>
        <v>3011.3681119270368</v>
      </c>
      <c r="V28" s="34">
        <f t="shared" si="23"/>
        <v>1.5496388439509131E-7</v>
      </c>
      <c r="W28" s="113">
        <f t="shared" si="37"/>
        <v>2973.120259895536</v>
      </c>
      <c r="X28" s="35">
        <f t="shared" si="24"/>
        <v>1.1794281463061599E-7</v>
      </c>
    </row>
    <row r="29" spans="1:24" x14ac:dyDescent="0.3">
      <c r="A29" s="7">
        <f t="shared" si="25"/>
        <v>10</v>
      </c>
      <c r="B29" s="71">
        <f t="shared" si="26"/>
        <v>30</v>
      </c>
      <c r="C29" s="33">
        <f t="shared" si="27"/>
        <v>3514.7025132693084</v>
      </c>
      <c r="D29" s="34">
        <v>3.3067650821014309E-6</v>
      </c>
      <c r="E29" s="33">
        <f t="shared" si="28"/>
        <v>3453.2894188240161</v>
      </c>
      <c r="F29" s="34">
        <f t="shared" si="15"/>
        <v>2.3929491615283782E-6</v>
      </c>
      <c r="G29" s="33">
        <f t="shared" si="29"/>
        <v>3401.9031822413676</v>
      </c>
      <c r="H29" s="34">
        <f t="shared" si="16"/>
        <v>1.8134237942779251E-6</v>
      </c>
      <c r="I29" s="33">
        <f t="shared" si="30"/>
        <v>3352.1813726008418</v>
      </c>
      <c r="J29" s="34">
        <f t="shared" si="17"/>
        <v>1.375047196269789E-6</v>
      </c>
      <c r="K29" s="33">
        <f t="shared" si="31"/>
        <v>3304.552293513008</v>
      </c>
      <c r="L29" s="34">
        <f t="shared" si="18"/>
        <v>1.0465568037983054E-6</v>
      </c>
      <c r="M29" s="33">
        <f t="shared" si="32"/>
        <v>3258.4801588079263</v>
      </c>
      <c r="N29" s="34">
        <f t="shared" si="19"/>
        <v>7.9740012895087804E-7</v>
      </c>
      <c r="O29" s="33">
        <f t="shared" si="33"/>
        <v>3214.0642940286739</v>
      </c>
      <c r="P29" s="34">
        <f t="shared" si="20"/>
        <v>6.0891473326362586E-7</v>
      </c>
      <c r="Q29" s="33">
        <f t="shared" si="34"/>
        <v>3171.0505967815043</v>
      </c>
      <c r="R29" s="34">
        <f t="shared" si="21"/>
        <v>4.6548578686446106E-7</v>
      </c>
      <c r="S29" s="33">
        <f t="shared" si="35"/>
        <v>3130.2542291118293</v>
      </c>
      <c r="T29" s="34">
        <f t="shared" si="22"/>
        <v>3.5840557304225448E-7</v>
      </c>
      <c r="U29" s="33">
        <f t="shared" si="36"/>
        <v>3089.4578614421421</v>
      </c>
      <c r="V29" s="34">
        <f t="shared" si="23"/>
        <v>2.7385212033354172E-7</v>
      </c>
      <c r="W29" s="113">
        <f t="shared" si="37"/>
        <v>3050.2181794271833</v>
      </c>
      <c r="X29" s="35">
        <f t="shared" si="24"/>
        <v>2.099608486401855E-7</v>
      </c>
    </row>
    <row r="30" spans="1:24" x14ac:dyDescent="0.3">
      <c r="A30" s="7">
        <f t="shared" si="25"/>
        <v>11</v>
      </c>
      <c r="B30" s="71">
        <f t="shared" si="26"/>
        <v>32</v>
      </c>
      <c r="C30" s="33">
        <f t="shared" si="27"/>
        <v>3599.8894780833489</v>
      </c>
      <c r="D30" s="34">
        <v>5.2210734581883081E-6</v>
      </c>
      <c r="E30" s="33">
        <f t="shared" si="28"/>
        <v>3536.9878948980054</v>
      </c>
      <c r="F30" s="34">
        <f t="shared" si="15"/>
        <v>3.8090571801061444E-6</v>
      </c>
      <c r="G30" s="33">
        <f t="shared" si="29"/>
        <v>3484.3561937244945</v>
      </c>
      <c r="H30" s="34">
        <f t="shared" si="16"/>
        <v>2.9069182410569063E-6</v>
      </c>
      <c r="I30" s="33">
        <f t="shared" si="30"/>
        <v>3433.4292607392908</v>
      </c>
      <c r="J30" s="34">
        <f t="shared" si="17"/>
        <v>2.2196823247604056E-6</v>
      </c>
      <c r="K30" s="33">
        <f t="shared" si="31"/>
        <v>3384.645780484057</v>
      </c>
      <c r="L30" s="34">
        <f t="shared" si="18"/>
        <v>1.7011146237522285E-6</v>
      </c>
      <c r="M30" s="33">
        <f t="shared" si="32"/>
        <v>3337.4569807687189</v>
      </c>
      <c r="N30" s="34">
        <f t="shared" si="19"/>
        <v>1.3050586250373507E-6</v>
      </c>
      <c r="O30" s="33">
        <f t="shared" si="33"/>
        <v>3291.9645945211914</v>
      </c>
      <c r="P30" s="34">
        <f t="shared" si="20"/>
        <v>1.0033833167575859E-6</v>
      </c>
      <c r="Q30" s="33">
        <f t="shared" si="34"/>
        <v>3247.9083605870378</v>
      </c>
      <c r="R30" s="34">
        <f t="shared" si="21"/>
        <v>7.7225209996031544E-7</v>
      </c>
      <c r="S30" s="33">
        <f t="shared" si="35"/>
        <v>3206.1231983539324</v>
      </c>
      <c r="T30" s="34">
        <f t="shared" si="22"/>
        <v>5.9853940919105652E-7</v>
      </c>
      <c r="U30" s="33">
        <f t="shared" si="36"/>
        <v>3164.3380361208028</v>
      </c>
      <c r="V30" s="34">
        <f t="shared" si="23"/>
        <v>4.6044217953782895E-7</v>
      </c>
      <c r="W30" s="113">
        <f t="shared" si="37"/>
        <v>3124.1472894286762</v>
      </c>
      <c r="X30" s="35">
        <f t="shared" si="24"/>
        <v>3.5538599882520999E-7</v>
      </c>
    </row>
    <row r="31" spans="1:24" x14ac:dyDescent="0.3">
      <c r="A31" s="7">
        <f t="shared" si="25"/>
        <v>12</v>
      </c>
      <c r="B31" s="71">
        <f t="shared" si="26"/>
        <v>34</v>
      </c>
      <c r="C31" s="33">
        <f t="shared" si="27"/>
        <v>3681.7900969955599</v>
      </c>
      <c r="D31" s="34">
        <v>7.9397986723893065E-6</v>
      </c>
      <c r="E31" s="33">
        <f t="shared" si="28"/>
        <v>3617.4574480442252</v>
      </c>
      <c r="F31" s="34">
        <f t="shared" si="15"/>
        <v>5.8358583189957847E-6</v>
      </c>
      <c r="G31" s="33">
        <f t="shared" si="29"/>
        <v>3563.6283298592321</v>
      </c>
      <c r="H31" s="34">
        <f t="shared" si="16"/>
        <v>4.4824851055812996E-6</v>
      </c>
      <c r="I31" s="33">
        <f t="shared" si="30"/>
        <v>3511.5427648226328</v>
      </c>
      <c r="J31" s="34">
        <f t="shared" si="17"/>
        <v>3.4448211625502131E-6</v>
      </c>
      <c r="K31" s="33">
        <f t="shared" si="31"/>
        <v>3461.6494179312313</v>
      </c>
      <c r="L31" s="34">
        <f t="shared" si="18"/>
        <v>2.6568103913032113E-6</v>
      </c>
      <c r="M31" s="33">
        <f t="shared" si="32"/>
        <v>3413.3870319500043</v>
      </c>
      <c r="N31" s="34">
        <f t="shared" si="19"/>
        <v>2.0511372655080107E-6</v>
      </c>
      <c r="O31" s="33">
        <f t="shared" si="33"/>
        <v>3366.859654319499</v>
      </c>
      <c r="P31" s="34">
        <f t="shared" si="20"/>
        <v>1.5868840200434899E-6</v>
      </c>
      <c r="Q31" s="33">
        <f t="shared" si="34"/>
        <v>3321.8011027175071</v>
      </c>
      <c r="R31" s="34">
        <f t="shared" si="21"/>
        <v>1.2289601636211126E-6</v>
      </c>
      <c r="S31" s="33">
        <f t="shared" si="35"/>
        <v>3279.0652916744721</v>
      </c>
      <c r="T31" s="34">
        <f t="shared" si="22"/>
        <v>9.5829941927962517E-7</v>
      </c>
      <c r="U31" s="33">
        <f t="shared" si="36"/>
        <v>3236.3294806314011</v>
      </c>
      <c r="V31" s="34">
        <f t="shared" si="23"/>
        <v>7.4179310861693404E-7</v>
      </c>
      <c r="W31" s="113">
        <f t="shared" si="37"/>
        <v>3195.2243594706561</v>
      </c>
      <c r="X31" s="35">
        <f t="shared" si="24"/>
        <v>5.7606614701369091E-7</v>
      </c>
    </row>
    <row r="32" spans="1:24" x14ac:dyDescent="0.3">
      <c r="A32" s="7">
        <f t="shared" si="25"/>
        <v>13</v>
      </c>
      <c r="B32" s="71">
        <f t="shared" si="26"/>
        <v>36</v>
      </c>
      <c r="C32" s="33">
        <f t="shared" si="27"/>
        <v>3760.7138729160656</v>
      </c>
      <c r="D32" s="34">
        <v>1.1687993249156364E-5</v>
      </c>
      <c r="E32" s="33">
        <f t="shared" si="28"/>
        <v>3695.0021731670354</v>
      </c>
      <c r="F32" s="34">
        <f t="shared" si="15"/>
        <v>8.6501107299505182E-6</v>
      </c>
      <c r="G32" s="33">
        <f t="shared" si="29"/>
        <v>3640.0191605041637</v>
      </c>
      <c r="H32" s="34">
        <f t="shared" si="16"/>
        <v>6.6837086014611877E-6</v>
      </c>
      <c r="I32" s="33">
        <f t="shared" si="30"/>
        <v>3586.8170762322625</v>
      </c>
      <c r="J32" s="34">
        <f t="shared" si="17"/>
        <v>5.1670038029507528E-6</v>
      </c>
      <c r="K32" s="33">
        <f t="shared" si="31"/>
        <v>3535.8542030435319</v>
      </c>
      <c r="L32" s="34">
        <f t="shared" si="18"/>
        <v>4.0083941469069395E-6</v>
      </c>
      <c r="M32" s="33">
        <f t="shared" si="32"/>
        <v>3486.557252452089</v>
      </c>
      <c r="N32" s="34">
        <f t="shared" si="19"/>
        <v>3.1126477422662655E-6</v>
      </c>
      <c r="O32" s="33">
        <f t="shared" si="33"/>
        <v>3439.0325022855304</v>
      </c>
      <c r="P32" s="34">
        <f t="shared" si="20"/>
        <v>2.4220526764624304E-6</v>
      </c>
      <c r="Q32" s="33">
        <f t="shared" si="34"/>
        <v>3393.0080642706116</v>
      </c>
      <c r="R32" s="34">
        <f t="shared" si="21"/>
        <v>1.8865449828317664E-6</v>
      </c>
      <c r="S32" s="33">
        <f t="shared" si="35"/>
        <v>3349.3561576638199</v>
      </c>
      <c r="T32" s="34">
        <f t="shared" si="22"/>
        <v>1.4793004668141009E-6</v>
      </c>
      <c r="U32" s="33">
        <f t="shared" si="36"/>
        <v>3305.7042510569854</v>
      </c>
      <c r="V32" s="34">
        <f t="shared" si="23"/>
        <v>1.1516694308296429E-6</v>
      </c>
      <c r="W32" s="113">
        <f t="shared" si="37"/>
        <v>3263.7179902097864</v>
      </c>
      <c r="X32" s="35">
        <f t="shared" si="24"/>
        <v>8.9944602687528997E-7</v>
      </c>
    </row>
    <row r="33" spans="1:24" x14ac:dyDescent="0.3">
      <c r="A33" s="7">
        <f t="shared" si="25"/>
        <v>14</v>
      </c>
      <c r="B33" s="71">
        <f t="shared" si="26"/>
        <v>38</v>
      </c>
      <c r="C33" s="33">
        <f t="shared" si="27"/>
        <v>3836.9258220098877</v>
      </c>
      <c r="D33" s="34">
        <v>1.6724140018194014E-5</v>
      </c>
      <c r="E33" s="33">
        <f t="shared" si="28"/>
        <v>3769.8824557514195</v>
      </c>
      <c r="F33" s="34">
        <f t="shared" si="15"/>
        <v>1.245640612041391E-5</v>
      </c>
      <c r="G33" s="33">
        <f t="shared" si="29"/>
        <v>3713.7851965109858</v>
      </c>
      <c r="H33" s="34">
        <f t="shared" si="16"/>
        <v>9.6778930310272049E-6</v>
      </c>
      <c r="I33" s="33">
        <f t="shared" si="30"/>
        <v>3659.5049566879757</v>
      </c>
      <c r="J33" s="34">
        <f t="shared" si="17"/>
        <v>7.5229234255412305E-6</v>
      </c>
      <c r="K33" s="33">
        <f t="shared" si="31"/>
        <v>3607.509306205257</v>
      </c>
      <c r="L33" s="34">
        <f t="shared" si="18"/>
        <v>5.8677250766771872E-6</v>
      </c>
      <c r="M33" s="33">
        <f t="shared" si="32"/>
        <v>3557.2133387207682</v>
      </c>
      <c r="N33" s="34">
        <f t="shared" si="19"/>
        <v>4.5810953616816596E-6</v>
      </c>
      <c r="O33" s="33">
        <f t="shared" si="33"/>
        <v>3508.7254858128726</v>
      </c>
      <c r="P33" s="34">
        <f t="shared" si="20"/>
        <v>3.5837883328825756E-6</v>
      </c>
      <c r="Q33" s="33">
        <f t="shared" si="34"/>
        <v>3461.7683493142094</v>
      </c>
      <c r="R33" s="34">
        <f t="shared" si="21"/>
        <v>2.8062996986002877E-6</v>
      </c>
      <c r="S33" s="33">
        <f t="shared" si="35"/>
        <v>3417.2318242555525</v>
      </c>
      <c r="T33" s="34">
        <f t="shared" si="22"/>
        <v>2.2119282068607172E-6</v>
      </c>
      <c r="U33" s="33">
        <f t="shared" si="36"/>
        <v>3372.6952991968524</v>
      </c>
      <c r="V33" s="34">
        <f t="shared" si="23"/>
        <v>1.7312093259748725E-6</v>
      </c>
      <c r="W33" s="113">
        <f t="shared" si="37"/>
        <v>3329.8581746885361</v>
      </c>
      <c r="X33" s="35">
        <f t="shared" si="24"/>
        <v>1.3591711772898699E-6</v>
      </c>
    </row>
    <row r="34" spans="1:24" s="39" customFormat="1" ht="15" thickBot="1" x14ac:dyDescent="0.35">
      <c r="A34" s="7">
        <f t="shared" si="25"/>
        <v>15</v>
      </c>
      <c r="B34" s="71">
        <f t="shared" si="26"/>
        <v>40</v>
      </c>
      <c r="C34" s="33">
        <f t="shared" si="27"/>
        <v>3910.6548453377177</v>
      </c>
      <c r="D34" s="34">
        <v>2.3340300793862962E-5</v>
      </c>
      <c r="E34" s="33">
        <f t="shared" si="28"/>
        <v>3842.3231972244139</v>
      </c>
      <c r="F34" s="34">
        <f t="shared" si="15"/>
        <v>1.7487586006621362E-5</v>
      </c>
      <c r="G34" s="33">
        <f t="shared" si="29"/>
        <v>3785.147992689484</v>
      </c>
      <c r="H34" s="34">
        <f t="shared" si="16"/>
        <v>1.3656627695299322E-5</v>
      </c>
      <c r="I34" s="33">
        <f t="shared" si="30"/>
        <v>3729.8247227809834</v>
      </c>
      <c r="J34" s="34">
        <f t="shared" si="17"/>
        <v>1.0670080782681188E-5</v>
      </c>
      <c r="K34" s="33">
        <f t="shared" si="31"/>
        <v>3676.8299420817266</v>
      </c>
      <c r="L34" s="34">
        <f t="shared" si="18"/>
        <v>8.3644708156171413E-6</v>
      </c>
      <c r="M34" s="33">
        <f t="shared" si="32"/>
        <v>3625.5675048941521</v>
      </c>
      <c r="N34" s="34">
        <f t="shared" si="19"/>
        <v>6.5631908247398891E-6</v>
      </c>
      <c r="O34" s="33">
        <f t="shared" si="33"/>
        <v>3576.1479263798788</v>
      </c>
      <c r="P34" s="34">
        <f t="shared" si="20"/>
        <v>5.1599543857089138E-6</v>
      </c>
      <c r="Q34" s="33">
        <f t="shared" si="34"/>
        <v>3528.2884779854635</v>
      </c>
      <c r="R34" s="34">
        <f t="shared" si="21"/>
        <v>4.0605500492052108E-6</v>
      </c>
      <c r="S34" s="33">
        <f t="shared" si="35"/>
        <v>3482.896154653055</v>
      </c>
      <c r="T34" s="34">
        <f t="shared" si="22"/>
        <v>3.2159774029095332E-6</v>
      </c>
      <c r="U34" s="33">
        <f t="shared" si="36"/>
        <v>3437.5038313205955</v>
      </c>
      <c r="V34" s="34">
        <f t="shared" si="23"/>
        <v>2.5295188216847928E-6</v>
      </c>
      <c r="W34" s="113">
        <f t="shared" si="37"/>
        <v>3393.8435636245599</v>
      </c>
      <c r="X34" s="35">
        <f t="shared" si="24"/>
        <v>1.995635080960957E-6</v>
      </c>
    </row>
    <row r="35" spans="1:24" ht="15" thickBot="1" x14ac:dyDescent="0.35">
      <c r="A35" s="77" t="s">
        <v>106</v>
      </c>
      <c r="B35" s="36" t="s">
        <v>107</v>
      </c>
      <c r="C35" s="77">
        <f>AVERAGE(D19:D34)</f>
        <v>4.5343139025801741E-6</v>
      </c>
      <c r="D35" s="114">
        <f>SUM(D19:D34)</f>
        <v>7.2549022441282786E-5</v>
      </c>
      <c r="E35" s="77">
        <f>AVERAGE(F19:F34)</f>
        <v>3.3564536477566385E-6</v>
      </c>
      <c r="F35" s="114">
        <f>SUM(F19:F34)</f>
        <v>5.3703258364106216E-5</v>
      </c>
      <c r="G35" s="77">
        <f>AVERAGE(H19:H34)</f>
        <v>2.5943423029374302E-6</v>
      </c>
      <c r="H35" s="114">
        <f>SUM(H19:H34)</f>
        <v>4.1509476846998884E-5</v>
      </c>
      <c r="I35" s="77">
        <f>AVERAGE(J19:J34)</f>
        <v>2.006625969308265E-6</v>
      </c>
      <c r="J35" s="114">
        <f>SUM(J19:J34)</f>
        <v>3.210601550893224E-5</v>
      </c>
      <c r="K35" s="77">
        <f>AVERAGE(L19:L34)</f>
        <v>1.5576767015269163E-6</v>
      </c>
      <c r="L35" s="114">
        <f>SUM(L19:L34)</f>
        <v>2.4922827224430661E-5</v>
      </c>
      <c r="M35" s="77">
        <f>AVERAGE(N19:N34)</f>
        <v>1.210533154406901E-6</v>
      </c>
      <c r="N35" s="114">
        <f>SUM(N19:N34)</f>
        <v>1.9368530470510415E-5</v>
      </c>
      <c r="O35" s="77">
        <f>AVERAGE(P19:P34)</f>
        <v>9.4281521781670592E-7</v>
      </c>
      <c r="P35" s="114">
        <f>SUM(P19:P34)</f>
        <v>1.5085043485067295E-5</v>
      </c>
      <c r="Q35" s="77">
        <f>AVERAGE(R19:R34)</f>
        <v>7.3512618914840058E-7</v>
      </c>
      <c r="R35" s="114">
        <f>SUM(R19:R34)</f>
        <v>1.1762019026374409E-5</v>
      </c>
      <c r="S35" s="77">
        <f>AVERAGE(T19:T34)</f>
        <v>5.77091621677621E-7</v>
      </c>
      <c r="T35" s="114">
        <f>SUM(T19:T34)</f>
        <v>9.233465946841936E-6</v>
      </c>
      <c r="U35" s="77">
        <f>AVERAGE(V19:V34)</f>
        <v>4.4985936744840406E-7</v>
      </c>
      <c r="V35" s="114">
        <f>SUM(V19:V34)</f>
        <v>7.197749879174465E-6</v>
      </c>
      <c r="W35" s="78">
        <f>AVERAGE(X19:X34)</f>
        <v>3.518274018101627E-7</v>
      </c>
      <c r="X35" s="115">
        <f>SUM(X19:X34)</f>
        <v>5.6292384289626033E-6</v>
      </c>
    </row>
    <row r="36" spans="1:24" ht="15" thickBot="1" x14ac:dyDescent="0.35">
      <c r="A36" s="32"/>
      <c r="B36" s="32"/>
      <c r="C36" s="32"/>
      <c r="D36" s="77">
        <f>(D35/F3)*1000000</f>
        <v>3246612.9274572115</v>
      </c>
      <c r="E36" s="32"/>
      <c r="F36" s="77">
        <f>(F35/F4)*1000000</f>
        <v>2356130.892459569</v>
      </c>
      <c r="G36" s="32"/>
      <c r="H36" s="77">
        <f>(H35/F5)*1000000</f>
        <v>1786129.1951368263</v>
      </c>
      <c r="I36" s="32"/>
      <c r="J36" s="77">
        <f>(J35/F6)*1000000</f>
        <v>1355437.492963373</v>
      </c>
      <c r="K36" s="32"/>
      <c r="L36" s="77">
        <f>(L35/F7)*1000000</f>
        <v>1032696.0121791764</v>
      </c>
      <c r="M36" s="32"/>
      <c r="N36" s="77">
        <f>(N35/F8)*1000000</f>
        <v>787957.75595361809</v>
      </c>
      <c r="O36" s="32"/>
      <c r="P36" s="77">
        <f>(P35/F9)*1000000</f>
        <v>602736.50075603824</v>
      </c>
      <c r="Q36" s="32"/>
      <c r="R36" s="77">
        <f>(R35/F10)*1000000</f>
        <v>461717.11668178125</v>
      </c>
      <c r="S36" s="32"/>
      <c r="T36" s="77">
        <f>(T35/F11)*1000000</f>
        <v>356209.67511901126</v>
      </c>
      <c r="U36" s="32"/>
      <c r="V36" s="77">
        <f>(V35/F12)*1000000</f>
        <v>272969.22848767118</v>
      </c>
      <c r="W36" s="39"/>
      <c r="X36" s="77">
        <f>(X35/F13)*1000000</f>
        <v>209926.53932725839</v>
      </c>
    </row>
  </sheetData>
  <mergeCells count="13">
    <mergeCell ref="W16:X16"/>
    <mergeCell ref="K16:L16"/>
    <mergeCell ref="M16:N16"/>
    <mergeCell ref="O16:P16"/>
    <mergeCell ref="Q16:R16"/>
    <mergeCell ref="S16:T16"/>
    <mergeCell ref="U16:V16"/>
    <mergeCell ref="C16:D16"/>
    <mergeCell ref="E16:F16"/>
    <mergeCell ref="G16:H16"/>
    <mergeCell ref="I16:J16"/>
    <mergeCell ref="A1:L1"/>
    <mergeCell ref="A15:X1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23664-6FCB-4EB0-8E54-5BBB9902EA5A}">
  <dimension ref="A1:AH68"/>
  <sheetViews>
    <sheetView topLeftCell="E28" zoomScaleNormal="100" workbookViewId="0">
      <selection activeCell="W49" sqref="W49"/>
    </sheetView>
  </sheetViews>
  <sheetFormatPr defaultRowHeight="14.4" x14ac:dyDescent="0.3"/>
  <cols>
    <col min="1" max="12" width="8.88671875" style="1"/>
    <col min="13" max="13" width="8.88671875" style="1" customWidth="1"/>
    <col min="14" max="15" width="8.88671875" style="1"/>
    <col min="16" max="16" width="8.88671875" style="1" customWidth="1"/>
    <col min="17" max="17" width="10.77734375" style="1" customWidth="1"/>
    <col min="18" max="21" width="8.88671875" style="1"/>
    <col min="22" max="22" width="10.77734375" style="1" customWidth="1"/>
    <col min="23" max="26" width="8.88671875" style="1"/>
  </cols>
  <sheetData>
    <row r="1" spans="1:29" x14ac:dyDescent="0.3">
      <c r="A1" s="84" t="s">
        <v>26</v>
      </c>
      <c r="B1" s="85"/>
      <c r="C1" s="86"/>
      <c r="E1" s="84" t="s">
        <v>13</v>
      </c>
      <c r="F1" s="85"/>
      <c r="G1" s="86"/>
      <c r="I1" s="84" t="s">
        <v>14</v>
      </c>
      <c r="J1" s="85"/>
      <c r="K1" s="86"/>
      <c r="M1" s="84" t="s">
        <v>27</v>
      </c>
      <c r="N1" s="85"/>
      <c r="O1" s="86"/>
      <c r="Q1" s="84" t="s">
        <v>19</v>
      </c>
      <c r="R1" s="85"/>
      <c r="S1" s="85"/>
      <c r="T1" s="86"/>
      <c r="V1" s="84" t="s">
        <v>78</v>
      </c>
      <c r="W1" s="85"/>
      <c r="X1" s="85"/>
      <c r="Y1" s="86"/>
    </row>
    <row r="2" spans="1:29" x14ac:dyDescent="0.3">
      <c r="A2" s="46" t="s">
        <v>8</v>
      </c>
      <c r="B2" s="47" t="s">
        <v>9</v>
      </c>
      <c r="C2" s="48" t="s">
        <v>11</v>
      </c>
      <c r="E2" s="46" t="s">
        <v>8</v>
      </c>
      <c r="F2" s="47" t="s">
        <v>9</v>
      </c>
      <c r="G2" s="48" t="s">
        <v>11</v>
      </c>
      <c r="I2" s="46" t="s">
        <v>8</v>
      </c>
      <c r="J2" s="47" t="s">
        <v>9</v>
      </c>
      <c r="K2" s="48" t="s">
        <v>11</v>
      </c>
      <c r="M2" s="46" t="s">
        <v>8</v>
      </c>
      <c r="N2" s="47" t="s">
        <v>9</v>
      </c>
      <c r="O2" s="48" t="s">
        <v>11</v>
      </c>
      <c r="Q2" s="46" t="s">
        <v>15</v>
      </c>
      <c r="R2" s="47" t="s">
        <v>18</v>
      </c>
      <c r="S2" s="47" t="s">
        <v>23</v>
      </c>
      <c r="T2" s="48" t="s">
        <v>24</v>
      </c>
      <c r="V2" s="46" t="s">
        <v>15</v>
      </c>
      <c r="W2" s="47" t="s">
        <v>18</v>
      </c>
      <c r="X2" s="47" t="s">
        <v>80</v>
      </c>
      <c r="Y2" s="48" t="s">
        <v>24</v>
      </c>
    </row>
    <row r="3" spans="1:29" x14ac:dyDescent="0.3">
      <c r="A3" s="53" t="s">
        <v>5</v>
      </c>
      <c r="B3" s="50" t="s">
        <v>10</v>
      </c>
      <c r="C3" s="51" t="s">
        <v>12</v>
      </c>
      <c r="E3" s="53" t="s">
        <v>5</v>
      </c>
      <c r="F3" s="50" t="s">
        <v>10</v>
      </c>
      <c r="G3" s="51" t="s">
        <v>12</v>
      </c>
      <c r="I3" s="53" t="s">
        <v>5</v>
      </c>
      <c r="J3" s="50" t="s">
        <v>10</v>
      </c>
      <c r="K3" s="51" t="s">
        <v>12</v>
      </c>
      <c r="M3" s="53" t="s">
        <v>5</v>
      </c>
      <c r="N3" s="50" t="s">
        <v>10</v>
      </c>
      <c r="O3" s="51" t="s">
        <v>12</v>
      </c>
      <c r="Q3" s="53" t="s">
        <v>16</v>
      </c>
      <c r="R3" s="56" t="s">
        <v>20</v>
      </c>
      <c r="S3" s="58">
        <v>675.6</v>
      </c>
      <c r="T3" s="51" t="s">
        <v>22</v>
      </c>
      <c r="V3" s="53" t="s">
        <v>16</v>
      </c>
      <c r="W3" s="56" t="s">
        <v>20</v>
      </c>
      <c r="X3" s="60">
        <f>((B49*(B51*0.4))/((B53*293)))</f>
        <v>2.1043355889180432E-5</v>
      </c>
      <c r="Y3" s="51" t="s">
        <v>79</v>
      </c>
    </row>
    <row r="4" spans="1:29" ht="15" thickBot="1" x14ac:dyDescent="0.35">
      <c r="A4" s="53">
        <v>1000</v>
      </c>
      <c r="B4" s="66">
        <v>54.36</v>
      </c>
      <c r="C4" s="67">
        <v>33.42</v>
      </c>
      <c r="E4" s="53">
        <v>1000</v>
      </c>
      <c r="F4" s="66">
        <v>41.31</v>
      </c>
      <c r="G4" s="67">
        <v>25.99</v>
      </c>
      <c r="I4" s="53">
        <v>1000</v>
      </c>
      <c r="J4" s="66">
        <v>32.76</v>
      </c>
      <c r="K4" s="67">
        <v>21.47</v>
      </c>
      <c r="M4" s="53">
        <v>1000</v>
      </c>
      <c r="N4" s="66">
        <v>34.93</v>
      </c>
      <c r="O4" s="67">
        <v>22.72</v>
      </c>
      <c r="Q4" s="54" t="s">
        <v>17</v>
      </c>
      <c r="R4" s="57" t="s">
        <v>21</v>
      </c>
      <c r="S4" s="59">
        <v>5065</v>
      </c>
      <c r="T4" s="55" t="s">
        <v>22</v>
      </c>
      <c r="V4" s="54" t="s">
        <v>17</v>
      </c>
      <c r="W4" s="57" t="s">
        <v>21</v>
      </c>
      <c r="X4" s="61">
        <f>((B49*(B51*0.4))/((B52*293)))</f>
        <v>6.5681391066181401E-7</v>
      </c>
      <c r="Y4" s="55" t="s">
        <v>79</v>
      </c>
    </row>
    <row r="5" spans="1:29" ht="15" thickBot="1" x14ac:dyDescent="0.35">
      <c r="A5" s="53">
        <f>A4+50</f>
        <v>1050</v>
      </c>
      <c r="B5" s="66">
        <v>54.86</v>
      </c>
      <c r="C5" s="67">
        <v>36.15</v>
      </c>
      <c r="E5" s="53">
        <f>E4+50</f>
        <v>1050</v>
      </c>
      <c r="F5" s="66">
        <v>41.99</v>
      </c>
      <c r="G5" s="67">
        <v>28.07</v>
      </c>
      <c r="I5" s="53">
        <f>I4+50</f>
        <v>1050</v>
      </c>
      <c r="J5" s="66">
        <v>33.01</v>
      </c>
      <c r="K5" s="67">
        <v>23.11</v>
      </c>
      <c r="M5" s="53">
        <f>M4+50</f>
        <v>1050</v>
      </c>
      <c r="N5" s="66">
        <v>35.1</v>
      </c>
      <c r="O5" s="67">
        <v>24.47</v>
      </c>
      <c r="Q5" s="2"/>
    </row>
    <row r="6" spans="1:29" x14ac:dyDescent="0.3">
      <c r="A6" s="53">
        <f t="shared" ref="A6:A23" si="0">A5+50</f>
        <v>1100</v>
      </c>
      <c r="B6" s="66">
        <v>55.33</v>
      </c>
      <c r="C6" s="67">
        <v>38.909999999999997</v>
      </c>
      <c r="E6" s="53">
        <f t="shared" ref="E6:E23" si="1">E5+50</f>
        <v>1100</v>
      </c>
      <c r="F6" s="66">
        <v>42.64</v>
      </c>
      <c r="G6" s="67">
        <v>30.19</v>
      </c>
      <c r="I6" s="53">
        <f t="shared" ref="I6:I23" si="2">I5+50</f>
        <v>1100</v>
      </c>
      <c r="J6" s="66">
        <v>33.26</v>
      </c>
      <c r="K6" s="67">
        <v>24.77</v>
      </c>
      <c r="M6" s="53">
        <f t="shared" ref="M6:M23" si="3">M5+50</f>
        <v>1100</v>
      </c>
      <c r="N6" s="66">
        <v>35.270000000000003</v>
      </c>
      <c r="O6" s="67">
        <v>26.23</v>
      </c>
      <c r="Q6" s="92" t="s">
        <v>74</v>
      </c>
      <c r="R6" s="93"/>
      <c r="S6" s="93"/>
      <c r="T6" s="93"/>
      <c r="U6" s="93"/>
      <c r="V6" s="93"/>
      <c r="W6" s="93"/>
      <c r="X6" s="93"/>
      <c r="Y6" s="94"/>
    </row>
    <row r="7" spans="1:29" x14ac:dyDescent="0.3">
      <c r="A7" s="53">
        <f t="shared" si="0"/>
        <v>1150</v>
      </c>
      <c r="B7" s="66">
        <v>55.78</v>
      </c>
      <c r="C7" s="67">
        <v>41.69</v>
      </c>
      <c r="E7" s="53">
        <f t="shared" si="1"/>
        <v>1150</v>
      </c>
      <c r="F7" s="66">
        <v>43.26</v>
      </c>
      <c r="G7" s="67">
        <v>32.340000000000003</v>
      </c>
      <c r="I7" s="53">
        <f t="shared" si="2"/>
        <v>1150</v>
      </c>
      <c r="J7" s="66">
        <v>33.49</v>
      </c>
      <c r="K7" s="67">
        <v>26.44</v>
      </c>
      <c r="M7" s="53">
        <f t="shared" si="3"/>
        <v>1150</v>
      </c>
      <c r="N7" s="66">
        <v>35.43</v>
      </c>
      <c r="O7" s="67">
        <v>28</v>
      </c>
      <c r="Q7" s="49" t="s">
        <v>7</v>
      </c>
      <c r="R7" s="87" t="s">
        <v>77</v>
      </c>
      <c r="S7" s="87"/>
      <c r="T7" s="87"/>
      <c r="U7" s="87"/>
      <c r="V7" s="87" t="s">
        <v>76</v>
      </c>
      <c r="W7" s="87"/>
      <c r="X7" s="87"/>
      <c r="Y7" s="88"/>
      <c r="Z7" s="16"/>
      <c r="AA7" s="16"/>
      <c r="AB7" s="16"/>
      <c r="AC7" s="16"/>
    </row>
    <row r="8" spans="1:29" x14ac:dyDescent="0.3">
      <c r="A8" s="53">
        <f t="shared" si="0"/>
        <v>1200</v>
      </c>
      <c r="B8" s="66">
        <v>56.2</v>
      </c>
      <c r="C8" s="67">
        <v>44.49</v>
      </c>
      <c r="E8" s="53">
        <f t="shared" si="1"/>
        <v>1200</v>
      </c>
      <c r="F8" s="66">
        <v>43.87</v>
      </c>
      <c r="G8" s="67">
        <v>34.520000000000003</v>
      </c>
      <c r="I8" s="53">
        <f t="shared" si="2"/>
        <v>1200</v>
      </c>
      <c r="J8" s="66">
        <v>33.71</v>
      </c>
      <c r="K8" s="67">
        <v>28.12</v>
      </c>
      <c r="M8" s="53">
        <f t="shared" si="3"/>
        <v>1200</v>
      </c>
      <c r="N8" s="66">
        <v>35.590000000000003</v>
      </c>
      <c r="O8" s="67">
        <v>29.77</v>
      </c>
      <c r="Q8" s="53">
        <v>0.6</v>
      </c>
      <c r="R8" s="89" t="s">
        <v>28</v>
      </c>
      <c r="S8" s="89"/>
      <c r="T8" s="89"/>
      <c r="U8" s="89"/>
      <c r="V8" s="89" t="s">
        <v>43</v>
      </c>
      <c r="W8" s="89"/>
      <c r="X8" s="89"/>
      <c r="Y8" s="95"/>
      <c r="Z8" s="16"/>
      <c r="AA8" s="16"/>
      <c r="AB8" s="16"/>
      <c r="AC8" s="16"/>
    </row>
    <row r="9" spans="1:29" x14ac:dyDescent="0.3">
      <c r="A9" s="53">
        <f t="shared" si="0"/>
        <v>1250</v>
      </c>
      <c r="B9" s="66">
        <v>56.6</v>
      </c>
      <c r="C9" s="67">
        <v>47.31</v>
      </c>
      <c r="E9" s="53">
        <f t="shared" si="1"/>
        <v>1250</v>
      </c>
      <c r="F9" s="66">
        <v>44.46</v>
      </c>
      <c r="G9" s="67">
        <v>36.72</v>
      </c>
      <c r="I9" s="53">
        <f t="shared" si="2"/>
        <v>1250</v>
      </c>
      <c r="J9" s="66">
        <v>33.909999999999997</v>
      </c>
      <c r="K9" s="67">
        <v>29.81</v>
      </c>
      <c r="M9" s="53">
        <f t="shared" si="3"/>
        <v>1250</v>
      </c>
      <c r="N9" s="66">
        <v>35.75</v>
      </c>
      <c r="O9" s="67">
        <v>31.56</v>
      </c>
      <c r="Q9" s="53">
        <f>Q8+0.05</f>
        <v>0.65</v>
      </c>
      <c r="R9" s="89" t="s">
        <v>29</v>
      </c>
      <c r="S9" s="89"/>
      <c r="T9" s="89"/>
      <c r="U9" s="89"/>
      <c r="V9" s="89" t="s">
        <v>44</v>
      </c>
      <c r="W9" s="89"/>
      <c r="X9" s="89"/>
      <c r="Y9" s="95"/>
      <c r="Z9" s="16"/>
      <c r="AA9" s="16"/>
      <c r="AB9" s="16"/>
      <c r="AC9" s="16"/>
    </row>
    <row r="10" spans="1:29" x14ac:dyDescent="0.3">
      <c r="A10" s="53">
        <f t="shared" si="0"/>
        <v>1300</v>
      </c>
      <c r="B10" s="66">
        <v>56.98</v>
      </c>
      <c r="C10" s="67">
        <v>50.15</v>
      </c>
      <c r="E10" s="53">
        <f t="shared" si="1"/>
        <v>1300</v>
      </c>
      <c r="F10" s="66">
        <v>45.02</v>
      </c>
      <c r="G10" s="67">
        <v>38.96</v>
      </c>
      <c r="I10" s="53">
        <f t="shared" si="2"/>
        <v>1300</v>
      </c>
      <c r="J10" s="66">
        <v>34.11</v>
      </c>
      <c r="K10" s="67">
        <v>31.51</v>
      </c>
      <c r="M10" s="53">
        <f t="shared" si="3"/>
        <v>1300</v>
      </c>
      <c r="N10" s="66">
        <v>35.9</v>
      </c>
      <c r="O10" s="67">
        <v>33.35</v>
      </c>
      <c r="Q10" s="53">
        <f t="shared" ref="Q10:Q15" si="4">Q9+0.05</f>
        <v>0.70000000000000007</v>
      </c>
      <c r="R10" s="89" t="s">
        <v>30</v>
      </c>
      <c r="S10" s="89"/>
      <c r="T10" s="89"/>
      <c r="U10" s="89"/>
      <c r="V10" s="89" t="s">
        <v>45</v>
      </c>
      <c r="W10" s="89"/>
      <c r="X10" s="89"/>
      <c r="Y10" s="95"/>
      <c r="Z10" s="16"/>
      <c r="AA10" s="16"/>
      <c r="AB10" s="16"/>
      <c r="AC10" s="16"/>
    </row>
    <row r="11" spans="1:29" x14ac:dyDescent="0.3">
      <c r="A11" s="53">
        <f t="shared" si="0"/>
        <v>1350</v>
      </c>
      <c r="B11" s="66">
        <v>57.34</v>
      </c>
      <c r="C11" s="67">
        <v>53</v>
      </c>
      <c r="E11" s="53">
        <f t="shared" si="1"/>
        <v>1350</v>
      </c>
      <c r="F11" s="66">
        <v>45.57</v>
      </c>
      <c r="G11" s="67">
        <v>41.23</v>
      </c>
      <c r="I11" s="53">
        <f t="shared" si="2"/>
        <v>1350</v>
      </c>
      <c r="J11" s="66">
        <v>34.299999999999997</v>
      </c>
      <c r="K11" s="67">
        <v>33.22</v>
      </c>
      <c r="M11" s="53">
        <f t="shared" si="3"/>
        <v>1350</v>
      </c>
      <c r="N11" s="66">
        <v>36.049999999999997</v>
      </c>
      <c r="O11" s="67">
        <v>35.15</v>
      </c>
      <c r="Q11" s="53">
        <f t="shared" si="4"/>
        <v>0.75000000000000011</v>
      </c>
      <c r="R11" s="89" t="s">
        <v>31</v>
      </c>
      <c r="S11" s="89"/>
      <c r="T11" s="89"/>
      <c r="U11" s="89"/>
      <c r="V11" s="89" t="s">
        <v>46</v>
      </c>
      <c r="W11" s="89"/>
      <c r="X11" s="89"/>
      <c r="Y11" s="95"/>
      <c r="Z11" s="16"/>
      <c r="AA11" s="16"/>
      <c r="AB11" s="16"/>
      <c r="AC11" s="16"/>
    </row>
    <row r="12" spans="1:29" x14ac:dyDescent="0.3">
      <c r="A12" s="53">
        <f t="shared" si="0"/>
        <v>1400</v>
      </c>
      <c r="B12" s="66">
        <v>57.67</v>
      </c>
      <c r="C12" s="67">
        <v>55.88</v>
      </c>
      <c r="E12" s="53">
        <f t="shared" si="1"/>
        <v>1400</v>
      </c>
      <c r="F12" s="66">
        <v>46.1</v>
      </c>
      <c r="G12" s="67">
        <v>43.52</v>
      </c>
      <c r="I12" s="53">
        <f t="shared" si="2"/>
        <v>1400</v>
      </c>
      <c r="J12" s="66">
        <v>34.479999999999997</v>
      </c>
      <c r="K12" s="67">
        <v>34.94</v>
      </c>
      <c r="M12" s="53">
        <f t="shared" si="3"/>
        <v>1400</v>
      </c>
      <c r="N12" s="66">
        <v>36.200000000000003</v>
      </c>
      <c r="O12" s="67">
        <v>36.950000000000003</v>
      </c>
      <c r="Q12" s="53">
        <f t="shared" si="4"/>
        <v>0.80000000000000016</v>
      </c>
      <c r="R12" s="89" t="s">
        <v>32</v>
      </c>
      <c r="S12" s="89"/>
      <c r="T12" s="89"/>
      <c r="U12" s="89"/>
      <c r="V12" s="89" t="s">
        <v>47</v>
      </c>
      <c r="W12" s="89"/>
      <c r="X12" s="89"/>
      <c r="Y12" s="95"/>
      <c r="Z12" s="16"/>
      <c r="AA12" s="16"/>
      <c r="AB12" s="16"/>
      <c r="AC12" s="16"/>
    </row>
    <row r="13" spans="1:29" x14ac:dyDescent="0.3">
      <c r="A13" s="53">
        <f t="shared" si="0"/>
        <v>1450</v>
      </c>
      <c r="B13" s="66">
        <v>57.99</v>
      </c>
      <c r="C13" s="67">
        <v>58.77</v>
      </c>
      <c r="E13" s="53">
        <f t="shared" si="1"/>
        <v>1450</v>
      </c>
      <c r="F13" s="66">
        <v>46.61</v>
      </c>
      <c r="G13" s="67">
        <v>45.84</v>
      </c>
      <c r="I13" s="53">
        <f t="shared" si="2"/>
        <v>1450</v>
      </c>
      <c r="J13" s="66">
        <v>34.64</v>
      </c>
      <c r="K13" s="67">
        <v>36.67</v>
      </c>
      <c r="M13" s="53">
        <f t="shared" si="3"/>
        <v>1450</v>
      </c>
      <c r="N13" s="66">
        <v>36.35</v>
      </c>
      <c r="O13" s="67">
        <v>38.770000000000003</v>
      </c>
      <c r="Q13" s="53">
        <f t="shared" si="4"/>
        <v>0.8500000000000002</v>
      </c>
      <c r="R13" s="89" t="s">
        <v>33</v>
      </c>
      <c r="S13" s="89"/>
      <c r="T13" s="89"/>
      <c r="U13" s="89"/>
      <c r="V13" s="89" t="s">
        <v>48</v>
      </c>
      <c r="W13" s="89"/>
      <c r="X13" s="89"/>
      <c r="Y13" s="95"/>
      <c r="Z13" s="16"/>
      <c r="AA13" s="16"/>
      <c r="AB13" s="16"/>
      <c r="AC13" s="16"/>
    </row>
    <row r="14" spans="1:29" x14ac:dyDescent="0.3">
      <c r="A14" s="53">
        <f t="shared" si="0"/>
        <v>1500</v>
      </c>
      <c r="B14" s="66">
        <v>58.29</v>
      </c>
      <c r="C14" s="67">
        <v>61.68</v>
      </c>
      <c r="E14" s="53">
        <f t="shared" si="1"/>
        <v>1500</v>
      </c>
      <c r="F14" s="66">
        <v>47.1</v>
      </c>
      <c r="G14" s="67">
        <v>48.18</v>
      </c>
      <c r="I14" s="53">
        <f t="shared" si="2"/>
        <v>1500</v>
      </c>
      <c r="J14" s="66">
        <v>34.799999999999997</v>
      </c>
      <c r="K14" s="67">
        <v>38.4</v>
      </c>
      <c r="M14" s="53">
        <f t="shared" si="3"/>
        <v>1500</v>
      </c>
      <c r="N14" s="66">
        <v>36.49</v>
      </c>
      <c r="O14" s="67">
        <v>40.590000000000003</v>
      </c>
      <c r="Q14" s="53">
        <f t="shared" si="4"/>
        <v>0.90000000000000024</v>
      </c>
      <c r="R14" s="89" t="s">
        <v>34</v>
      </c>
      <c r="S14" s="89"/>
      <c r="T14" s="89"/>
      <c r="U14" s="89"/>
      <c r="V14" s="89" t="s">
        <v>49</v>
      </c>
      <c r="W14" s="89"/>
      <c r="X14" s="89"/>
      <c r="Y14" s="95"/>
      <c r="Z14" s="16"/>
      <c r="AA14" s="16"/>
      <c r="AB14" s="16"/>
      <c r="AC14" s="16"/>
    </row>
    <row r="15" spans="1:29" x14ac:dyDescent="0.3">
      <c r="A15" s="53">
        <f t="shared" si="0"/>
        <v>1550</v>
      </c>
      <c r="B15" s="66">
        <v>58.57</v>
      </c>
      <c r="C15" s="67">
        <v>64.599999999999994</v>
      </c>
      <c r="E15" s="53">
        <f t="shared" si="1"/>
        <v>1550</v>
      </c>
      <c r="F15" s="66">
        <v>47.58</v>
      </c>
      <c r="G15" s="67">
        <v>50.55</v>
      </c>
      <c r="I15" s="53">
        <f t="shared" si="2"/>
        <v>1550</v>
      </c>
      <c r="J15" s="66">
        <v>34.950000000000003</v>
      </c>
      <c r="K15" s="67">
        <v>40.15</v>
      </c>
      <c r="M15" s="53">
        <f t="shared" si="3"/>
        <v>1550</v>
      </c>
      <c r="N15" s="66">
        <v>36.630000000000003</v>
      </c>
      <c r="O15" s="67">
        <v>42.42</v>
      </c>
      <c r="Q15" s="53">
        <f t="shared" si="4"/>
        <v>0.95000000000000029</v>
      </c>
      <c r="R15" s="89" t="s">
        <v>35</v>
      </c>
      <c r="S15" s="89"/>
      <c r="T15" s="89"/>
      <c r="U15" s="89"/>
      <c r="V15" s="89" t="s">
        <v>50</v>
      </c>
      <c r="W15" s="89"/>
      <c r="X15" s="89"/>
      <c r="Y15" s="95"/>
      <c r="Z15" s="16"/>
      <c r="AA15" s="16"/>
      <c r="AB15" s="16"/>
      <c r="AC15" s="16"/>
    </row>
    <row r="16" spans="1:29" x14ac:dyDescent="0.3">
      <c r="A16" s="53">
        <f t="shared" si="0"/>
        <v>1600</v>
      </c>
      <c r="B16" s="66">
        <v>58.83</v>
      </c>
      <c r="C16" s="67">
        <v>67.540000000000006</v>
      </c>
      <c r="E16" s="53">
        <f t="shared" si="1"/>
        <v>1600</v>
      </c>
      <c r="F16" s="66">
        <v>48.03</v>
      </c>
      <c r="G16" s="67">
        <v>52.94</v>
      </c>
      <c r="I16" s="53">
        <f t="shared" si="2"/>
        <v>1600</v>
      </c>
      <c r="J16" s="66">
        <v>35.1</v>
      </c>
      <c r="K16" s="67">
        <v>41.9</v>
      </c>
      <c r="M16" s="53">
        <f t="shared" si="3"/>
        <v>1600</v>
      </c>
      <c r="N16" s="66">
        <v>36.770000000000003</v>
      </c>
      <c r="O16" s="67">
        <v>44.25</v>
      </c>
      <c r="Q16" s="53">
        <f>Q15+0.01</f>
        <v>0.9600000000000003</v>
      </c>
      <c r="R16" s="89" t="s">
        <v>36</v>
      </c>
      <c r="S16" s="89"/>
      <c r="T16" s="89"/>
      <c r="U16" s="89"/>
      <c r="V16" s="89" t="s">
        <v>51</v>
      </c>
      <c r="W16" s="89"/>
      <c r="X16" s="89"/>
      <c r="Y16" s="95"/>
      <c r="Z16" s="16"/>
      <c r="AA16" s="16"/>
      <c r="AB16" s="16"/>
      <c r="AC16" s="16"/>
    </row>
    <row r="17" spans="1:29" x14ac:dyDescent="0.3">
      <c r="A17" s="53">
        <f t="shared" si="0"/>
        <v>1650</v>
      </c>
      <c r="B17" s="66">
        <v>59.08</v>
      </c>
      <c r="C17" s="67">
        <v>70.48</v>
      </c>
      <c r="E17" s="53">
        <f t="shared" si="1"/>
        <v>1650</v>
      </c>
      <c r="F17" s="66">
        <v>48.47</v>
      </c>
      <c r="G17" s="67">
        <v>55.35</v>
      </c>
      <c r="I17" s="53">
        <f t="shared" si="2"/>
        <v>1650</v>
      </c>
      <c r="J17" s="66">
        <v>35.229999999999997</v>
      </c>
      <c r="K17" s="67">
        <v>43.66</v>
      </c>
      <c r="M17" s="53">
        <f t="shared" si="3"/>
        <v>1650</v>
      </c>
      <c r="N17" s="66">
        <v>36.9</v>
      </c>
      <c r="O17" s="67">
        <v>46.09</v>
      </c>
      <c r="Q17" s="53">
        <f t="shared" ref="Q17:Q20" si="5">Q16+0.01</f>
        <v>0.97000000000000031</v>
      </c>
      <c r="R17" s="89" t="s">
        <v>37</v>
      </c>
      <c r="S17" s="89"/>
      <c r="T17" s="89"/>
      <c r="U17" s="89"/>
      <c r="V17" s="89" t="s">
        <v>52</v>
      </c>
      <c r="W17" s="89"/>
      <c r="X17" s="89"/>
      <c r="Y17" s="95"/>
      <c r="Z17" s="16"/>
      <c r="AA17" s="16"/>
      <c r="AB17" s="16"/>
      <c r="AC17" s="16"/>
    </row>
    <row r="18" spans="1:29" x14ac:dyDescent="0.3">
      <c r="A18" s="53">
        <f t="shared" si="0"/>
        <v>1700</v>
      </c>
      <c r="B18" s="66">
        <v>59.31</v>
      </c>
      <c r="C18" s="67">
        <v>73.44</v>
      </c>
      <c r="E18" s="53">
        <f t="shared" si="1"/>
        <v>1700</v>
      </c>
      <c r="F18" s="66">
        <v>48.9</v>
      </c>
      <c r="G18" s="67">
        <v>57.78</v>
      </c>
      <c r="I18" s="53">
        <f t="shared" si="2"/>
        <v>1700</v>
      </c>
      <c r="J18" s="66">
        <v>35.36</v>
      </c>
      <c r="K18" s="67">
        <v>45.42</v>
      </c>
      <c r="M18" s="53">
        <f t="shared" si="3"/>
        <v>1700</v>
      </c>
      <c r="N18" s="66">
        <v>37.03</v>
      </c>
      <c r="O18" s="67">
        <v>47.94</v>
      </c>
      <c r="Q18" s="53">
        <f t="shared" si="5"/>
        <v>0.98000000000000032</v>
      </c>
      <c r="R18" s="89" t="s">
        <v>38</v>
      </c>
      <c r="S18" s="89"/>
      <c r="T18" s="89"/>
      <c r="U18" s="89"/>
      <c r="V18" s="89" t="s">
        <v>53</v>
      </c>
      <c r="W18" s="89"/>
      <c r="X18" s="89"/>
      <c r="Y18" s="95"/>
      <c r="Z18" s="16"/>
      <c r="AA18" s="16"/>
      <c r="AB18" s="16"/>
      <c r="AC18" s="16"/>
    </row>
    <row r="19" spans="1:29" x14ac:dyDescent="0.3">
      <c r="A19" s="53">
        <f t="shared" si="0"/>
        <v>1750</v>
      </c>
      <c r="B19" s="66">
        <v>59.53</v>
      </c>
      <c r="C19" s="67">
        <v>76.41</v>
      </c>
      <c r="E19" s="53">
        <f t="shared" si="1"/>
        <v>1750</v>
      </c>
      <c r="F19" s="66">
        <v>49.31</v>
      </c>
      <c r="G19" s="67">
        <v>60.24</v>
      </c>
      <c r="I19" s="53">
        <f t="shared" si="2"/>
        <v>1750</v>
      </c>
      <c r="J19" s="66">
        <v>35.479999999999997</v>
      </c>
      <c r="K19" s="67">
        <v>47.19</v>
      </c>
      <c r="M19" s="53">
        <f t="shared" si="3"/>
        <v>1750</v>
      </c>
      <c r="N19" s="66">
        <v>37.17</v>
      </c>
      <c r="O19" s="67">
        <v>49.8</v>
      </c>
      <c r="Q19" s="53">
        <f t="shared" si="5"/>
        <v>0.99000000000000032</v>
      </c>
      <c r="R19" s="89" t="s">
        <v>39</v>
      </c>
      <c r="S19" s="89"/>
      <c r="T19" s="89"/>
      <c r="U19" s="89"/>
      <c r="V19" s="89" t="s">
        <v>54</v>
      </c>
      <c r="W19" s="89"/>
      <c r="X19" s="89"/>
      <c r="Y19" s="95"/>
      <c r="Z19" s="16"/>
      <c r="AA19" s="16"/>
      <c r="AB19" s="16"/>
      <c r="AC19" s="16"/>
    </row>
    <row r="20" spans="1:29" ht="15" thickBot="1" x14ac:dyDescent="0.35">
      <c r="A20" s="53">
        <f t="shared" si="0"/>
        <v>1800</v>
      </c>
      <c r="B20" s="66">
        <v>59.73</v>
      </c>
      <c r="C20" s="67">
        <v>79.400000000000006</v>
      </c>
      <c r="E20" s="53">
        <f t="shared" si="1"/>
        <v>1800</v>
      </c>
      <c r="F20" s="66">
        <v>49.7</v>
      </c>
      <c r="G20" s="67">
        <v>62.71</v>
      </c>
      <c r="I20" s="53">
        <f t="shared" si="2"/>
        <v>1800</v>
      </c>
      <c r="J20" s="66">
        <v>35.590000000000003</v>
      </c>
      <c r="K20" s="67">
        <v>48.97</v>
      </c>
      <c r="M20" s="53">
        <f t="shared" si="3"/>
        <v>1800</v>
      </c>
      <c r="N20" s="66">
        <v>37.29</v>
      </c>
      <c r="O20" s="67">
        <v>51.66</v>
      </c>
      <c r="Q20" s="54">
        <f t="shared" si="5"/>
        <v>1.0000000000000002</v>
      </c>
      <c r="R20" s="90" t="s">
        <v>40</v>
      </c>
      <c r="S20" s="90"/>
      <c r="T20" s="90"/>
      <c r="U20" s="90"/>
      <c r="V20" s="90" t="s">
        <v>55</v>
      </c>
      <c r="W20" s="90"/>
      <c r="X20" s="90"/>
      <c r="Y20" s="91"/>
      <c r="Z20" s="16"/>
      <c r="AA20" s="16"/>
      <c r="AB20" s="16"/>
      <c r="AC20" s="16"/>
    </row>
    <row r="21" spans="1:29" ht="15" thickBot="1" x14ac:dyDescent="0.35">
      <c r="A21" s="53">
        <f t="shared" si="0"/>
        <v>1850</v>
      </c>
      <c r="B21" s="66">
        <v>59.93</v>
      </c>
      <c r="C21" s="67">
        <v>82.39</v>
      </c>
      <c r="E21" s="53">
        <f t="shared" si="1"/>
        <v>1850</v>
      </c>
      <c r="F21" s="66">
        <v>50.08</v>
      </c>
      <c r="G21" s="67">
        <v>65.209999999999994</v>
      </c>
      <c r="I21" s="53">
        <f t="shared" si="2"/>
        <v>1850</v>
      </c>
      <c r="J21" s="66">
        <v>35.700000000000003</v>
      </c>
      <c r="K21" s="67">
        <v>50.75</v>
      </c>
      <c r="M21" s="53">
        <f t="shared" si="3"/>
        <v>1850</v>
      </c>
      <c r="N21" s="66">
        <v>37.42</v>
      </c>
      <c r="O21" s="67">
        <v>53.53</v>
      </c>
      <c r="Q21" s="2"/>
    </row>
    <row r="22" spans="1:29" x14ac:dyDescent="0.3">
      <c r="A22" s="53">
        <f t="shared" si="0"/>
        <v>1900</v>
      </c>
      <c r="B22" s="66">
        <v>60.11</v>
      </c>
      <c r="C22" s="67">
        <v>85.39</v>
      </c>
      <c r="E22" s="53">
        <f t="shared" si="1"/>
        <v>1900</v>
      </c>
      <c r="F22" s="66">
        <v>50.45</v>
      </c>
      <c r="G22" s="67">
        <v>67.72</v>
      </c>
      <c r="I22" s="53">
        <f t="shared" si="2"/>
        <v>1900</v>
      </c>
      <c r="J22" s="66">
        <v>35.799999999999997</v>
      </c>
      <c r="K22" s="67">
        <v>52.54</v>
      </c>
      <c r="M22" s="53">
        <f t="shared" si="3"/>
        <v>1900</v>
      </c>
      <c r="N22" s="66">
        <v>37.54</v>
      </c>
      <c r="O22" s="67">
        <v>55.4</v>
      </c>
      <c r="Q22" s="84" t="s">
        <v>75</v>
      </c>
      <c r="R22" s="85"/>
      <c r="S22" s="85"/>
      <c r="T22" s="85"/>
      <c r="U22" s="85"/>
      <c r="V22" s="85"/>
      <c r="W22" s="85"/>
      <c r="X22" s="85"/>
      <c r="Y22" s="86"/>
    </row>
    <row r="23" spans="1:29" x14ac:dyDescent="0.3">
      <c r="A23" s="53">
        <f t="shared" si="0"/>
        <v>1950</v>
      </c>
      <c r="B23" s="66">
        <v>60.27</v>
      </c>
      <c r="C23" s="67">
        <v>88.4</v>
      </c>
      <c r="E23" s="53">
        <f t="shared" si="1"/>
        <v>1950</v>
      </c>
      <c r="F23" s="66">
        <v>50.8</v>
      </c>
      <c r="G23" s="67">
        <v>70.25</v>
      </c>
      <c r="I23" s="53">
        <f t="shared" si="2"/>
        <v>1950</v>
      </c>
      <c r="J23" s="66">
        <v>35.9</v>
      </c>
      <c r="K23" s="67">
        <v>54.33</v>
      </c>
      <c r="M23" s="53">
        <f t="shared" si="3"/>
        <v>1950</v>
      </c>
      <c r="N23" s="66">
        <v>37.67</v>
      </c>
      <c r="O23" s="67">
        <v>57.28</v>
      </c>
      <c r="Q23" s="49" t="s">
        <v>7</v>
      </c>
      <c r="R23" s="87" t="s">
        <v>41</v>
      </c>
      <c r="S23" s="87"/>
      <c r="T23" s="87"/>
      <c r="U23" s="87"/>
      <c r="V23" s="87" t="s">
        <v>42</v>
      </c>
      <c r="W23" s="87"/>
      <c r="X23" s="87"/>
      <c r="Y23" s="88"/>
    </row>
    <row r="24" spans="1:29" x14ac:dyDescent="0.3">
      <c r="A24" s="53">
        <v>2000</v>
      </c>
      <c r="B24" s="66">
        <v>60.43</v>
      </c>
      <c r="C24" s="67">
        <v>91.42</v>
      </c>
      <c r="E24" s="53">
        <v>2000</v>
      </c>
      <c r="F24" s="66">
        <v>51.14</v>
      </c>
      <c r="G24" s="67">
        <v>72.8</v>
      </c>
      <c r="I24" s="53">
        <v>2000</v>
      </c>
      <c r="J24" s="66">
        <v>35.99</v>
      </c>
      <c r="K24" s="67">
        <v>56.13</v>
      </c>
      <c r="M24" s="53">
        <v>2000</v>
      </c>
      <c r="N24" s="66">
        <v>37.79</v>
      </c>
      <c r="O24" s="67">
        <v>59.17</v>
      </c>
      <c r="Q24" s="53">
        <v>0.6</v>
      </c>
      <c r="R24" s="89">
        <v>405.36</v>
      </c>
      <c r="S24" s="89"/>
      <c r="T24" s="89"/>
      <c r="U24" s="89"/>
      <c r="V24" s="89">
        <v>3039</v>
      </c>
      <c r="W24" s="89"/>
      <c r="X24" s="89"/>
      <c r="Y24" s="95"/>
    </row>
    <row r="25" spans="1:29" x14ac:dyDescent="0.3">
      <c r="A25" s="53">
        <f>A24+50</f>
        <v>2050</v>
      </c>
      <c r="B25" s="66">
        <v>60.58</v>
      </c>
      <c r="C25" s="67">
        <v>94.44</v>
      </c>
      <c r="E25" s="53">
        <f>E24+50</f>
        <v>2050</v>
      </c>
      <c r="F25" s="66">
        <v>51.47</v>
      </c>
      <c r="G25" s="67">
        <v>75.3</v>
      </c>
      <c r="I25" s="53">
        <f>I24+50</f>
        <v>2050</v>
      </c>
      <c r="J25" s="66">
        <v>36.07</v>
      </c>
      <c r="K25" s="67">
        <v>57.93</v>
      </c>
      <c r="M25" s="53">
        <f>M24+50</f>
        <v>2050</v>
      </c>
      <c r="N25" s="66">
        <v>37.9</v>
      </c>
      <c r="O25" s="67">
        <v>61.06</v>
      </c>
      <c r="Q25" s="53">
        <f>Q24+0.05</f>
        <v>0.65</v>
      </c>
      <c r="R25" s="89">
        <v>439.14</v>
      </c>
      <c r="S25" s="89"/>
      <c r="T25" s="89"/>
      <c r="U25" s="89"/>
      <c r="V25" s="89">
        <v>3292.25</v>
      </c>
      <c r="W25" s="89"/>
      <c r="X25" s="89"/>
      <c r="Y25" s="95"/>
    </row>
    <row r="26" spans="1:29" x14ac:dyDescent="0.3">
      <c r="A26" s="53">
        <f t="shared" ref="A26:A44" si="6">A25+50</f>
        <v>2100</v>
      </c>
      <c r="B26" s="66">
        <v>60.71</v>
      </c>
      <c r="C26" s="67">
        <v>97.47</v>
      </c>
      <c r="E26" s="53">
        <f t="shared" ref="E26:E44" si="7">E25+50</f>
        <v>2100</v>
      </c>
      <c r="F26" s="66">
        <v>51.78</v>
      </c>
      <c r="G26" s="67">
        <v>77.95</v>
      </c>
      <c r="I26" s="53">
        <f t="shared" ref="I26:I44" si="8">I25+50</f>
        <v>2100</v>
      </c>
      <c r="J26" s="66">
        <v>36.15</v>
      </c>
      <c r="K26" s="67">
        <v>59.73</v>
      </c>
      <c r="M26" s="53">
        <f t="shared" ref="M26:M44" si="9">M25+50</f>
        <v>2100</v>
      </c>
      <c r="N26" s="66">
        <v>38.020000000000003</v>
      </c>
      <c r="O26" s="67">
        <v>62.96</v>
      </c>
      <c r="Q26" s="53">
        <f t="shared" ref="Q26:Q31" si="10">Q25+0.05</f>
        <v>0.70000000000000007</v>
      </c>
      <c r="R26" s="89">
        <v>472.92</v>
      </c>
      <c r="S26" s="89"/>
      <c r="T26" s="89"/>
      <c r="U26" s="89"/>
      <c r="V26" s="89">
        <v>3545.5</v>
      </c>
      <c r="W26" s="89"/>
      <c r="X26" s="89"/>
      <c r="Y26" s="95"/>
    </row>
    <row r="27" spans="1:29" x14ac:dyDescent="0.3">
      <c r="A27" s="53">
        <f t="shared" si="6"/>
        <v>2150</v>
      </c>
      <c r="B27" s="66">
        <v>60.84</v>
      </c>
      <c r="C27" s="67">
        <v>100.51</v>
      </c>
      <c r="E27" s="53">
        <f t="shared" si="7"/>
        <v>2150</v>
      </c>
      <c r="F27" s="66">
        <v>52.08</v>
      </c>
      <c r="G27" s="67">
        <v>80.540000000000006</v>
      </c>
      <c r="I27" s="53">
        <f t="shared" si="8"/>
        <v>2150</v>
      </c>
      <c r="J27" s="66">
        <v>36.229999999999997</v>
      </c>
      <c r="K27" s="67">
        <v>61.54</v>
      </c>
      <c r="M27" s="53">
        <f t="shared" si="9"/>
        <v>2150</v>
      </c>
      <c r="N27" s="66">
        <v>38.14</v>
      </c>
      <c r="O27" s="67">
        <v>64.86</v>
      </c>
      <c r="Q27" s="53">
        <f t="shared" si="10"/>
        <v>0.75000000000000011</v>
      </c>
      <c r="R27" s="89">
        <v>506.7</v>
      </c>
      <c r="S27" s="89"/>
      <c r="T27" s="89"/>
      <c r="U27" s="89"/>
      <c r="V27" s="89">
        <v>3798.75</v>
      </c>
      <c r="W27" s="89"/>
      <c r="X27" s="89"/>
      <c r="Y27" s="95"/>
    </row>
    <row r="28" spans="1:29" x14ac:dyDescent="0.3">
      <c r="A28" s="53">
        <f t="shared" si="6"/>
        <v>2200</v>
      </c>
      <c r="B28" s="66">
        <v>60.96</v>
      </c>
      <c r="C28" s="67">
        <v>103.56</v>
      </c>
      <c r="E28" s="53">
        <f t="shared" si="7"/>
        <v>2200</v>
      </c>
      <c r="F28" s="66">
        <v>52.38</v>
      </c>
      <c r="G28" s="67">
        <v>83.16</v>
      </c>
      <c r="I28" s="53">
        <f t="shared" si="8"/>
        <v>2200</v>
      </c>
      <c r="J28" s="66">
        <v>36.299999999999997</v>
      </c>
      <c r="K28" s="67">
        <v>63.36</v>
      </c>
      <c r="M28" s="53">
        <f t="shared" si="9"/>
        <v>2200</v>
      </c>
      <c r="N28" s="66">
        <v>38.25</v>
      </c>
      <c r="O28" s="67">
        <v>66.77</v>
      </c>
      <c r="Q28" s="53">
        <f t="shared" si="10"/>
        <v>0.80000000000000016</v>
      </c>
      <c r="R28" s="89">
        <v>540.48</v>
      </c>
      <c r="S28" s="89"/>
      <c r="T28" s="89"/>
      <c r="U28" s="89"/>
      <c r="V28" s="89">
        <v>4052</v>
      </c>
      <c r="W28" s="89"/>
      <c r="X28" s="89"/>
      <c r="Y28" s="95"/>
    </row>
    <row r="29" spans="1:29" x14ac:dyDescent="0.3">
      <c r="A29" s="53">
        <f t="shared" si="6"/>
        <v>2250</v>
      </c>
      <c r="B29" s="66">
        <v>61.08</v>
      </c>
      <c r="C29" s="67">
        <v>106.61</v>
      </c>
      <c r="E29" s="53">
        <f t="shared" si="7"/>
        <v>2250</v>
      </c>
      <c r="F29" s="66">
        <v>52.66</v>
      </c>
      <c r="G29" s="67">
        <v>85.78</v>
      </c>
      <c r="I29" s="53">
        <f t="shared" si="8"/>
        <v>2250</v>
      </c>
      <c r="J29" s="66">
        <v>36.36</v>
      </c>
      <c r="K29" s="67">
        <v>65.17</v>
      </c>
      <c r="M29" s="53">
        <f t="shared" si="9"/>
        <v>2250</v>
      </c>
      <c r="N29" s="66">
        <v>38.36</v>
      </c>
      <c r="O29" s="67">
        <v>68.69</v>
      </c>
      <c r="Q29" s="53">
        <f t="shared" si="10"/>
        <v>0.8500000000000002</v>
      </c>
      <c r="R29" s="89">
        <v>574.26</v>
      </c>
      <c r="S29" s="89"/>
      <c r="T29" s="89"/>
      <c r="U29" s="89"/>
      <c r="V29" s="89">
        <v>4305.25</v>
      </c>
      <c r="W29" s="89"/>
      <c r="X29" s="89"/>
      <c r="Y29" s="95"/>
    </row>
    <row r="30" spans="1:29" x14ac:dyDescent="0.3">
      <c r="A30" s="53">
        <f t="shared" si="6"/>
        <v>2300</v>
      </c>
      <c r="B30" s="66">
        <v>61.18</v>
      </c>
      <c r="C30" s="67">
        <v>109.66</v>
      </c>
      <c r="E30" s="53">
        <f t="shared" si="7"/>
        <v>2300</v>
      </c>
      <c r="F30" s="66">
        <v>52.92</v>
      </c>
      <c r="G30" s="67">
        <v>88.42</v>
      </c>
      <c r="I30" s="53">
        <f t="shared" si="8"/>
        <v>2300</v>
      </c>
      <c r="J30" s="66">
        <v>36.43</v>
      </c>
      <c r="K30" s="67">
        <v>66.989999999999995</v>
      </c>
      <c r="M30" s="53">
        <f t="shared" si="9"/>
        <v>2300</v>
      </c>
      <c r="N30" s="66">
        <v>38.47</v>
      </c>
      <c r="O30" s="67">
        <v>70.61</v>
      </c>
      <c r="Q30" s="53">
        <f t="shared" si="10"/>
        <v>0.90000000000000024</v>
      </c>
      <c r="R30" s="89">
        <v>608.04</v>
      </c>
      <c r="S30" s="89"/>
      <c r="T30" s="89"/>
      <c r="U30" s="89"/>
      <c r="V30" s="89">
        <v>4558.5</v>
      </c>
      <c r="W30" s="89"/>
      <c r="X30" s="89"/>
      <c r="Y30" s="95"/>
    </row>
    <row r="31" spans="1:29" x14ac:dyDescent="0.3">
      <c r="A31" s="53">
        <f t="shared" si="6"/>
        <v>2350</v>
      </c>
      <c r="B31" s="66">
        <v>61.28</v>
      </c>
      <c r="C31" s="67">
        <v>112.73</v>
      </c>
      <c r="E31" s="53">
        <f t="shared" si="7"/>
        <v>2350</v>
      </c>
      <c r="F31" s="66">
        <v>53.18</v>
      </c>
      <c r="G31" s="67">
        <v>91.07</v>
      </c>
      <c r="I31" s="53">
        <f t="shared" si="8"/>
        <v>2350</v>
      </c>
      <c r="J31" s="66">
        <v>36.49</v>
      </c>
      <c r="K31" s="67">
        <v>68.819999999999993</v>
      </c>
      <c r="M31" s="53">
        <f t="shared" si="9"/>
        <v>2350</v>
      </c>
      <c r="N31" s="66">
        <v>38.58</v>
      </c>
      <c r="O31" s="67">
        <v>72.53</v>
      </c>
      <c r="Q31" s="53">
        <f t="shared" si="10"/>
        <v>0.95000000000000029</v>
      </c>
      <c r="R31" s="89">
        <v>641.82000000000005</v>
      </c>
      <c r="S31" s="89"/>
      <c r="T31" s="89"/>
      <c r="U31" s="89"/>
      <c r="V31" s="89">
        <v>4811.75</v>
      </c>
      <c r="W31" s="89"/>
      <c r="X31" s="89"/>
      <c r="Y31" s="95"/>
    </row>
    <row r="32" spans="1:29" x14ac:dyDescent="0.3">
      <c r="A32" s="53">
        <f t="shared" si="6"/>
        <v>2400</v>
      </c>
      <c r="B32" s="66">
        <v>61.37</v>
      </c>
      <c r="C32" s="67">
        <v>115.79</v>
      </c>
      <c r="E32" s="53">
        <f t="shared" si="7"/>
        <v>2400</v>
      </c>
      <c r="F32" s="66">
        <v>53.43</v>
      </c>
      <c r="G32" s="67">
        <v>93.74</v>
      </c>
      <c r="I32" s="53">
        <f t="shared" si="8"/>
        <v>2400</v>
      </c>
      <c r="J32" s="66">
        <v>36.54</v>
      </c>
      <c r="K32" s="67">
        <v>70.64</v>
      </c>
      <c r="M32" s="53">
        <f t="shared" si="9"/>
        <v>2400</v>
      </c>
      <c r="N32" s="66">
        <v>38.68</v>
      </c>
      <c r="O32" s="67">
        <v>74.459999999999994</v>
      </c>
      <c r="Q32" s="53">
        <f>Q31+0.01</f>
        <v>0.9600000000000003</v>
      </c>
      <c r="R32" s="89">
        <v>648.57600000000002</v>
      </c>
      <c r="S32" s="89"/>
      <c r="T32" s="89"/>
      <c r="U32" s="89"/>
      <c r="V32" s="89">
        <v>4862.3999999999996</v>
      </c>
      <c r="W32" s="89"/>
      <c r="X32" s="89"/>
      <c r="Y32" s="95"/>
    </row>
    <row r="33" spans="1:34" x14ac:dyDescent="0.3">
      <c r="A33" s="53">
        <f t="shared" si="6"/>
        <v>2450</v>
      </c>
      <c r="B33" s="66">
        <v>61.46</v>
      </c>
      <c r="C33" s="67">
        <v>118.86</v>
      </c>
      <c r="E33" s="53">
        <f t="shared" si="7"/>
        <v>2450</v>
      </c>
      <c r="F33" s="66">
        <v>53.67</v>
      </c>
      <c r="G33" s="67">
        <v>96.42</v>
      </c>
      <c r="I33" s="53">
        <f t="shared" si="8"/>
        <v>2450</v>
      </c>
      <c r="J33" s="66">
        <v>36.590000000000003</v>
      </c>
      <c r="K33" s="67">
        <v>72.47</v>
      </c>
      <c r="M33" s="53">
        <f t="shared" si="9"/>
        <v>2450</v>
      </c>
      <c r="N33" s="66">
        <v>38.79</v>
      </c>
      <c r="O33" s="67">
        <v>76.400000000000006</v>
      </c>
      <c r="Q33" s="53">
        <f t="shared" ref="Q33:Q36" si="11">Q32+0.01</f>
        <v>0.97000000000000031</v>
      </c>
      <c r="R33" s="89">
        <v>655.33199999999999</v>
      </c>
      <c r="S33" s="89"/>
      <c r="T33" s="89"/>
      <c r="U33" s="89"/>
      <c r="V33" s="89">
        <v>4913.05</v>
      </c>
      <c r="W33" s="89"/>
      <c r="X33" s="89"/>
      <c r="Y33" s="95"/>
    </row>
    <row r="34" spans="1:34" x14ac:dyDescent="0.3">
      <c r="A34" s="53">
        <f t="shared" si="6"/>
        <v>2500</v>
      </c>
      <c r="B34" s="66">
        <v>61.55</v>
      </c>
      <c r="C34" s="67">
        <v>121.94</v>
      </c>
      <c r="E34" s="53">
        <f t="shared" si="7"/>
        <v>2500</v>
      </c>
      <c r="F34" s="66">
        <v>53.9</v>
      </c>
      <c r="G34" s="67">
        <v>99.11</v>
      </c>
      <c r="I34" s="53">
        <f t="shared" si="8"/>
        <v>2500</v>
      </c>
      <c r="J34" s="66">
        <v>36.64</v>
      </c>
      <c r="K34" s="67">
        <v>74.3</v>
      </c>
      <c r="M34" s="53">
        <f t="shared" si="9"/>
        <v>2500</v>
      </c>
      <c r="N34" s="66">
        <v>38.89</v>
      </c>
      <c r="O34" s="67">
        <v>78.34</v>
      </c>
      <c r="Q34" s="53">
        <f t="shared" si="11"/>
        <v>0.98000000000000032</v>
      </c>
      <c r="R34" s="89">
        <v>662.08799999999997</v>
      </c>
      <c r="S34" s="89"/>
      <c r="T34" s="89"/>
      <c r="U34" s="89"/>
      <c r="V34" s="89">
        <v>4963.7</v>
      </c>
      <c r="W34" s="89"/>
      <c r="X34" s="89"/>
      <c r="Y34" s="95"/>
    </row>
    <row r="35" spans="1:34" x14ac:dyDescent="0.3">
      <c r="A35" s="53">
        <f t="shared" si="6"/>
        <v>2550</v>
      </c>
      <c r="B35" s="66">
        <v>61.62</v>
      </c>
      <c r="C35" s="67">
        <v>125.02</v>
      </c>
      <c r="E35" s="53">
        <f t="shared" si="7"/>
        <v>2550</v>
      </c>
      <c r="F35" s="66">
        <v>54.12</v>
      </c>
      <c r="G35" s="67">
        <v>101.81</v>
      </c>
      <c r="I35" s="53">
        <f t="shared" si="8"/>
        <v>2550</v>
      </c>
      <c r="J35" s="66">
        <v>36.69</v>
      </c>
      <c r="K35" s="67">
        <v>76.13</v>
      </c>
      <c r="M35" s="53">
        <f t="shared" si="9"/>
        <v>2550</v>
      </c>
      <c r="N35" s="66">
        <v>38.99</v>
      </c>
      <c r="O35" s="67">
        <v>80.290000000000006</v>
      </c>
      <c r="Q35" s="53">
        <f t="shared" si="11"/>
        <v>0.99000000000000032</v>
      </c>
      <c r="R35" s="89">
        <v>668.84400000000005</v>
      </c>
      <c r="S35" s="89"/>
      <c r="T35" s="89"/>
      <c r="U35" s="89"/>
      <c r="V35" s="89">
        <v>5014.3500000000004</v>
      </c>
      <c r="W35" s="89"/>
      <c r="X35" s="89"/>
      <c r="Y35" s="95"/>
    </row>
    <row r="36" spans="1:34" ht="15" thickBot="1" x14ac:dyDescent="0.35">
      <c r="A36" s="53">
        <f t="shared" si="6"/>
        <v>2600</v>
      </c>
      <c r="B36" s="66">
        <v>61.7</v>
      </c>
      <c r="C36" s="67">
        <v>128.1</v>
      </c>
      <c r="E36" s="53">
        <f t="shared" si="7"/>
        <v>2600</v>
      </c>
      <c r="F36" s="66">
        <v>54.34</v>
      </c>
      <c r="G36" s="67">
        <v>104.52</v>
      </c>
      <c r="I36" s="53">
        <f t="shared" si="8"/>
        <v>2600</v>
      </c>
      <c r="J36" s="66">
        <v>36.74</v>
      </c>
      <c r="K36" s="67">
        <v>77.97</v>
      </c>
      <c r="M36" s="53">
        <f t="shared" si="9"/>
        <v>2600</v>
      </c>
      <c r="N36" s="66">
        <v>39.090000000000003</v>
      </c>
      <c r="O36" s="67">
        <v>82.24</v>
      </c>
      <c r="Q36" s="54">
        <f t="shared" si="11"/>
        <v>1.0000000000000002</v>
      </c>
      <c r="R36" s="90">
        <v>675.6</v>
      </c>
      <c r="S36" s="90"/>
      <c r="T36" s="90"/>
      <c r="U36" s="90"/>
      <c r="V36" s="90">
        <v>5065</v>
      </c>
      <c r="W36" s="90"/>
      <c r="X36" s="90"/>
      <c r="Y36" s="91"/>
    </row>
    <row r="37" spans="1:34" ht="15" thickBot="1" x14ac:dyDescent="0.35">
      <c r="A37" s="53">
        <f t="shared" si="6"/>
        <v>2650</v>
      </c>
      <c r="B37" s="66">
        <v>61.77</v>
      </c>
      <c r="C37" s="67">
        <v>131.19</v>
      </c>
      <c r="E37" s="53">
        <f t="shared" si="7"/>
        <v>2650</v>
      </c>
      <c r="F37" s="66">
        <v>54.54</v>
      </c>
      <c r="G37" s="67">
        <v>107.24</v>
      </c>
      <c r="I37" s="53">
        <f t="shared" si="8"/>
        <v>2650</v>
      </c>
      <c r="J37" s="66">
        <v>36.78</v>
      </c>
      <c r="K37" s="67">
        <v>79.81</v>
      </c>
      <c r="M37" s="53">
        <f t="shared" si="9"/>
        <v>2650</v>
      </c>
      <c r="N37" s="66">
        <v>39.19</v>
      </c>
      <c r="O37" s="67">
        <v>84.2</v>
      </c>
      <c r="Q37" s="2"/>
    </row>
    <row r="38" spans="1:34" x14ac:dyDescent="0.3">
      <c r="A38" s="53">
        <f t="shared" si="6"/>
        <v>2700</v>
      </c>
      <c r="B38" s="66">
        <v>61.84</v>
      </c>
      <c r="C38" s="67">
        <v>134.28</v>
      </c>
      <c r="E38" s="53">
        <f t="shared" si="7"/>
        <v>2700</v>
      </c>
      <c r="F38" s="66">
        <v>54.74</v>
      </c>
      <c r="G38" s="67">
        <v>109.97</v>
      </c>
      <c r="I38" s="53">
        <f t="shared" si="8"/>
        <v>2700</v>
      </c>
      <c r="J38" s="66">
        <v>36.82</v>
      </c>
      <c r="K38" s="67">
        <v>81.650000000000006</v>
      </c>
      <c r="M38" s="53">
        <f t="shared" si="9"/>
        <v>2700</v>
      </c>
      <c r="N38" s="66">
        <v>39.29</v>
      </c>
      <c r="O38" s="67">
        <v>86.16</v>
      </c>
      <c r="R38" s="92" t="s">
        <v>82</v>
      </c>
      <c r="S38" s="93"/>
      <c r="T38" s="93"/>
      <c r="U38" s="94"/>
      <c r="V38" s="92" t="s">
        <v>81</v>
      </c>
      <c r="W38" s="93"/>
      <c r="X38" s="93"/>
      <c r="Y38" s="94"/>
      <c r="Z38" s="17"/>
      <c r="AA38" s="17"/>
      <c r="AB38" s="17"/>
      <c r="AC38" s="17"/>
      <c r="AD38" s="17"/>
      <c r="AE38" s="17"/>
      <c r="AF38" s="17"/>
      <c r="AG38" s="17"/>
    </row>
    <row r="39" spans="1:34" x14ac:dyDescent="0.3">
      <c r="A39" s="53">
        <f t="shared" si="6"/>
        <v>2750</v>
      </c>
      <c r="B39" s="66">
        <v>61.9</v>
      </c>
      <c r="C39" s="67">
        <v>137.37</v>
      </c>
      <c r="E39" s="53">
        <f t="shared" si="7"/>
        <v>2750</v>
      </c>
      <c r="F39" s="66">
        <v>54.93</v>
      </c>
      <c r="G39" s="67">
        <v>112.72</v>
      </c>
      <c r="I39" s="53">
        <f t="shared" si="8"/>
        <v>2750</v>
      </c>
      <c r="J39" s="66">
        <v>36.86</v>
      </c>
      <c r="K39" s="67">
        <v>83.49</v>
      </c>
      <c r="M39" s="53">
        <f t="shared" si="9"/>
        <v>2750</v>
      </c>
      <c r="N39" s="66">
        <v>39.380000000000003</v>
      </c>
      <c r="O39" s="67">
        <v>88.13</v>
      </c>
      <c r="R39" s="49" t="s">
        <v>7</v>
      </c>
      <c r="S39" s="52" t="s">
        <v>83</v>
      </c>
      <c r="T39" s="50" t="s">
        <v>84</v>
      </c>
      <c r="U39" s="51" t="s">
        <v>85</v>
      </c>
      <c r="V39" s="49" t="s">
        <v>7</v>
      </c>
      <c r="W39" s="52" t="s">
        <v>83</v>
      </c>
      <c r="X39" s="50" t="s">
        <v>84</v>
      </c>
      <c r="Y39" s="51" t="s">
        <v>85</v>
      </c>
      <c r="Z39" s="8"/>
      <c r="AA39" s="8"/>
      <c r="AB39" s="8"/>
      <c r="AC39" s="8"/>
      <c r="AD39" s="8"/>
      <c r="AE39" s="8"/>
      <c r="AF39" s="8"/>
      <c r="AG39" s="8"/>
    </row>
    <row r="40" spans="1:34" x14ac:dyDescent="0.3">
      <c r="A40" s="53">
        <f t="shared" si="6"/>
        <v>2800</v>
      </c>
      <c r="B40" s="66">
        <v>61.96</v>
      </c>
      <c r="C40" s="67">
        <v>140.47</v>
      </c>
      <c r="E40" s="53">
        <f t="shared" si="7"/>
        <v>2800</v>
      </c>
      <c r="F40" s="66">
        <v>55.11</v>
      </c>
      <c r="G40" s="67">
        <v>115.47</v>
      </c>
      <c r="I40" s="53">
        <f t="shared" si="8"/>
        <v>2800</v>
      </c>
      <c r="J40" s="66">
        <v>36.89</v>
      </c>
      <c r="K40" s="67">
        <v>85.33</v>
      </c>
      <c r="M40" s="53">
        <f t="shared" si="9"/>
        <v>2800</v>
      </c>
      <c r="N40" s="66">
        <v>39.479999999999997</v>
      </c>
      <c r="O40" s="67">
        <v>90.1</v>
      </c>
      <c r="R40" s="53">
        <v>0.6</v>
      </c>
      <c r="S40" s="62">
        <f>$X$4/(R40+(1.5*(1+3.762)))</f>
        <v>8.4826799775515171E-8</v>
      </c>
      <c r="T40" s="62">
        <f>(I48*S40)/$B$51</f>
        <v>1.1966940778330801E-2</v>
      </c>
      <c r="U40" s="63">
        <f t="shared" ref="U40:U52" si="12">(S40*H48)/$B$51</f>
        <v>2.5448039932654551E-3</v>
      </c>
      <c r="V40" s="53">
        <v>0.6</v>
      </c>
      <c r="W40" s="62">
        <f>$X$3/(V40+(12.5*(1+3.762)))</f>
        <v>3.4999344514229405E-7</v>
      </c>
      <c r="X40" s="62">
        <f>(W40*P48)/$B$51</f>
        <v>0.41124229804219548</v>
      </c>
      <c r="Y40" s="63">
        <f>(W40*O48)/$B$51</f>
        <v>8.7498361285573506E-2</v>
      </c>
      <c r="Z40" s="23"/>
      <c r="AA40" s="23"/>
      <c r="AB40" s="23"/>
      <c r="AC40" s="23"/>
      <c r="AD40" s="23"/>
      <c r="AE40" s="23"/>
      <c r="AF40" s="23"/>
      <c r="AG40" s="23"/>
      <c r="AH40" s="20"/>
    </row>
    <row r="41" spans="1:34" x14ac:dyDescent="0.3">
      <c r="A41" s="53">
        <f t="shared" si="6"/>
        <v>2850</v>
      </c>
      <c r="B41" s="66">
        <v>62.02</v>
      </c>
      <c r="C41" s="67">
        <v>143.57</v>
      </c>
      <c r="E41" s="53">
        <f t="shared" si="7"/>
        <v>2850</v>
      </c>
      <c r="F41" s="66">
        <v>55.29</v>
      </c>
      <c r="G41" s="67">
        <v>118.23</v>
      </c>
      <c r="I41" s="53">
        <f t="shared" si="8"/>
        <v>2850</v>
      </c>
      <c r="J41" s="66">
        <v>36.93</v>
      </c>
      <c r="K41" s="67">
        <v>87.18</v>
      </c>
      <c r="M41" s="53">
        <f t="shared" si="9"/>
        <v>2850</v>
      </c>
      <c r="N41" s="66">
        <v>39.57</v>
      </c>
      <c r="O41" s="67">
        <v>92.07</v>
      </c>
      <c r="R41" s="53">
        <f>R40+0.05</f>
        <v>0.65</v>
      </c>
      <c r="S41" s="62">
        <f t="shared" ref="S41:S52" si="13">$X$4/(R41+(1.5*(1+3.762)))</f>
        <v>8.4282549809035532E-8</v>
      </c>
      <c r="T41" s="62">
        <f t="shared" ref="T41:T52" si="14">(I49*S41)/$B$51</f>
        <v>1.1890160714309686E-2</v>
      </c>
      <c r="U41" s="63">
        <f t="shared" si="12"/>
        <v>2.7391828687936548E-3</v>
      </c>
      <c r="V41" s="53">
        <f>V40+0.05</f>
        <v>0.65</v>
      </c>
      <c r="W41" s="62">
        <f t="shared" ref="W41:W52" si="15">$X$3/(V41+(12.5*(1+3.762)))</f>
        <v>3.4970263214259131E-7</v>
      </c>
      <c r="X41" s="62">
        <f t="shared" ref="X41:X52" si="16">(W41*P49)/$B$51</f>
        <v>0.41090059276754476</v>
      </c>
      <c r="Y41" s="63">
        <f t="shared" ref="Y41:Y52" si="17">(W41*O49)/$B$51</f>
        <v>7.6497450781191842E-2</v>
      </c>
      <c r="Z41" s="23"/>
      <c r="AA41" s="23"/>
      <c r="AB41" s="23"/>
      <c r="AC41" s="23"/>
      <c r="AD41" s="23"/>
      <c r="AE41" s="23"/>
      <c r="AF41" s="23"/>
      <c r="AG41" s="23"/>
    </row>
    <row r="42" spans="1:34" x14ac:dyDescent="0.3">
      <c r="A42" s="53">
        <f t="shared" si="6"/>
        <v>2900</v>
      </c>
      <c r="B42" s="66">
        <v>62.08</v>
      </c>
      <c r="C42" s="67">
        <v>246.67</v>
      </c>
      <c r="E42" s="53">
        <f t="shared" si="7"/>
        <v>2900</v>
      </c>
      <c r="F42" s="66">
        <v>55.46</v>
      </c>
      <c r="G42" s="67">
        <v>120.99</v>
      </c>
      <c r="I42" s="53">
        <f t="shared" si="8"/>
        <v>2900</v>
      </c>
      <c r="J42" s="66">
        <v>36.96</v>
      </c>
      <c r="K42" s="67">
        <v>89.03</v>
      </c>
      <c r="M42" s="53">
        <f t="shared" si="9"/>
        <v>2900</v>
      </c>
      <c r="N42" s="66">
        <v>39.659999999999997</v>
      </c>
      <c r="O42" s="67">
        <v>94.06</v>
      </c>
      <c r="R42" s="53">
        <f t="shared" ref="R42:R47" si="18">R41+0.05</f>
        <v>0.70000000000000007</v>
      </c>
      <c r="S42" s="62">
        <f t="shared" si="13"/>
        <v>8.3745239151066427E-8</v>
      </c>
      <c r="T42" s="62">
        <f t="shared" si="14"/>
        <v>1.1814359613236694E-2</v>
      </c>
      <c r="U42" s="63">
        <f t="shared" si="12"/>
        <v>2.9310833702873252E-3</v>
      </c>
      <c r="V42" s="53">
        <f t="shared" ref="V42:V47" si="19">V41+0.05</f>
        <v>0.70000000000000007</v>
      </c>
      <c r="W42" s="62">
        <f t="shared" si="15"/>
        <v>3.4941230202043053E-7</v>
      </c>
      <c r="X42" s="62">
        <f t="shared" si="16"/>
        <v>0.41055945487400586</v>
      </c>
      <c r="Y42" s="63">
        <f t="shared" si="17"/>
        <v>6.5514806628830718E-2</v>
      </c>
      <c r="Z42" s="23"/>
      <c r="AA42" s="23"/>
      <c r="AB42" s="23"/>
      <c r="AC42" s="23"/>
      <c r="AD42" s="23"/>
      <c r="AE42" s="23"/>
      <c r="AF42" s="23"/>
      <c r="AG42" s="23"/>
    </row>
    <row r="43" spans="1:34" x14ac:dyDescent="0.3">
      <c r="A43" s="53">
        <f t="shared" si="6"/>
        <v>2950</v>
      </c>
      <c r="B43" s="66">
        <v>62.14</v>
      </c>
      <c r="C43" s="67">
        <v>149.78</v>
      </c>
      <c r="E43" s="53">
        <f t="shared" si="7"/>
        <v>2950</v>
      </c>
      <c r="F43" s="66">
        <v>55.62</v>
      </c>
      <c r="G43" s="67">
        <v>123.77</v>
      </c>
      <c r="I43" s="53">
        <f t="shared" si="8"/>
        <v>2950</v>
      </c>
      <c r="J43" s="66">
        <v>36.99</v>
      </c>
      <c r="K43" s="67">
        <v>90.88</v>
      </c>
      <c r="M43" s="53">
        <f t="shared" si="9"/>
        <v>2950</v>
      </c>
      <c r="N43" s="66">
        <v>39.75</v>
      </c>
      <c r="O43" s="67">
        <v>96.04</v>
      </c>
      <c r="R43" s="53">
        <f t="shared" si="18"/>
        <v>0.75000000000000011</v>
      </c>
      <c r="S43" s="62">
        <f t="shared" si="13"/>
        <v>8.3214735925733425E-8</v>
      </c>
      <c r="T43" s="62">
        <f t="shared" si="14"/>
        <v>1.173951887072284E-2</v>
      </c>
      <c r="U43" s="63">
        <f t="shared" si="12"/>
        <v>3.1205525972150035E-3</v>
      </c>
      <c r="V43" s="53">
        <f t="shared" si="19"/>
        <v>0.75000000000000011</v>
      </c>
      <c r="W43" s="62">
        <f t="shared" si="15"/>
        <v>3.4912245357412576E-7</v>
      </c>
      <c r="X43" s="62">
        <f t="shared" si="16"/>
        <v>0.41021888294959774</v>
      </c>
      <c r="Y43" s="63">
        <f t="shared" si="17"/>
        <v>5.4550383370957148E-2</v>
      </c>
      <c r="Z43" s="23"/>
      <c r="AA43" s="23"/>
      <c r="AB43" s="23"/>
      <c r="AC43" s="23"/>
      <c r="AD43" s="23"/>
      <c r="AE43" s="23"/>
      <c r="AF43" s="23"/>
      <c r="AG43" s="23"/>
    </row>
    <row r="44" spans="1:34" ht="15" thickBot="1" x14ac:dyDescent="0.35">
      <c r="A44" s="54">
        <f t="shared" si="6"/>
        <v>3000</v>
      </c>
      <c r="B44" s="68">
        <v>62.19</v>
      </c>
      <c r="C44" s="69">
        <v>152.88</v>
      </c>
      <c r="E44" s="54">
        <f t="shared" si="7"/>
        <v>3000</v>
      </c>
      <c r="F44" s="68">
        <v>55.78</v>
      </c>
      <c r="G44" s="69">
        <v>126.56</v>
      </c>
      <c r="I44" s="54">
        <f t="shared" si="8"/>
        <v>3000</v>
      </c>
      <c r="J44" s="68">
        <v>37.03</v>
      </c>
      <c r="K44" s="69">
        <v>92.73</v>
      </c>
      <c r="M44" s="54">
        <f t="shared" si="9"/>
        <v>3000</v>
      </c>
      <c r="N44" s="68">
        <v>39.840000000000003</v>
      </c>
      <c r="O44" s="69">
        <v>98.03</v>
      </c>
      <c r="R44" s="53">
        <f t="shared" si="18"/>
        <v>0.80000000000000016</v>
      </c>
      <c r="S44" s="62">
        <f t="shared" si="13"/>
        <v>8.2690911577717992E-8</v>
      </c>
      <c r="T44" s="62">
        <f t="shared" si="14"/>
        <v>1.1665620350826566E-2</v>
      </c>
      <c r="U44" s="63">
        <f t="shared" si="12"/>
        <v>3.3076364631087203E-3</v>
      </c>
      <c r="V44" s="53">
        <f t="shared" si="19"/>
        <v>0.80000000000000016</v>
      </c>
      <c r="W44" s="62">
        <f t="shared" si="15"/>
        <v>3.4883308560597484E-7</v>
      </c>
      <c r="X44" s="62">
        <f t="shared" si="16"/>
        <v>0.40987887558702035</v>
      </c>
      <c r="Y44" s="63">
        <f t="shared" si="17"/>
        <v>4.3604135700746852E-2</v>
      </c>
      <c r="Z44" s="23"/>
      <c r="AA44" s="23"/>
      <c r="AB44" s="23"/>
      <c r="AC44" s="23"/>
      <c r="AD44" s="23"/>
      <c r="AE44" s="23"/>
      <c r="AF44" s="23"/>
      <c r="AG44" s="23"/>
    </row>
    <row r="45" spans="1:34" ht="15" thickBot="1" x14ac:dyDescent="0.35">
      <c r="R45" s="53">
        <f t="shared" si="18"/>
        <v>0.8500000000000002</v>
      </c>
      <c r="S45" s="62">
        <f t="shared" si="13"/>
        <v>8.217364076839909E-8</v>
      </c>
      <c r="T45" s="62">
        <f t="shared" si="14"/>
        <v>1.15926463714019E-2</v>
      </c>
      <c r="U45" s="63">
        <f t="shared" si="12"/>
        <v>3.4923797326569619E-3</v>
      </c>
      <c r="V45" s="53">
        <f t="shared" si="19"/>
        <v>0.8500000000000002</v>
      </c>
      <c r="W45" s="62">
        <f t="shared" si="15"/>
        <v>3.4854419692224312E-7</v>
      </c>
      <c r="X45" s="62">
        <f t="shared" si="16"/>
        <v>0.40953943138363563</v>
      </c>
      <c r="Y45" s="63">
        <f t="shared" si="17"/>
        <v>3.2676018461460288E-2</v>
      </c>
      <c r="Z45" s="23"/>
      <c r="AA45" s="23"/>
      <c r="AB45" s="23"/>
      <c r="AC45" s="23"/>
      <c r="AD45" s="23"/>
      <c r="AE45" s="23"/>
      <c r="AF45" s="23"/>
      <c r="AG45" s="23"/>
    </row>
    <row r="46" spans="1:34" x14ac:dyDescent="0.3">
      <c r="A46" s="84" t="s">
        <v>56</v>
      </c>
      <c r="B46" s="85"/>
      <c r="C46" s="86"/>
      <c r="E46" s="84" t="s">
        <v>91</v>
      </c>
      <c r="F46" s="85"/>
      <c r="G46" s="85"/>
      <c r="H46" s="85"/>
      <c r="I46" s="85"/>
      <c r="J46" s="86"/>
      <c r="L46" s="84" t="s">
        <v>90</v>
      </c>
      <c r="M46" s="85"/>
      <c r="N46" s="85"/>
      <c r="O46" s="85"/>
      <c r="P46" s="85"/>
      <c r="Q46" s="86"/>
      <c r="R46" s="53">
        <f t="shared" si="18"/>
        <v>0.90000000000000024</v>
      </c>
      <c r="S46" s="62">
        <f t="shared" si="13"/>
        <v>8.1662801275868944E-8</v>
      </c>
      <c r="T46" s="62">
        <f t="shared" si="14"/>
        <v>1.152057968999321E-2</v>
      </c>
      <c r="U46" s="63">
        <f t="shared" si="12"/>
        <v>3.6748260574141034E-3</v>
      </c>
      <c r="V46" s="53">
        <f t="shared" si="19"/>
        <v>0.90000000000000024</v>
      </c>
      <c r="W46" s="62">
        <f t="shared" si="15"/>
        <v>3.4825578633314736E-7</v>
      </c>
      <c r="X46" s="62">
        <f t="shared" si="16"/>
        <v>0.40920054894144814</v>
      </c>
      <c r="Y46" s="63">
        <f t="shared" si="17"/>
        <v>2.176598664582171E-2</v>
      </c>
      <c r="Z46" s="23"/>
      <c r="AA46" s="23"/>
      <c r="AB46" s="23"/>
      <c r="AC46" s="23"/>
      <c r="AD46" s="23"/>
      <c r="AE46" s="23"/>
      <c r="AF46" s="23"/>
      <c r="AG46" s="23"/>
    </row>
    <row r="47" spans="1:34" x14ac:dyDescent="0.3">
      <c r="A47" s="46" t="s">
        <v>61</v>
      </c>
      <c r="B47" s="47" t="s">
        <v>62</v>
      </c>
      <c r="C47" s="48" t="s">
        <v>63</v>
      </c>
      <c r="E47" s="49" t="s">
        <v>7</v>
      </c>
      <c r="F47" s="50" t="s">
        <v>86</v>
      </c>
      <c r="G47" s="50" t="s">
        <v>87</v>
      </c>
      <c r="H47" s="50" t="s">
        <v>88</v>
      </c>
      <c r="I47" s="50" t="s">
        <v>89</v>
      </c>
      <c r="J47" s="51" t="s">
        <v>93</v>
      </c>
      <c r="L47" s="49" t="s">
        <v>7</v>
      </c>
      <c r="M47" s="50" t="s">
        <v>86</v>
      </c>
      <c r="N47" s="50" t="s">
        <v>87</v>
      </c>
      <c r="O47" s="50" t="s">
        <v>88</v>
      </c>
      <c r="P47" s="50" t="s">
        <v>89</v>
      </c>
      <c r="Q47" s="51" t="s">
        <v>93</v>
      </c>
      <c r="R47" s="53">
        <f t="shared" si="18"/>
        <v>0.95000000000000029</v>
      </c>
      <c r="S47" s="62">
        <f t="shared" si="13"/>
        <v>8.1158273898654869E-8</v>
      </c>
      <c r="T47" s="62">
        <f t="shared" si="14"/>
        <v>1.1449403490252735E-2</v>
      </c>
      <c r="U47" s="63">
        <f t="shared" si="12"/>
        <v>3.8550180101861072E-3</v>
      </c>
      <c r="V47" s="53">
        <f t="shared" si="19"/>
        <v>0.95000000000000029</v>
      </c>
      <c r="W47" s="62">
        <f t="shared" si="15"/>
        <v>3.4796785265283884E-7</v>
      </c>
      <c r="X47" s="62">
        <f t="shared" si="16"/>
        <v>0.40886222686708557</v>
      </c>
      <c r="Y47" s="63">
        <f t="shared" si="17"/>
        <v>1.0873995395401214E-2</v>
      </c>
      <c r="Z47" s="23"/>
      <c r="AA47" s="23"/>
      <c r="AB47" s="23"/>
      <c r="AC47" s="23"/>
      <c r="AD47" s="23"/>
      <c r="AE47" s="23"/>
      <c r="AF47" s="23"/>
      <c r="AG47" s="23"/>
    </row>
    <row r="48" spans="1:34" x14ac:dyDescent="0.3">
      <c r="A48" s="53" t="s">
        <v>57</v>
      </c>
      <c r="B48" s="66">
        <v>1</v>
      </c>
      <c r="C48" s="51" t="s">
        <v>3</v>
      </c>
      <c r="E48" s="53">
        <v>0.6</v>
      </c>
      <c r="F48" s="58">
        <f>E48</f>
        <v>0.6</v>
      </c>
      <c r="G48" s="58">
        <f>F48*2</f>
        <v>1.2</v>
      </c>
      <c r="H48" s="58">
        <f>1.2</f>
        <v>1.2</v>
      </c>
      <c r="I48" s="58">
        <v>5.6429999999999998</v>
      </c>
      <c r="J48" s="63">
        <f t="shared" ref="J48:J60" si="20">S40*(F48+G48+H48+I48)</f>
        <v>7.3315803045977767E-7</v>
      </c>
      <c r="L48" s="53">
        <v>0.6</v>
      </c>
      <c r="M48" s="58">
        <v>4.8</v>
      </c>
      <c r="N48" s="58">
        <v>5.4</v>
      </c>
      <c r="O48" s="58">
        <v>10</v>
      </c>
      <c r="P48" s="58">
        <v>47</v>
      </c>
      <c r="Q48" s="63">
        <f>W40*(M48+N48+O48+P48)</f>
        <v>2.351955951356216E-5</v>
      </c>
      <c r="R48" s="53">
        <f>R47+0.01</f>
        <v>0.9600000000000003</v>
      </c>
      <c r="S48" s="62">
        <f t="shared" si="13"/>
        <v>8.1058115594448216E-8</v>
      </c>
      <c r="T48" s="62">
        <f t="shared" si="14"/>
        <v>1.1435273657486781E-2</v>
      </c>
      <c r="U48" s="63">
        <f t="shared" si="12"/>
        <v>3.8907895485335155E-3</v>
      </c>
      <c r="V48" s="53">
        <f>V47+0.01</f>
        <v>0.9600000000000003</v>
      </c>
      <c r="W48" s="62">
        <f t="shared" si="15"/>
        <v>3.4791032304175301E-7</v>
      </c>
      <c r="X48" s="62">
        <f t="shared" si="16"/>
        <v>0.40879462957405971</v>
      </c>
      <c r="Y48" s="63">
        <f t="shared" si="17"/>
        <v>8.6977580760438239E-3</v>
      </c>
      <c r="Z48" s="23"/>
      <c r="AA48" s="23"/>
      <c r="AB48" s="23"/>
      <c r="AC48" s="23"/>
      <c r="AD48" s="23"/>
      <c r="AE48" s="23"/>
      <c r="AF48" s="23"/>
      <c r="AG48" s="23"/>
    </row>
    <row r="49" spans="1:33" x14ac:dyDescent="0.3">
      <c r="A49" s="53" t="s">
        <v>1</v>
      </c>
      <c r="B49" s="70">
        <v>100000</v>
      </c>
      <c r="C49" s="51" t="s">
        <v>64</v>
      </c>
      <c r="E49" s="53">
        <f>E48+0.05</f>
        <v>0.65</v>
      </c>
      <c r="F49" s="58">
        <f t="shared" ref="F49:F60" si="21">E49</f>
        <v>0.65</v>
      </c>
      <c r="G49" s="58">
        <f t="shared" ref="G49:G60" si="22">F49*2</f>
        <v>1.3</v>
      </c>
      <c r="H49" s="58">
        <f>H48+0.1</f>
        <v>1.3</v>
      </c>
      <c r="I49" s="58">
        <v>5.6429999999999998</v>
      </c>
      <c r="J49" s="63">
        <f t="shared" si="20"/>
        <v>7.4952471545175301E-7</v>
      </c>
      <c r="L49" s="53">
        <f>L48+0.05</f>
        <v>0.65</v>
      </c>
      <c r="M49" s="58">
        <f>M48+0.4</f>
        <v>5.2</v>
      </c>
      <c r="N49" s="58">
        <f>N48+0.45</f>
        <v>5.8500000000000005</v>
      </c>
      <c r="O49" s="58">
        <f>O48-1.25</f>
        <v>8.75</v>
      </c>
      <c r="P49" s="58">
        <v>47</v>
      </c>
      <c r="Q49" s="63">
        <f t="shared" ref="Q49:Q60" si="23">W41*(M49+N49+O49+P49)</f>
        <v>2.3360135827125097E-5</v>
      </c>
      <c r="R49" s="53">
        <f t="shared" ref="R49:R52" si="24">R48+0.01</f>
        <v>0.97000000000000031</v>
      </c>
      <c r="S49" s="62">
        <f t="shared" si="13"/>
        <v>8.0958204198423994E-8</v>
      </c>
      <c r="T49" s="62">
        <f t="shared" si="14"/>
        <v>1.1421178657292664E-2</v>
      </c>
      <c r="U49" s="63">
        <f t="shared" si="12"/>
        <v>3.9264729036235643E-3</v>
      </c>
      <c r="V49" s="53">
        <f t="shared" ref="V49:V52" si="25">V48+0.01</f>
        <v>0.97000000000000031</v>
      </c>
      <c r="W49" s="62">
        <f t="shared" si="15"/>
        <v>3.4785281245029226E-7</v>
      </c>
      <c r="X49" s="62">
        <f t="shared" si="16"/>
        <v>0.40872705462909337</v>
      </c>
      <c r="Y49" s="63">
        <f t="shared" si="17"/>
        <v>6.5222402334429797E-3</v>
      </c>
      <c r="Z49" s="23"/>
      <c r="AA49" s="23"/>
      <c r="AB49" s="23"/>
      <c r="AC49" s="23"/>
      <c r="AD49" s="23"/>
      <c r="AE49" s="23"/>
      <c r="AF49" s="23"/>
      <c r="AG49" s="23"/>
    </row>
    <row r="50" spans="1:33" x14ac:dyDescent="0.3">
      <c r="A50" s="53" t="s">
        <v>58</v>
      </c>
      <c r="B50" s="66">
        <v>40</v>
      </c>
      <c r="C50" s="51" t="s">
        <v>65</v>
      </c>
      <c r="E50" s="53">
        <f t="shared" ref="E50:E55" si="26">E49+0.05</f>
        <v>0.70000000000000007</v>
      </c>
      <c r="F50" s="58">
        <f t="shared" si="21"/>
        <v>0.70000000000000007</v>
      </c>
      <c r="G50" s="58">
        <f t="shared" si="22"/>
        <v>1.4000000000000001</v>
      </c>
      <c r="H50" s="58">
        <f t="shared" ref="H50:H55" si="27">H49+0.1</f>
        <v>1.4000000000000001</v>
      </c>
      <c r="I50" s="58">
        <v>5.6429999999999998</v>
      </c>
      <c r="J50" s="63">
        <f t="shared" si="20"/>
        <v>7.6568272155820036E-7</v>
      </c>
      <c r="L50" s="53">
        <f t="shared" ref="L50:L55" si="28">L49+0.05</f>
        <v>0.70000000000000007</v>
      </c>
      <c r="M50" s="58">
        <f t="shared" ref="M50:M55" si="29">M49+0.4</f>
        <v>5.6000000000000005</v>
      </c>
      <c r="N50" s="58">
        <f t="shared" ref="N50:N55" si="30">N49+0.45</f>
        <v>6.3000000000000007</v>
      </c>
      <c r="O50" s="58">
        <f t="shared" ref="O50:O55" si="31">O49-1.25</f>
        <v>7.5</v>
      </c>
      <c r="P50" s="58">
        <v>47</v>
      </c>
      <c r="Q50" s="63">
        <f t="shared" si="23"/>
        <v>2.3200976854156591E-5</v>
      </c>
      <c r="R50" s="53">
        <f t="shared" si="24"/>
        <v>0.98000000000000032</v>
      </c>
      <c r="S50" s="62">
        <f t="shared" si="13"/>
        <v>8.0858538798696775E-8</v>
      </c>
      <c r="T50" s="62">
        <f t="shared" si="14"/>
        <v>1.1407118361026147E-2</v>
      </c>
      <c r="U50" s="63">
        <f t="shared" si="12"/>
        <v>3.9620684011361425E-3</v>
      </c>
      <c r="V50" s="53">
        <f t="shared" si="25"/>
        <v>0.98000000000000032</v>
      </c>
      <c r="W50" s="62">
        <f t="shared" si="15"/>
        <v>3.4779532086902621E-7</v>
      </c>
      <c r="X50" s="62">
        <f t="shared" si="16"/>
        <v>0.40865950202110574</v>
      </c>
      <c r="Y50" s="63">
        <f t="shared" si="17"/>
        <v>4.3474415108628274E-3</v>
      </c>
      <c r="Z50" s="23"/>
      <c r="AA50" s="23"/>
      <c r="AB50" s="23"/>
      <c r="AC50" s="23"/>
      <c r="AD50" s="23"/>
      <c r="AE50" s="23"/>
      <c r="AF50" s="23"/>
      <c r="AG50" s="23"/>
    </row>
    <row r="51" spans="1:33" x14ac:dyDescent="0.3">
      <c r="A51" s="53" t="s">
        <v>58</v>
      </c>
      <c r="B51" s="70">
        <f>1/25000</f>
        <v>4.0000000000000003E-5</v>
      </c>
      <c r="C51" s="51" t="s">
        <v>66</v>
      </c>
      <c r="E51" s="53">
        <f t="shared" si="26"/>
        <v>0.75000000000000011</v>
      </c>
      <c r="F51" s="58">
        <f t="shared" si="21"/>
        <v>0.75000000000000011</v>
      </c>
      <c r="G51" s="58">
        <f t="shared" si="22"/>
        <v>1.5000000000000002</v>
      </c>
      <c r="H51" s="58">
        <f t="shared" si="27"/>
        <v>1.5000000000000002</v>
      </c>
      <c r="I51" s="58">
        <v>5.6429999999999998</v>
      </c>
      <c r="J51" s="63">
        <f t="shared" si="20"/>
        <v>7.8163601455041413E-7</v>
      </c>
      <c r="L51" s="53">
        <f t="shared" si="28"/>
        <v>0.75000000000000011</v>
      </c>
      <c r="M51" s="58">
        <f t="shared" si="29"/>
        <v>6.0000000000000009</v>
      </c>
      <c r="N51" s="58">
        <f t="shared" si="30"/>
        <v>6.7500000000000009</v>
      </c>
      <c r="O51" s="58">
        <f t="shared" si="31"/>
        <v>6.25</v>
      </c>
      <c r="P51" s="58">
        <v>47</v>
      </c>
      <c r="Q51" s="63">
        <f t="shared" si="23"/>
        <v>2.3042081935892299E-5</v>
      </c>
      <c r="R51" s="53">
        <f t="shared" si="24"/>
        <v>0.99000000000000032</v>
      </c>
      <c r="S51" s="62">
        <f t="shared" si="13"/>
        <v>8.075911848786597E-8</v>
      </c>
      <c r="T51" s="62">
        <f t="shared" si="14"/>
        <v>1.139309264067569E-2</v>
      </c>
      <c r="U51" s="63">
        <f t="shared" si="12"/>
        <v>3.9975763651493666E-3</v>
      </c>
      <c r="V51" s="53">
        <f t="shared" si="25"/>
        <v>0.99000000000000032</v>
      </c>
      <c r="W51" s="62">
        <f t="shared" si="15"/>
        <v>3.4773784828853059E-7</v>
      </c>
      <c r="X51" s="62">
        <f t="shared" si="16"/>
        <v>0.4085919717390234</v>
      </c>
      <c r="Y51" s="63">
        <f t="shared" si="17"/>
        <v>2.1733615518033161E-3</v>
      </c>
      <c r="Z51" s="23"/>
      <c r="AA51" s="23"/>
      <c r="AB51" s="23"/>
      <c r="AC51" s="23"/>
      <c r="AD51" s="23"/>
      <c r="AE51" s="23"/>
      <c r="AF51" s="23"/>
      <c r="AG51" s="23"/>
    </row>
    <row r="52" spans="1:33" ht="15" thickBot="1" x14ac:dyDescent="0.35">
      <c r="A52" s="24" t="s">
        <v>59</v>
      </c>
      <c r="B52" s="66">
        <v>8314</v>
      </c>
      <c r="C52" s="51" t="s">
        <v>67</v>
      </c>
      <c r="E52" s="53">
        <f t="shared" si="26"/>
        <v>0.80000000000000016</v>
      </c>
      <c r="F52" s="58">
        <f t="shared" si="21"/>
        <v>0.80000000000000016</v>
      </c>
      <c r="G52" s="58">
        <f t="shared" si="22"/>
        <v>1.6000000000000003</v>
      </c>
      <c r="H52" s="58">
        <f t="shared" si="27"/>
        <v>1.6000000000000003</v>
      </c>
      <c r="I52" s="58">
        <v>5.6429999999999998</v>
      </c>
      <c r="J52" s="63">
        <f t="shared" si="20"/>
        <v>7.973884603439346E-7</v>
      </c>
      <c r="L52" s="53">
        <f t="shared" si="28"/>
        <v>0.80000000000000016</v>
      </c>
      <c r="M52" s="58">
        <f t="shared" si="29"/>
        <v>6.4000000000000012</v>
      </c>
      <c r="N52" s="58">
        <f t="shared" si="30"/>
        <v>7.2000000000000011</v>
      </c>
      <c r="O52" s="58">
        <f t="shared" si="31"/>
        <v>5</v>
      </c>
      <c r="P52" s="58">
        <v>47</v>
      </c>
      <c r="Q52" s="63">
        <f t="shared" si="23"/>
        <v>2.2883450415751948E-5</v>
      </c>
      <c r="R52" s="54">
        <f t="shared" si="24"/>
        <v>1.0000000000000002</v>
      </c>
      <c r="S52" s="64">
        <f t="shared" si="13"/>
        <v>8.065994236298833E-8</v>
      </c>
      <c r="T52" s="64">
        <f t="shared" si="14"/>
        <v>1.1379101368858578E-2</v>
      </c>
      <c r="U52" s="65">
        <f t="shared" si="12"/>
        <v>4.0329971181494164E-3</v>
      </c>
      <c r="V52" s="54">
        <f t="shared" si="25"/>
        <v>1.0000000000000002</v>
      </c>
      <c r="W52" s="64">
        <f t="shared" si="15"/>
        <v>3.4768039469938753E-7</v>
      </c>
      <c r="X52" s="64">
        <f t="shared" si="16"/>
        <v>0.40852446377178026</v>
      </c>
      <c r="Y52" s="65">
        <f t="shared" si="17"/>
        <v>0</v>
      </c>
      <c r="Z52" s="23"/>
      <c r="AA52" s="23"/>
      <c r="AB52" s="23"/>
      <c r="AC52" s="23"/>
      <c r="AD52" s="23"/>
      <c r="AE52" s="23"/>
      <c r="AF52" s="23"/>
      <c r="AG52" s="23"/>
    </row>
    <row r="53" spans="1:33" ht="15" thickBot="1" x14ac:dyDescent="0.35">
      <c r="A53" s="25" t="s">
        <v>59</v>
      </c>
      <c r="B53" s="66">
        <v>259.5</v>
      </c>
      <c r="C53" s="51" t="s">
        <v>73</v>
      </c>
      <c r="E53" s="53">
        <f t="shared" si="26"/>
        <v>0.8500000000000002</v>
      </c>
      <c r="F53" s="58">
        <f t="shared" si="21"/>
        <v>0.8500000000000002</v>
      </c>
      <c r="G53" s="58">
        <f t="shared" si="22"/>
        <v>1.7000000000000004</v>
      </c>
      <c r="H53" s="58">
        <f t="shared" si="27"/>
        <v>1.7000000000000004</v>
      </c>
      <c r="I53" s="58">
        <v>5.6429999999999998</v>
      </c>
      <c r="J53" s="63">
        <f t="shared" si="20"/>
        <v>8.1294382812177225E-7</v>
      </c>
      <c r="L53" s="53">
        <f t="shared" si="28"/>
        <v>0.8500000000000002</v>
      </c>
      <c r="M53" s="58">
        <f t="shared" si="29"/>
        <v>6.8000000000000016</v>
      </c>
      <c r="N53" s="58">
        <f t="shared" si="30"/>
        <v>7.6500000000000012</v>
      </c>
      <c r="O53" s="58">
        <f t="shared" si="31"/>
        <v>3.75</v>
      </c>
      <c r="P53" s="58">
        <v>47</v>
      </c>
      <c r="Q53" s="63">
        <f t="shared" si="23"/>
        <v>2.2725081639330252E-5</v>
      </c>
    </row>
    <row r="54" spans="1:33" x14ac:dyDescent="0.3">
      <c r="A54" s="24" t="s">
        <v>60</v>
      </c>
      <c r="B54" s="66">
        <v>690</v>
      </c>
      <c r="C54" s="51" t="s">
        <v>68</v>
      </c>
      <c r="E54" s="53">
        <f t="shared" si="26"/>
        <v>0.90000000000000024</v>
      </c>
      <c r="F54" s="58">
        <f t="shared" si="21"/>
        <v>0.90000000000000024</v>
      </c>
      <c r="G54" s="58">
        <f t="shared" si="22"/>
        <v>1.8000000000000005</v>
      </c>
      <c r="H54" s="58">
        <f t="shared" si="27"/>
        <v>1.8000000000000005</v>
      </c>
      <c r="I54" s="58">
        <v>5.6429999999999998</v>
      </c>
      <c r="J54" s="63">
        <f t="shared" si="20"/>
        <v>8.2830579334113873E-7</v>
      </c>
      <c r="L54" s="53">
        <f t="shared" si="28"/>
        <v>0.90000000000000024</v>
      </c>
      <c r="M54" s="58">
        <f t="shared" si="29"/>
        <v>7.200000000000002</v>
      </c>
      <c r="N54" s="58">
        <f t="shared" si="30"/>
        <v>8.1000000000000014</v>
      </c>
      <c r="O54" s="58">
        <f t="shared" si="31"/>
        <v>2.5</v>
      </c>
      <c r="P54" s="58">
        <v>47</v>
      </c>
      <c r="Q54" s="63">
        <f t="shared" si="23"/>
        <v>2.2566974954387954E-5</v>
      </c>
      <c r="R54" s="31"/>
      <c r="S54" s="4"/>
      <c r="T54" s="96" t="s">
        <v>17</v>
      </c>
      <c r="U54" s="96"/>
      <c r="V54" s="5"/>
      <c r="W54" s="98" t="s">
        <v>98</v>
      </c>
      <c r="X54" s="98"/>
      <c r="Y54" s="6"/>
      <c r="Z54" s="17"/>
      <c r="AA54" s="17"/>
      <c r="AB54" s="17"/>
      <c r="AC54" s="17"/>
      <c r="AD54" s="17"/>
      <c r="AE54" s="17"/>
      <c r="AF54" s="17"/>
      <c r="AG54" s="17"/>
    </row>
    <row r="55" spans="1:33" x14ac:dyDescent="0.3">
      <c r="A55" s="25" t="s">
        <v>60</v>
      </c>
      <c r="B55" s="66">
        <v>792</v>
      </c>
      <c r="C55" s="51" t="s">
        <v>68</v>
      </c>
      <c r="E55" s="53">
        <f t="shared" si="26"/>
        <v>0.95000000000000029</v>
      </c>
      <c r="F55" s="58">
        <f t="shared" si="21"/>
        <v>0.95000000000000029</v>
      </c>
      <c r="G55" s="58">
        <f t="shared" si="22"/>
        <v>1.9000000000000006</v>
      </c>
      <c r="H55" s="58">
        <f t="shared" si="27"/>
        <v>1.9000000000000006</v>
      </c>
      <c r="I55" s="58">
        <v>5.6429999999999998</v>
      </c>
      <c r="J55" s="63">
        <f t="shared" si="20"/>
        <v>8.4347794062872013E-7</v>
      </c>
      <c r="L55" s="53">
        <f t="shared" si="28"/>
        <v>0.95000000000000029</v>
      </c>
      <c r="M55" s="58">
        <f t="shared" si="29"/>
        <v>7.6000000000000023</v>
      </c>
      <c r="N55" s="58">
        <f t="shared" si="30"/>
        <v>8.5500000000000007</v>
      </c>
      <c r="O55" s="58">
        <f t="shared" si="31"/>
        <v>1.25</v>
      </c>
      <c r="P55" s="58">
        <v>47</v>
      </c>
      <c r="Q55" s="63">
        <f t="shared" si="23"/>
        <v>2.2409129710842824E-5</v>
      </c>
      <c r="R55" s="31"/>
      <c r="S55" s="7"/>
      <c r="T55" s="101" t="s">
        <v>16</v>
      </c>
      <c r="U55" s="101"/>
      <c r="V55" s="8"/>
      <c r="W55" s="8"/>
      <c r="X55" s="8"/>
      <c r="Y55" s="9"/>
      <c r="Z55" s="8"/>
      <c r="AA55" s="8"/>
      <c r="AB55" s="8"/>
      <c r="AC55" s="8"/>
      <c r="AD55" s="8"/>
      <c r="AE55" s="8"/>
      <c r="AF55" s="8"/>
      <c r="AG55" s="8"/>
    </row>
    <row r="56" spans="1:33" x14ac:dyDescent="0.3">
      <c r="A56" s="53" t="s">
        <v>69</v>
      </c>
      <c r="B56" s="66">
        <v>40</v>
      </c>
      <c r="C56" s="51" t="s">
        <v>70</v>
      </c>
      <c r="E56" s="53">
        <f>E55+0.01</f>
        <v>0.9600000000000003</v>
      </c>
      <c r="F56" s="58">
        <f t="shared" si="21"/>
        <v>0.9600000000000003</v>
      </c>
      <c r="G56" s="58">
        <f t="shared" si="22"/>
        <v>1.9200000000000006</v>
      </c>
      <c r="H56" s="58">
        <f>H55+0.02</f>
        <v>1.9200000000000006</v>
      </c>
      <c r="I56" s="58">
        <v>5.6429999999999998</v>
      </c>
      <c r="J56" s="63">
        <f t="shared" si="20"/>
        <v>8.4648990115282281E-7</v>
      </c>
      <c r="L56" s="53">
        <f>L55+0.01</f>
        <v>0.9600000000000003</v>
      </c>
      <c r="M56" s="58">
        <f>M55+0.08</f>
        <v>7.6800000000000024</v>
      </c>
      <c r="N56" s="58">
        <f>N55+0.09</f>
        <v>8.64</v>
      </c>
      <c r="O56" s="58">
        <f>O55-0.25</f>
        <v>1</v>
      </c>
      <c r="P56" s="58">
        <v>47</v>
      </c>
      <c r="Q56" s="63">
        <f t="shared" si="23"/>
        <v>2.2377591978045555E-5</v>
      </c>
      <c r="R56" s="38"/>
      <c r="S56" s="7"/>
      <c r="T56" s="102" t="s">
        <v>94</v>
      </c>
      <c r="U56" s="102"/>
      <c r="V56" s="8"/>
      <c r="W56" s="99" t="s">
        <v>99</v>
      </c>
      <c r="X56" s="99"/>
      <c r="Y56" s="9"/>
      <c r="Z56" s="23"/>
      <c r="AA56" s="23"/>
      <c r="AB56" s="23"/>
      <c r="AC56" s="23"/>
      <c r="AD56" s="23"/>
      <c r="AE56" s="23"/>
      <c r="AF56" s="23"/>
      <c r="AG56" s="23"/>
    </row>
    <row r="57" spans="1:33" x14ac:dyDescent="0.3">
      <c r="A57" s="24" t="s">
        <v>71</v>
      </c>
      <c r="B57" s="66">
        <v>114.22</v>
      </c>
      <c r="C57" s="51" t="s">
        <v>72</v>
      </c>
      <c r="E57" s="53">
        <f t="shared" ref="E57:E60" si="32">E56+0.01</f>
        <v>0.97000000000000031</v>
      </c>
      <c r="F57" s="58">
        <f t="shared" si="21"/>
        <v>0.97000000000000031</v>
      </c>
      <c r="G57" s="58">
        <f t="shared" si="22"/>
        <v>1.9400000000000006</v>
      </c>
      <c r="H57" s="58">
        <f t="shared" ref="H57:H60" si="33">H56+0.02</f>
        <v>1.9400000000000006</v>
      </c>
      <c r="I57" s="58">
        <v>5.6429999999999998</v>
      </c>
      <c r="J57" s="63">
        <f t="shared" si="20"/>
        <v>8.4949443665406319E-7</v>
      </c>
      <c r="L57" s="53">
        <f t="shared" ref="L57:L60" si="34">L56+0.01</f>
        <v>0.97000000000000031</v>
      </c>
      <c r="M57" s="58">
        <f t="shared" ref="M57:M60" si="35">M56+0.08</f>
        <v>7.7600000000000025</v>
      </c>
      <c r="N57" s="58">
        <f t="shared" ref="N57:N60" si="36">N56+0.09</f>
        <v>8.73</v>
      </c>
      <c r="O57" s="58">
        <f t="shared" ref="O57:O60" si="37">O56-0.25</f>
        <v>0.75</v>
      </c>
      <c r="P57" s="58">
        <v>47</v>
      </c>
      <c r="Q57" s="63">
        <f t="shared" si="23"/>
        <v>2.2346064671806778E-5</v>
      </c>
      <c r="R57" s="38"/>
      <c r="S57" s="7"/>
      <c r="T57" s="103" t="s">
        <v>95</v>
      </c>
      <c r="U57" s="103"/>
      <c r="V57" s="8"/>
      <c r="W57" s="99"/>
      <c r="X57" s="99"/>
      <c r="Y57" s="9"/>
      <c r="Z57" s="23"/>
      <c r="AA57" s="23"/>
      <c r="AB57" s="23"/>
      <c r="AC57" s="23"/>
      <c r="AD57" s="23"/>
      <c r="AE57" s="23"/>
      <c r="AF57" s="23"/>
      <c r="AG57" s="23"/>
    </row>
    <row r="58" spans="1:33" ht="15" thickBot="1" x14ac:dyDescent="0.35">
      <c r="A58" s="26" t="s">
        <v>71</v>
      </c>
      <c r="B58" s="68">
        <v>32.04</v>
      </c>
      <c r="C58" s="55" t="s">
        <v>72</v>
      </c>
      <c r="E58" s="53">
        <f t="shared" si="32"/>
        <v>0.98000000000000032</v>
      </c>
      <c r="F58" s="58">
        <f t="shared" si="21"/>
        <v>0.98000000000000032</v>
      </c>
      <c r="G58" s="58">
        <f t="shared" si="22"/>
        <v>1.9600000000000006</v>
      </c>
      <c r="H58" s="58">
        <f t="shared" si="33"/>
        <v>1.9600000000000006</v>
      </c>
      <c r="I58" s="58">
        <v>5.6429999999999998</v>
      </c>
      <c r="J58" s="63">
        <f t="shared" si="20"/>
        <v>8.5249157455466017E-7</v>
      </c>
      <c r="L58" s="53">
        <f t="shared" si="34"/>
        <v>0.98000000000000032</v>
      </c>
      <c r="M58" s="58">
        <f t="shared" si="35"/>
        <v>7.8400000000000025</v>
      </c>
      <c r="N58" s="58">
        <f t="shared" si="36"/>
        <v>8.82</v>
      </c>
      <c r="O58" s="58">
        <f t="shared" si="37"/>
        <v>0.5</v>
      </c>
      <c r="P58" s="58">
        <v>47</v>
      </c>
      <c r="Q58" s="63">
        <f t="shared" si="23"/>
        <v>2.2314547786956719E-5</v>
      </c>
      <c r="R58" s="38"/>
      <c r="S58" s="44"/>
      <c r="T58" s="103" t="s">
        <v>24</v>
      </c>
      <c r="U58" s="103"/>
      <c r="V58" s="8"/>
      <c r="W58" s="99"/>
      <c r="X58" s="99"/>
      <c r="Y58" s="9"/>
      <c r="Z58" s="23"/>
      <c r="AA58" s="23"/>
      <c r="AB58" s="23"/>
      <c r="AC58" s="23"/>
      <c r="AD58" s="23"/>
      <c r="AE58" s="23"/>
      <c r="AF58" s="23"/>
      <c r="AG58" s="23"/>
    </row>
    <row r="59" spans="1:33" x14ac:dyDescent="0.3">
      <c r="A59" s="21" t="s">
        <v>17</v>
      </c>
      <c r="E59" s="53">
        <f t="shared" si="32"/>
        <v>0.99000000000000032</v>
      </c>
      <c r="F59" s="58">
        <f t="shared" si="21"/>
        <v>0.99000000000000032</v>
      </c>
      <c r="G59" s="58">
        <f t="shared" si="22"/>
        <v>1.9800000000000006</v>
      </c>
      <c r="H59" s="58">
        <f t="shared" si="33"/>
        <v>1.9800000000000006</v>
      </c>
      <c r="I59" s="58">
        <v>5.6429999999999998</v>
      </c>
      <c r="J59" s="63">
        <f t="shared" si="20"/>
        <v>8.554813421419644E-7</v>
      </c>
      <c r="L59" s="53">
        <f t="shared" si="34"/>
        <v>0.99000000000000032</v>
      </c>
      <c r="M59" s="58">
        <f t="shared" si="35"/>
        <v>7.9200000000000026</v>
      </c>
      <c r="N59" s="58">
        <f t="shared" si="36"/>
        <v>8.91</v>
      </c>
      <c r="O59" s="58">
        <f t="shared" si="37"/>
        <v>0.25</v>
      </c>
      <c r="P59" s="58">
        <v>47</v>
      </c>
      <c r="Q59" s="63">
        <f t="shared" si="23"/>
        <v>2.2283041318329041E-5</v>
      </c>
      <c r="R59" s="38"/>
      <c r="S59" s="44"/>
      <c r="T59" s="104" t="s">
        <v>96</v>
      </c>
      <c r="U59" s="104"/>
      <c r="V59" s="8"/>
      <c r="W59" s="99"/>
      <c r="X59" s="99"/>
      <c r="Y59" s="9"/>
      <c r="Z59" s="23"/>
      <c r="AA59" s="23"/>
      <c r="AB59" s="23"/>
      <c r="AC59" s="23"/>
      <c r="AD59" s="23"/>
      <c r="AE59" s="23"/>
      <c r="AF59" s="23"/>
      <c r="AG59" s="23"/>
    </row>
    <row r="60" spans="1:33" ht="15" thickBot="1" x14ac:dyDescent="0.35">
      <c r="A60" s="22" t="s">
        <v>16</v>
      </c>
      <c r="E60" s="54">
        <f t="shared" si="32"/>
        <v>1.0000000000000002</v>
      </c>
      <c r="F60" s="59">
        <f t="shared" si="21"/>
        <v>1.0000000000000002</v>
      </c>
      <c r="G60" s="59">
        <f t="shared" si="22"/>
        <v>2.0000000000000004</v>
      </c>
      <c r="H60" s="59">
        <f t="shared" si="33"/>
        <v>2.0000000000000004</v>
      </c>
      <c r="I60" s="59">
        <v>5.6429999999999998</v>
      </c>
      <c r="J60" s="65">
        <f t="shared" si="20"/>
        <v>8.5846376656928489E-7</v>
      </c>
      <c r="L60" s="54">
        <f t="shared" si="34"/>
        <v>1.0000000000000002</v>
      </c>
      <c r="M60" s="59">
        <f t="shared" si="35"/>
        <v>8.0000000000000018</v>
      </c>
      <c r="N60" s="59">
        <f t="shared" si="36"/>
        <v>9</v>
      </c>
      <c r="O60" s="59">
        <f t="shared" si="37"/>
        <v>0</v>
      </c>
      <c r="P60" s="59">
        <v>47</v>
      </c>
      <c r="Q60" s="65">
        <f t="shared" si="23"/>
        <v>2.2251545260760802E-5</v>
      </c>
      <c r="R60" s="38"/>
      <c r="S60" s="45"/>
      <c r="T60" s="97" t="s">
        <v>97</v>
      </c>
      <c r="U60" s="97"/>
      <c r="V60" s="11"/>
      <c r="W60" s="100"/>
      <c r="X60" s="100"/>
      <c r="Y60" s="12"/>
      <c r="Z60" s="23"/>
      <c r="AA60" s="23"/>
      <c r="AB60" s="23"/>
      <c r="AC60" s="23"/>
      <c r="AD60" s="23"/>
      <c r="AE60" s="23"/>
      <c r="AF60" s="23"/>
      <c r="AG60" s="23"/>
    </row>
    <row r="61" spans="1:33" x14ac:dyDescent="0.3">
      <c r="Q61" s="8"/>
      <c r="R61" s="23"/>
      <c r="S61" s="23"/>
      <c r="T61" s="23"/>
      <c r="U61" s="23"/>
      <c r="Z61" s="23"/>
      <c r="AA61" s="23"/>
      <c r="AB61" s="23"/>
      <c r="AC61" s="23"/>
      <c r="AD61" s="23"/>
      <c r="AE61" s="23"/>
      <c r="AF61" s="23"/>
      <c r="AG61" s="23"/>
    </row>
    <row r="62" spans="1:33" x14ac:dyDescent="0.3">
      <c r="Q62" s="8"/>
      <c r="R62" s="23"/>
      <c r="S62" s="23"/>
      <c r="T62" s="23"/>
      <c r="U62" s="23"/>
      <c r="Z62" s="23"/>
      <c r="AA62" s="23"/>
      <c r="AB62" s="23"/>
      <c r="AC62" s="23"/>
      <c r="AD62" s="23"/>
      <c r="AE62" s="23"/>
      <c r="AF62" s="23"/>
      <c r="AG62" s="23"/>
    </row>
    <row r="63" spans="1:33" x14ac:dyDescent="0.3">
      <c r="Q63" s="8"/>
      <c r="R63" s="23"/>
      <c r="S63" s="23"/>
      <c r="T63" s="23"/>
      <c r="U63" s="23"/>
      <c r="Z63" s="23"/>
      <c r="AA63" s="23"/>
      <c r="AB63" s="23"/>
      <c r="AC63" s="23"/>
      <c r="AD63" s="23"/>
      <c r="AE63" s="23"/>
      <c r="AF63" s="23"/>
      <c r="AG63" s="23"/>
    </row>
    <row r="64" spans="1:33" x14ac:dyDescent="0.3">
      <c r="Q64" s="8"/>
      <c r="R64" s="23"/>
      <c r="S64" s="23"/>
      <c r="T64" s="23"/>
      <c r="U64" s="23"/>
      <c r="Z64" s="23"/>
      <c r="AA64" s="23"/>
      <c r="AB64" s="23"/>
      <c r="AC64" s="23"/>
      <c r="AD64" s="23"/>
      <c r="AE64" s="23"/>
      <c r="AF64" s="23"/>
      <c r="AG64" s="23"/>
    </row>
    <row r="65" spans="17:33" x14ac:dyDescent="0.3">
      <c r="Q65" s="8"/>
      <c r="R65" s="23"/>
      <c r="S65" s="23"/>
      <c r="T65" s="23"/>
      <c r="U65" s="23"/>
      <c r="Z65" s="23"/>
      <c r="AA65" s="23"/>
      <c r="AB65" s="23"/>
      <c r="AC65" s="23"/>
      <c r="AD65" s="23"/>
      <c r="AE65" s="23"/>
      <c r="AF65" s="23"/>
      <c r="AG65" s="23"/>
    </row>
    <row r="66" spans="17:33" x14ac:dyDescent="0.3">
      <c r="Q66" s="8"/>
      <c r="R66" s="23"/>
      <c r="S66" s="23"/>
      <c r="T66" s="23"/>
      <c r="U66" s="23"/>
      <c r="Z66" s="23"/>
      <c r="AA66" s="23"/>
      <c r="AB66" s="23"/>
      <c r="AC66" s="23"/>
      <c r="AD66" s="23"/>
      <c r="AE66" s="23"/>
      <c r="AF66" s="23"/>
      <c r="AG66" s="23"/>
    </row>
    <row r="67" spans="17:33" x14ac:dyDescent="0.3">
      <c r="Q67" s="8"/>
      <c r="R67" s="23"/>
      <c r="S67" s="23"/>
      <c r="T67" s="23"/>
      <c r="U67" s="23"/>
      <c r="Z67" s="23"/>
      <c r="AA67" s="23"/>
      <c r="AB67" s="23"/>
      <c r="AC67" s="23"/>
      <c r="AD67" s="23"/>
      <c r="AE67" s="23"/>
      <c r="AF67" s="23"/>
      <c r="AG67" s="23"/>
    </row>
    <row r="68" spans="17:33" x14ac:dyDescent="0.3">
      <c r="Q68" s="8"/>
      <c r="R68" s="23"/>
      <c r="S68" s="23"/>
      <c r="T68" s="23"/>
      <c r="U68" s="23"/>
      <c r="Z68" s="23"/>
      <c r="AA68" s="23"/>
      <c r="AB68" s="23"/>
      <c r="AC68" s="23"/>
      <c r="AD68" s="23"/>
      <c r="AE68" s="23"/>
      <c r="AF68" s="23"/>
      <c r="AG68" s="23"/>
    </row>
  </sheetData>
  <mergeCells count="78">
    <mergeCell ref="T54:U54"/>
    <mergeCell ref="V38:Y38"/>
    <mergeCell ref="R38:U38"/>
    <mergeCell ref="T60:U60"/>
    <mergeCell ref="W54:X54"/>
    <mergeCell ref="W56:X60"/>
    <mergeCell ref="T55:U55"/>
    <mergeCell ref="T56:U56"/>
    <mergeCell ref="T57:U57"/>
    <mergeCell ref="T58:U58"/>
    <mergeCell ref="T59:U59"/>
    <mergeCell ref="A46:C46"/>
    <mergeCell ref="R34:U34"/>
    <mergeCell ref="V34:Y34"/>
    <mergeCell ref="R35:U35"/>
    <mergeCell ref="V35:Y35"/>
    <mergeCell ref="R36:U36"/>
    <mergeCell ref="V36:Y36"/>
    <mergeCell ref="L46:Q46"/>
    <mergeCell ref="E46:J46"/>
    <mergeCell ref="R31:U31"/>
    <mergeCell ref="V31:Y31"/>
    <mergeCell ref="R32:U32"/>
    <mergeCell ref="V32:Y32"/>
    <mergeCell ref="R33:U33"/>
    <mergeCell ref="V33:Y33"/>
    <mergeCell ref="R28:U28"/>
    <mergeCell ref="V28:Y28"/>
    <mergeCell ref="R29:U29"/>
    <mergeCell ref="V29:Y29"/>
    <mergeCell ref="R30:U30"/>
    <mergeCell ref="V30:Y30"/>
    <mergeCell ref="R25:U25"/>
    <mergeCell ref="V25:Y25"/>
    <mergeCell ref="R26:U26"/>
    <mergeCell ref="V26:Y26"/>
    <mergeCell ref="R27:U27"/>
    <mergeCell ref="V27:Y27"/>
    <mergeCell ref="V19:Y19"/>
    <mergeCell ref="Q22:Y22"/>
    <mergeCell ref="R23:U23"/>
    <mergeCell ref="V23:Y23"/>
    <mergeCell ref="R24:U24"/>
    <mergeCell ref="V24:Y24"/>
    <mergeCell ref="V14:Y14"/>
    <mergeCell ref="V15:Y15"/>
    <mergeCell ref="V16:Y16"/>
    <mergeCell ref="V17:Y17"/>
    <mergeCell ref="V18:Y18"/>
    <mergeCell ref="R10:U10"/>
    <mergeCell ref="R11:U11"/>
    <mergeCell ref="R12:U12"/>
    <mergeCell ref="V20:Y20"/>
    <mergeCell ref="R13:U13"/>
    <mergeCell ref="R14:U14"/>
    <mergeCell ref="R15:U15"/>
    <mergeCell ref="R16:U16"/>
    <mergeCell ref="R17:U17"/>
    <mergeCell ref="R18:U18"/>
    <mergeCell ref="R19:U19"/>
    <mergeCell ref="R20:U20"/>
    <mergeCell ref="V10:Y10"/>
    <mergeCell ref="V11:Y11"/>
    <mergeCell ref="V12:Y12"/>
    <mergeCell ref="V13:Y13"/>
    <mergeCell ref="R7:U7"/>
    <mergeCell ref="V7:Y7"/>
    <mergeCell ref="V1:Y1"/>
    <mergeCell ref="R8:U8"/>
    <mergeCell ref="R9:U9"/>
    <mergeCell ref="Q6:Y6"/>
    <mergeCell ref="V8:Y8"/>
    <mergeCell ref="V9:Y9"/>
    <mergeCell ref="A1:C1"/>
    <mergeCell ref="E1:G1"/>
    <mergeCell ref="I1:K1"/>
    <mergeCell ref="Q1:T1"/>
    <mergeCell ref="M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EGR</vt:lpstr>
      <vt:lpstr>With EGR</vt:lpstr>
      <vt:lpstr>Reference 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loaghan slade</dc:creator>
  <cp:lastModifiedBy>loaghan slade</cp:lastModifiedBy>
  <dcterms:created xsi:type="dcterms:W3CDTF">2019-12-12T01:51:07Z</dcterms:created>
  <dcterms:modified xsi:type="dcterms:W3CDTF">2020-01-01T15:44:02Z</dcterms:modified>
</cp:coreProperties>
</file>