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43CA9CAF-DCB1-4356-BCAF-92CF9C60C43A}" xr6:coauthVersionLast="47" xr6:coauthVersionMax="47" xr10:uidLastSave="{00000000-0000-0000-0000-000000000000}"/>
  <bookViews>
    <workbookView xWindow="28680" yWindow="-120" windowWidth="29040" windowHeight="15720" tabRatio="840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0" i="46" l="1"/>
  <c r="V30" i="46"/>
  <c r="U30" i="46"/>
  <c r="T30" i="46"/>
  <c r="S30" i="46"/>
  <c r="Z30" i="46"/>
  <c r="Z29" i="46"/>
  <c r="Z28" i="46"/>
  <c r="Z27" i="46"/>
  <c r="Z26" i="46"/>
  <c r="Z25" i="46"/>
  <c r="Z24" i="46"/>
  <c r="Z23" i="46"/>
  <c r="Z22" i="46"/>
  <c r="Z21" i="46"/>
  <c r="Z20" i="46"/>
  <c r="Z19" i="46"/>
  <c r="Z18" i="46"/>
  <c r="Z17" i="46"/>
  <c r="Z16" i="46"/>
  <c r="Z15" i="46"/>
  <c r="Z14" i="46"/>
  <c r="Z13" i="46"/>
  <c r="Z12" i="46"/>
  <c r="Z11" i="46"/>
  <c r="Z10" i="46"/>
  <c r="Z9" i="46"/>
  <c r="Z8" i="46"/>
  <c r="Z7" i="46"/>
  <c r="Z6" i="46"/>
  <c r="Y30" i="46"/>
  <c r="Y29" i="46"/>
  <c r="Y28" i="46"/>
  <c r="Y27" i="46"/>
  <c r="Y26" i="46"/>
  <c r="Y25" i="46"/>
  <c r="Y24" i="46"/>
  <c r="Y23" i="46"/>
  <c r="Y22" i="46"/>
  <c r="Y21" i="46"/>
  <c r="Y20" i="46"/>
  <c r="Y19" i="46"/>
  <c r="Y18" i="46"/>
  <c r="Y17" i="46"/>
  <c r="Y16" i="46"/>
  <c r="Y15" i="46"/>
  <c r="Y14" i="46"/>
  <c r="Y13" i="46"/>
  <c r="Y12" i="46"/>
  <c r="Y11" i="46"/>
  <c r="Y10" i="46"/>
  <c r="Y9" i="46"/>
  <c r="Y8" i="46"/>
  <c r="Y7" i="46"/>
  <c r="Y6" i="46"/>
  <c r="X30" i="46"/>
  <c r="X29" i="46"/>
  <c r="X28" i="46"/>
  <c r="X27" i="46"/>
  <c r="X26" i="46"/>
  <c r="X25" i="46"/>
  <c r="X24" i="46"/>
  <c r="X23" i="46"/>
  <c r="X22" i="46"/>
  <c r="X21" i="46"/>
  <c r="X20" i="46"/>
  <c r="X19" i="46"/>
  <c r="X18" i="46"/>
  <c r="X17" i="46"/>
  <c r="X16" i="46"/>
  <c r="X15" i="46"/>
  <c r="X14" i="46"/>
  <c r="X13" i="46"/>
  <c r="X12" i="46"/>
  <c r="X11" i="46"/>
  <c r="X10" i="46"/>
  <c r="X9" i="46"/>
  <c r="X8" i="46"/>
  <c r="X7" i="46"/>
  <c r="X6" i="46"/>
  <c r="X5" i="46"/>
  <c r="W29" i="46"/>
  <c r="W28" i="46"/>
  <c r="W27" i="46"/>
  <c r="W26" i="46"/>
  <c r="W25" i="46"/>
  <c r="W24" i="46"/>
  <c r="W23" i="46"/>
  <c r="W22" i="46"/>
  <c r="W21" i="46"/>
  <c r="W20" i="46"/>
  <c r="W19" i="46"/>
  <c r="W18" i="46"/>
  <c r="W17" i="46"/>
  <c r="W16" i="46"/>
  <c r="W15" i="46"/>
  <c r="W14" i="46"/>
  <c r="W13" i="46"/>
  <c r="W12" i="46"/>
  <c r="W11" i="46"/>
  <c r="W10" i="46"/>
  <c r="W9" i="46"/>
  <c r="W8" i="46"/>
  <c r="W7" i="46"/>
  <c r="W6" i="46"/>
  <c r="V29" i="46"/>
  <c r="V28" i="46"/>
  <c r="V27" i="46"/>
  <c r="V26" i="46"/>
  <c r="V25" i="46"/>
  <c r="V24" i="46"/>
  <c r="V23" i="46"/>
  <c r="V22" i="46"/>
  <c r="V21" i="46"/>
  <c r="V20" i="46"/>
  <c r="V19" i="46"/>
  <c r="V18" i="46"/>
  <c r="V17" i="46"/>
  <c r="V16" i="46"/>
  <c r="V15" i="46"/>
  <c r="V14" i="46"/>
  <c r="V13" i="46"/>
  <c r="V12" i="46"/>
  <c r="V11" i="46"/>
  <c r="V10" i="46"/>
  <c r="V9" i="46"/>
  <c r="V8" i="46"/>
  <c r="V7" i="46"/>
  <c r="V6" i="46"/>
  <c r="U29" i="46"/>
  <c r="U28" i="46"/>
  <c r="U27" i="46"/>
  <c r="U26" i="46"/>
  <c r="U25" i="46"/>
  <c r="U24" i="46"/>
  <c r="U23" i="46"/>
  <c r="U22" i="46"/>
  <c r="U21" i="46"/>
  <c r="U20" i="46"/>
  <c r="U19" i="46"/>
  <c r="U18" i="46"/>
  <c r="U17" i="46"/>
  <c r="U16" i="46"/>
  <c r="U15" i="46"/>
  <c r="U14" i="46"/>
  <c r="U13" i="46"/>
  <c r="U12" i="46"/>
  <c r="U11" i="46"/>
  <c r="U10" i="46"/>
  <c r="U9" i="46"/>
  <c r="U8" i="46"/>
  <c r="U7" i="46"/>
  <c r="U6" i="46"/>
  <c r="T29" i="46"/>
  <c r="T28" i="46"/>
  <c r="T27" i="46"/>
  <c r="T26" i="46"/>
  <c r="T25" i="46"/>
  <c r="T24" i="46"/>
  <c r="T23" i="46"/>
  <c r="T22" i="46"/>
  <c r="T21" i="46"/>
  <c r="T20" i="46"/>
  <c r="T19" i="46"/>
  <c r="T18" i="46"/>
  <c r="T17" i="46"/>
  <c r="T16" i="46"/>
  <c r="T15" i="46"/>
  <c r="T14" i="46"/>
  <c r="T13" i="46"/>
  <c r="T12" i="46"/>
  <c r="T11" i="46"/>
  <c r="T10" i="46"/>
  <c r="T9" i="46"/>
  <c r="T8" i="46"/>
  <c r="T7" i="46"/>
  <c r="T6" i="46"/>
  <c r="S29" i="46"/>
  <c r="S28" i="46"/>
  <c r="S27" i="46"/>
  <c r="S26" i="46"/>
  <c r="S25" i="46"/>
  <c r="S24" i="46"/>
  <c r="S23" i="46"/>
  <c r="S22" i="46"/>
  <c r="S21" i="46"/>
  <c r="S20" i="46"/>
  <c r="S19" i="46"/>
  <c r="S18" i="46"/>
  <c r="S17" i="46"/>
  <c r="S16" i="46"/>
  <c r="S15" i="46"/>
  <c r="S14" i="46"/>
  <c r="S13" i="46"/>
  <c r="S12" i="46"/>
  <c r="S11" i="46"/>
  <c r="S10" i="46"/>
  <c r="S9" i="46"/>
  <c r="S8" i="46"/>
  <c r="S7" i="46"/>
  <c r="S6" i="46"/>
  <c r="Z5" i="46"/>
  <c r="Y5" i="46"/>
  <c r="W5" i="46"/>
  <c r="V5" i="46"/>
  <c r="U5" i="46"/>
  <c r="T5" i="46"/>
  <c r="S5" i="46"/>
  <c r="Z16" i="61"/>
  <c r="Z15" i="61"/>
  <c r="Z14" i="61"/>
  <c r="Z13" i="61"/>
  <c r="Z12" i="61"/>
  <c r="Z11" i="61"/>
  <c r="Z10" i="61"/>
  <c r="Z9" i="61"/>
  <c r="Z8" i="61"/>
  <c r="Z7" i="61"/>
  <c r="Z6" i="61"/>
  <c r="Z5" i="61"/>
  <c r="Z4" i="61"/>
  <c r="Y16" i="61"/>
  <c r="Y15" i="61"/>
  <c r="Y14" i="61"/>
  <c r="Y13" i="61"/>
  <c r="Y12" i="61"/>
  <c r="Y11" i="61"/>
  <c r="Y10" i="61"/>
  <c r="Y9" i="61"/>
  <c r="Y8" i="61"/>
  <c r="Y7" i="61"/>
  <c r="Y6" i="61"/>
  <c r="Y5" i="61"/>
  <c r="Y4" i="61"/>
  <c r="U4" i="61"/>
  <c r="W16" i="61"/>
  <c r="W4" i="61"/>
  <c r="W15" i="61"/>
  <c r="W14" i="61"/>
  <c r="W13" i="61"/>
  <c r="W12" i="61"/>
  <c r="W11" i="61"/>
  <c r="W10" i="61"/>
  <c r="W9" i="61"/>
  <c r="W8" i="61"/>
  <c r="W7" i="61"/>
  <c r="W6" i="61"/>
  <c r="W5" i="61"/>
  <c r="U16" i="61"/>
  <c r="U15" i="61"/>
  <c r="U14" i="61"/>
  <c r="U13" i="61"/>
  <c r="U12" i="61"/>
  <c r="U11" i="61"/>
  <c r="U10" i="61"/>
  <c r="U9" i="61"/>
  <c r="U8" i="61"/>
  <c r="U7" i="61"/>
  <c r="U6" i="61"/>
  <c r="U5" i="61"/>
  <c r="X4" i="61"/>
  <c r="AG17" i="52"/>
  <c r="AG16" i="52"/>
  <c r="AG15" i="52"/>
  <c r="AG14" i="52"/>
  <c r="AG13" i="52"/>
  <c r="AG12" i="52"/>
  <c r="AG11" i="52"/>
  <c r="AG10" i="52"/>
  <c r="AG9" i="52"/>
  <c r="AG8" i="52"/>
  <c r="AG7" i="52"/>
  <c r="AG6" i="52"/>
  <c r="AG5" i="52"/>
  <c r="AG4" i="52"/>
  <c r="AL17" i="52"/>
  <c r="AL16" i="52"/>
  <c r="AL15" i="52"/>
  <c r="AL14" i="52"/>
  <c r="AL13" i="52"/>
  <c r="AL12" i="52"/>
  <c r="AL11" i="52"/>
  <c r="AL10" i="52"/>
  <c r="AL9" i="52"/>
  <c r="AL8" i="52"/>
  <c r="AL7" i="52"/>
  <c r="AL6" i="52"/>
  <c r="AL5" i="52"/>
  <c r="AL4" i="52"/>
  <c r="AK17" i="52"/>
  <c r="AK16" i="52"/>
  <c r="AK15" i="52"/>
  <c r="AK14" i="52"/>
  <c r="AK13" i="52"/>
  <c r="AK12" i="52"/>
  <c r="AK11" i="52"/>
  <c r="AK10" i="52"/>
  <c r="AK9" i="52"/>
  <c r="AK8" i="52"/>
  <c r="AK7" i="52"/>
  <c r="AK6" i="52"/>
  <c r="AK5" i="52"/>
  <c r="AK4" i="52"/>
  <c r="AJ17" i="52"/>
  <c r="AJ16" i="52"/>
  <c r="AJ15" i="52"/>
  <c r="AJ14" i="52"/>
  <c r="AJ13" i="52"/>
  <c r="AJ12" i="52"/>
  <c r="AJ11" i="52"/>
  <c r="AJ10" i="52"/>
  <c r="AJ9" i="52"/>
  <c r="AJ8" i="52"/>
  <c r="AJ7" i="52"/>
  <c r="AJ6" i="52"/>
  <c r="AJ5" i="52"/>
  <c r="AJ4" i="52"/>
  <c r="AI17" i="52"/>
  <c r="AI16" i="52"/>
  <c r="AI15" i="52"/>
  <c r="AI14" i="52"/>
  <c r="AI13" i="52"/>
  <c r="AI12" i="52"/>
  <c r="AI11" i="52"/>
  <c r="AI10" i="52"/>
  <c r="AI9" i="52"/>
  <c r="AI8" i="52"/>
  <c r="AI7" i="52"/>
  <c r="AI6" i="52"/>
  <c r="AI5" i="52"/>
  <c r="AI4" i="52"/>
  <c r="AH17" i="52"/>
  <c r="AH16" i="52"/>
  <c r="AH14" i="52"/>
  <c r="AH13" i="52"/>
  <c r="AH12" i="52"/>
  <c r="AH11" i="52"/>
  <c r="AH10" i="52"/>
  <c r="AH9" i="52"/>
  <c r="AH8" i="52"/>
  <c r="AH7" i="52"/>
  <c r="AH6" i="52"/>
  <c r="AH5" i="52"/>
  <c r="AH4" i="52"/>
  <c r="AH15" i="52"/>
  <c r="X16" i="61"/>
  <c r="X15" i="61"/>
  <c r="X14" i="61"/>
  <c r="X13" i="61"/>
  <c r="X12" i="61"/>
  <c r="X11" i="61"/>
  <c r="X10" i="61"/>
  <c r="X9" i="61"/>
  <c r="X8" i="61"/>
  <c r="X7" i="61"/>
  <c r="X6" i="61"/>
  <c r="X5" i="61"/>
  <c r="AF8" i="52" a="1"/>
  <c r="AF8" i="52"/>
  <c r="AF17" i="52" a="1"/>
  <c r="AF17" i="52" s="1"/>
  <c r="AF16" i="52" a="1"/>
  <c r="AF16" i="52" s="1"/>
  <c r="AF15" i="52" a="1"/>
  <c r="AF15" i="52" s="1"/>
  <c r="AF14" i="52" a="1"/>
  <c r="AF14" i="52" s="1"/>
  <c r="AF13" i="52" a="1"/>
  <c r="AF13" i="52" s="1"/>
  <c r="AF12" i="52" a="1"/>
  <c r="AF12" i="52" s="1"/>
  <c r="AF11" i="52" a="1"/>
  <c r="AF11" i="52" s="1"/>
  <c r="AF10" i="52" a="1"/>
  <c r="AF10" i="52" s="1"/>
  <c r="AF9" i="52" a="1"/>
  <c r="AF9" i="52" s="1"/>
  <c r="AF7" i="52" a="1"/>
  <c r="AF7" i="52" s="1"/>
  <c r="AF6" i="52" a="1"/>
  <c r="AF6" i="52" s="1"/>
  <c r="AF5" i="52" a="1"/>
  <c r="AF5" i="52" s="1"/>
  <c r="AF4" i="52" a="1"/>
  <c r="AF4" i="52" s="1"/>
  <c r="AE17" i="52"/>
  <c r="AE16" i="52"/>
  <c r="AE15" i="52"/>
  <c r="AE14" i="52"/>
  <c r="AE13" i="52"/>
  <c r="AE12" i="52"/>
  <c r="AE11" i="52"/>
  <c r="AE10" i="52"/>
  <c r="AE9" i="52"/>
  <c r="AE8" i="52"/>
  <c r="AE7" i="52"/>
  <c r="AE6" i="52"/>
  <c r="AE5" i="52"/>
  <c r="AE4" i="52"/>
  <c r="AB16" i="61"/>
  <c r="AA16" i="61"/>
  <c r="V16" i="61"/>
  <c r="AA15" i="61"/>
  <c r="AA14" i="61"/>
  <c r="AA13" i="61"/>
  <c r="AA12" i="61"/>
  <c r="AA11" i="61"/>
  <c r="AA10" i="61"/>
  <c r="AA9" i="61"/>
  <c r="AA8" i="61"/>
  <c r="AA7" i="61"/>
  <c r="AA6" i="61"/>
  <c r="AA5" i="61"/>
  <c r="AA4" i="61"/>
  <c r="AB15" i="61"/>
  <c r="AB14" i="61"/>
  <c r="AB13" i="61"/>
  <c r="AB12" i="61"/>
  <c r="AB11" i="61"/>
  <c r="AB10" i="61"/>
  <c r="AB9" i="61"/>
  <c r="AB8" i="61"/>
  <c r="AB7" i="61"/>
  <c r="AB6" i="61"/>
  <c r="AB5" i="61"/>
  <c r="AB4" i="61"/>
  <c r="V15" i="61"/>
  <c r="V14" i="61"/>
  <c r="V13" i="61"/>
  <c r="V12" i="61"/>
  <c r="V11" i="61"/>
  <c r="V10" i="61"/>
  <c r="V9" i="61"/>
  <c r="V8" i="61"/>
  <c r="V7" i="61"/>
  <c r="V6" i="61"/>
  <c r="V5" i="61"/>
  <c r="V4" i="6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<sst xmlns="http://schemas.openxmlformats.org/spreadsheetml/2006/main" count="165" uniqueCount="113">
  <si>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</si>
  <si>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</si>
  <si>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</si>
  <si>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</si>
  <si>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</si>
  <si>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</si>
  <si>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</si>
  <si>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</si>
  <si>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</si>
  <si>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</si>
  <si>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</si>
  <si>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</si>
  <si>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</si>
  <si>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</si>
  <si>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</si>
  <si>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</si>
  <si>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</si>
  <si>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</si>
  <si>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</si>
  <si>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</si>
  <si>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</si>
  <si>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</si>
  <si>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</si>
  <si>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</si>
  <si>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</si>
  <si>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</si>
  <si>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</si>
  <si>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</si>
  <si>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</si>
  <si>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</si>
  <si>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</si>
  <si>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</si>
  <si>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</si>
  <si>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</si>
  <si>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</si>
  <si>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</si>
  <si>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</si>
  <si>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</si>
  <si>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</si>
  <si>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</si>
  <si>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</si>
  <si>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</si>
  <si>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</si>
  <si>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</si>
  <si>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</si>
  <si>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</si>
  <si>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</si>
  <si>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</si>
  <si>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</si>
  <si>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</si>
  <si>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</si>
  <si>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</si>
  <si>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</si>
  <si>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</si>
  <si>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</si>
  <si>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</si>
  <si>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</si>
  <si>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</si>
  <si>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</si>
  <si>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</si>
  <si>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</si>
  <si>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</si>
  <si>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</si>
  <si>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Average</t>
  </si>
  <si>
    <t>Mean</t>
  </si>
  <si>
    <t>Range</t>
  </si>
  <si>
    <t>Mode</t>
  </si>
  <si>
    <t>Median</t>
  </si>
  <si>
    <t>Variance</t>
  </si>
  <si>
    <t>Minimum</t>
  </si>
  <si>
    <t>Maximum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</si>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</sst>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3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8" fillId="33" borderId="20" xfId="11" applyNumberFormat="1" applyFont="1" applyFill="1" applyBorder="1" applyAlignment="1">
      <alignment horizontal="center"/>
    </xf>
    <xf numFmtId="1" fontId="8" fillId="33" borderId="20" xfId="11" applyNumberFormat="1" applyFont="1" applyFill="1" applyBorder="1" applyAlignment="1">
      <alignment horizontal="center"/>
    </xf>
    <xf numFmtId="164" fontId="8" fillId="33" borderId="20" xfId="11" applyFont="1" applyFill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15" fillId="0" borderId="20" xfId="0" applyNumberFormat="1" applyFont="1" applyBorder="1" applyAlignment="1">
      <alignment horizontal="center"/>
    </xf>
    <xf numFmtId="164" fontId="8" fillId="34" borderId="20" xfId="11" applyFont="1" applyFill="1" applyBorder="1" applyAlignment="1">
      <alignment horizontal="left" wrapText="1"/>
    </xf>
    <xf numFmtId="37" fontId="7" fillId="34" borderId="20" xfId="11" quotePrefix="1" applyNumberFormat="1" applyFont="1" applyFill="1" applyBorder="1" applyAlignment="1">
      <alignment horizontal="center" wrapText="1"/>
    </xf>
    <xf numFmtId="37" fontId="7" fillId="34" borderId="20" xfId="11" applyNumberFormat="1" applyFont="1" applyFill="1" applyBorder="1" applyAlignment="1">
      <alignment horizontal="center" wrapTex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7" fontId="8" fillId="34" borderId="24" xfId="11" applyNumberFormat="1" applyFont="1" applyFill="1" applyBorder="1" applyAlignment="1">
      <alignment vertical="center" wrapText="1"/>
    </xf>
    <xf numFmtId="2" fontId="15" fillId="0" borderId="24" xfId="0" applyNumberFormat="1" applyFont="1" applyBorder="1" applyAlignment="1">
      <alignment vertical="center"/>
    </xf>
    <xf numFmtId="37" fontId="8" fillId="0" borderId="0" xfId="11" applyNumberFormat="1" applyFont="1" applyAlignment="1">
      <alignment vertical="center" wrapText="1"/>
    </xf>
    <xf numFmtId="2" fontId="15" fillId="0" borderId="0" xfId="0" applyNumberFormat="1" applyFont="1" applyAlignment="1">
      <alignment vertical="center"/>
    </xf>
    <xf numFmtId="164" fontId="8" fillId="35" borderId="21" xfId="11" applyFont="1" applyFill="1" applyBorder="1" applyAlignment="1">
      <alignment horizontal="left" wrapText="1"/>
    </xf>
    <xf numFmtId="0" fontId="12" fillId="35" borderId="22" xfId="0" applyFont="1" applyFill="1" applyBorder="1" applyAlignment="1">
      <alignment horizontal="left"/>
    </xf>
    <xf numFmtId="37" fontId="2" fillId="35" borderId="23" xfId="11" applyNumberFormat="1" applyFont="1" applyFill="1" applyBorder="1" applyAlignment="1">
      <alignment horizontal="left" wrapText="1"/>
    </xf>
    <xf numFmtId="0" fontId="32" fillId="35" borderId="25" xfId="0" applyFont="1" applyFill="1" applyBorder="1" applyAlignment="1">
      <alignment horizontal="left"/>
    </xf>
    <xf numFmtId="164" fontId="1" fillId="35" borderId="2" xfId="0" applyNumberFormat="1" applyFont="1" applyFill="1" applyBorder="1" applyAlignment="1">
      <alignment horizontal="left" vertical="center" wrapText="1"/>
    </xf>
    <xf numFmtId="164" fontId="1" fillId="35" borderId="0" xfId="0" applyNumberFormat="1" applyFont="1" applyFill="1" applyAlignment="1">
      <alignment horizontal="left" vertical="center" wrapText="1"/>
    </xf>
    <xf numFmtId="164" fontId="1" fillId="35" borderId="6" xfId="0" applyNumberFormat="1" applyFont="1" applyFill="1" applyBorder="1" applyAlignment="1">
      <alignment horizontal="left" vertical="center"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236784382994779"/>
          <c:y val="0.14112984531719158"/>
          <c:w val="0.8639302077761607"/>
          <c:h val="0.688682131620136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'Firm Size'!$AE$3</c:f>
              <c:strCache>
                <c:ptCount val="1"/>
                <c:pt idx="0">
                  <c:v>Average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'Firm Size'!$AD$4:$AD$16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Size'!$AE$4:$AE$16</c:f>
              <c:numCache>
                <c:formatCode>0.00</c:formatCode>
                <c:ptCount val="13"/>
                <c:pt idx="0">
                  <c:v>101101.03703703704</c:v>
                </c:pt>
                <c:pt idx="1">
                  <c:v>68227</c:v>
                </c:pt>
                <c:pt idx="2">
                  <c:v>29494.296296296296</c:v>
                </c:pt>
                <c:pt idx="3">
                  <c:v>10845.777777777777</c:v>
                </c:pt>
                <c:pt idx="4">
                  <c:v>5847.0740740740739</c:v>
                </c:pt>
                <c:pt idx="5">
                  <c:v>1820.4814814814815</c:v>
                </c:pt>
                <c:pt idx="6">
                  <c:v>1759.1851851851852</c:v>
                </c:pt>
                <c:pt idx="7">
                  <c:v>530.22222222222217</c:v>
                </c:pt>
                <c:pt idx="8">
                  <c:v>424.33333333333331</c:v>
                </c:pt>
                <c:pt idx="9">
                  <c:v>508.74074074074076</c:v>
                </c:pt>
                <c:pt idx="10">
                  <c:v>136.55555555555554</c:v>
                </c:pt>
                <c:pt idx="11">
                  <c:v>60.037037037037038</c:v>
                </c:pt>
                <c:pt idx="12">
                  <c:v>54.851851851851855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C5-4E38-8F8F-516BC73E7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57862192"/>
        <c:axId val="1030466400"/>
      </c:barChart>
      <c:catAx>
        <c:axId val="115786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466400"/>
        <c:crosses val="autoZero"/>
        <c:auto val="1"/>
        <c:lblAlgn val="ctr"/>
        <c:lblOffset val="100"/>
        <c:noMultiLvlLbl val="0"/>
      </c:catAx>
      <c:valAx>
        <c:axId val="103046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786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'Firm Size'!$AD$4:$AD$16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Size'!$AK$4:$AK$16</c:f>
              <c:numCache>
                <c:formatCode>0.00</c:formatCode>
                <c:ptCount val="13"/>
                <c:pt idx="0">
                  <c:v>70370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999</c:v>
                </c:pt>
                <c:pt idx="7">
                  <c:v>354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48</c:v>
                </c:pt>
                <c:pt idx="12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2D-4FE8-8E7F-007EB4F57C81}"/>
            </c:ext>
          </c:extLst>
        </c:ser>
        <c:ser>
          <c:idx val="1"/>
          <c:order val="1"/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'Firm Size'!$AD$4:$AD$16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Size'!$AL$4:$AL$16</c:f>
              <c:numCache>
                <c:formatCode>0.00</c:formatCode>
                <c:ptCount val="13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7291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75</c:v>
                </c:pt>
                <c:pt idx="12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2D-4FE8-8E7F-007EB4F57C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1168576"/>
        <c:axId val="1281170976"/>
      </c:lineChart>
      <c:catAx>
        <c:axId val="128116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170976"/>
        <c:crosses val="autoZero"/>
        <c:auto val="1"/>
        <c:lblAlgn val="ctr"/>
        <c:lblOffset val="100"/>
        <c:noMultiLvlLbl val="0"/>
      </c:catAx>
      <c:valAx>
        <c:axId val="128117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1168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effectLst>
                <a:outerShdw blurRad="50800" dist="50800" dir="5400000" sx="3000" sy="3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Average turnover for each size of firm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rgbClr val="637CEF">
                    <a:shade val="51000"/>
                    <a:satMod val="130000"/>
                  </a:srgbClr>
                </a:gs>
                <a:gs pos="80000">
                  <a:srgbClr val="637CEF">
                    <a:shade val="93000"/>
                    <a:satMod val="130000"/>
                  </a:srgbClr>
                </a:gs>
                <a:gs pos="100000">
                  <a:srgbClr val="637CEF">
                    <a:shade val="94000"/>
                    <a:satMod val="135000"/>
                  </a:srgb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'No. of Firms - Turnover'!$T$4:$T$15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Turnover'!$U$4:$U$15</c:f>
              <c:numCache>
                <c:formatCode>0.00</c:formatCode>
                <c:ptCount val="12"/>
                <c:pt idx="0">
                  <c:v>246081.64705882352</c:v>
                </c:pt>
                <c:pt idx="1">
                  <c:v>24842.411764705881</c:v>
                </c:pt>
                <c:pt idx="2">
                  <c:v>21935.294117647059</c:v>
                </c:pt>
                <c:pt idx="3">
                  <c:v>2810.7647058823532</c:v>
                </c:pt>
                <c:pt idx="4">
                  <c:v>1274.4117647058824</c:v>
                </c:pt>
                <c:pt idx="5">
                  <c:v>395.94117647058823</c:v>
                </c:pt>
                <c:pt idx="6">
                  <c:v>196.94117647058823</c:v>
                </c:pt>
                <c:pt idx="7">
                  <c:v>124.94117647058823</c:v>
                </c:pt>
                <c:pt idx="8">
                  <c:v>246.52941176470588</c:v>
                </c:pt>
                <c:pt idx="9">
                  <c:v>207.52941176470588</c:v>
                </c:pt>
                <c:pt idx="10">
                  <c:v>20.823529411764707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6B-43C5-B0D0-491CC8394C6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076104"/>
        <c:axId val="3078152"/>
      </c:barChart>
      <c:catAx>
        <c:axId val="307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of Firm</a:t>
                </a:r>
              </a:p>
            </c:rich>
          </c:tx>
          <c:layout>
            <c:manualLayout>
              <c:xMode val="edge"/>
              <c:yMode val="edge"/>
              <c:x val="0.43658600682480891"/>
              <c:y val="0.905098596642165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78152"/>
        <c:crosses val="autoZero"/>
        <c:auto val="1"/>
        <c:lblAlgn val="ctr"/>
        <c:lblOffset val="100"/>
        <c:noMultiLvlLbl val="0"/>
      </c:catAx>
      <c:valAx>
        <c:axId val="307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</a:t>
                </a:r>
              </a:p>
            </c:rich>
          </c:tx>
          <c:layout>
            <c:manualLayout>
              <c:xMode val="edge"/>
              <c:yMode val="edge"/>
              <c:x val="9.6679277007145868E-3"/>
              <c:y val="0.403541873180341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76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Mean vs Median by Firm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rgbClr val="637CEF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rgbClr val="637CEF">
                      <a:shade val="51000"/>
                      <a:satMod val="130000"/>
                    </a:srgbClr>
                  </a:gs>
                  <a:gs pos="80000">
                    <a:srgbClr val="637CEF">
                      <a:shade val="93000"/>
                      <a:satMod val="130000"/>
                    </a:srgbClr>
                  </a:gs>
                  <a:gs pos="100000">
                    <a:srgbClr val="637CEF">
                      <a:shade val="94000"/>
                      <a:satMod val="135000"/>
                    </a:srgbClr>
                  </a:gs>
                </a:gsLst>
                <a:lin ang="16200000" scaled="0"/>
              </a:gradFill>
              <a:ln w="9525">
                <a:solidFill>
                  <a:srgbClr val="637CEF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'No. of Firms - Turnover'!$T$4:$T$15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Turnover'!$V$4:$V$15</c:f>
              <c:numCache>
                <c:formatCode>0.00</c:formatCode>
                <c:ptCount val="12"/>
                <c:pt idx="0">
                  <c:v>348615.66666666669</c:v>
                </c:pt>
                <c:pt idx="1">
                  <c:v>35193.416666666664</c:v>
                </c:pt>
                <c:pt idx="2">
                  <c:v>31075</c:v>
                </c:pt>
                <c:pt idx="3">
                  <c:v>3981.9166666666665</c:v>
                </c:pt>
                <c:pt idx="4">
                  <c:v>1805.4166666666667</c:v>
                </c:pt>
                <c:pt idx="5">
                  <c:v>560.91666666666663</c:v>
                </c:pt>
                <c:pt idx="6">
                  <c:v>279</c:v>
                </c:pt>
                <c:pt idx="7">
                  <c:v>177</c:v>
                </c:pt>
                <c:pt idx="8">
                  <c:v>349.25</c:v>
                </c:pt>
                <c:pt idx="9">
                  <c:v>294</c:v>
                </c:pt>
                <c:pt idx="10">
                  <c:v>29.5</c:v>
                </c:pt>
                <c:pt idx="11">
                  <c:v>18.416666666666668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{"Mean"}</c15:sqref>
                        </c15:formulaRef>
                      </c:ext>
                    </c:extLst>
                    <c:strCache>
                      <c:ptCount val="1"/>
                      <c:pt idx="0">
                        <c:v>Mean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D563-476D-BDA0-4FF39A7DA820}"/>
            </c:ext>
          </c:extLst>
        </c:ser>
        <c:ser>
          <c:idx val="1"/>
          <c:order val="1"/>
          <c:spPr>
            <a:ln w="34925" cap="rnd">
              <a:solidFill>
                <a:srgbClr val="E3008C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rgbClr val="E3008C">
                      <a:shade val="51000"/>
                      <a:satMod val="130000"/>
                    </a:srgbClr>
                  </a:gs>
                  <a:gs pos="80000">
                    <a:srgbClr val="E3008C">
                      <a:shade val="93000"/>
                      <a:satMod val="130000"/>
                    </a:srgbClr>
                  </a:gs>
                  <a:gs pos="100000">
                    <a:srgbClr val="E3008C">
                      <a:shade val="94000"/>
                      <a:satMod val="135000"/>
                    </a:srgbClr>
                  </a:gs>
                </a:gsLst>
                <a:lin ang="16200000" scaled="0"/>
              </a:gradFill>
              <a:ln w="9525">
                <a:solidFill>
                  <a:srgbClr val="E3008C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cat>
            <c:strRef>
              <c:f>'No. of Firms - Turnover'!$T$4:$T$15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Turnover'!$Y$4:$Y$15</c:f>
              <c:numCache>
                <c:formatCode>0.00</c:formatCode>
                <c:ptCount val="12"/>
                <c:pt idx="0">
                  <c:v>228603</c:v>
                </c:pt>
                <c:pt idx="1">
                  <c:v>24657</c:v>
                </c:pt>
                <c:pt idx="2">
                  <c:v>21478</c:v>
                </c:pt>
                <c:pt idx="3">
                  <c:v>2744</c:v>
                </c:pt>
                <c:pt idx="4">
                  <c:v>1262</c:v>
                </c:pt>
                <c:pt idx="5">
                  <c:v>390</c:v>
                </c:pt>
                <c:pt idx="6">
                  <c:v>180</c:v>
                </c:pt>
                <c:pt idx="7">
                  <c:v>117</c:v>
                </c:pt>
                <c:pt idx="8">
                  <c:v>227</c:v>
                </c:pt>
                <c:pt idx="9">
                  <c:v>205</c:v>
                </c:pt>
                <c:pt idx="10">
                  <c:v>20</c:v>
                </c:pt>
                <c:pt idx="11">
                  <c:v>10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{"Median"}</c15:sqref>
                        </c15:formulaRef>
                      </c:ext>
                    </c:extLst>
                    <c:strCache>
                      <c:ptCount val="1"/>
                      <c:pt idx="0">
                        <c:v>Median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D563-476D-BDA0-4FF39A7DA8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166792"/>
        <c:axId val="650168840"/>
      </c:lineChart>
      <c:catAx>
        <c:axId val="650166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168840"/>
        <c:crosses val="autoZero"/>
        <c:auto val="1"/>
        <c:lblAlgn val="ctr"/>
        <c:lblOffset val="100"/>
        <c:noMultiLvlLbl val="0"/>
      </c:catAx>
      <c:valAx>
        <c:axId val="65016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no.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166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tx>
            <c:v>Mean</c:v>
          </c:tx>
          <c:explosion val="2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5FE8-4E8D-904E-EF29ED3A044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5FE8-4E8D-904E-EF29ED3A044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5FE8-4E8D-904E-EF29ED3A044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5FE8-4E8D-904E-EF29ED3A044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5FE8-4E8D-904E-EF29ED3A0444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5FE8-4E8D-904E-EF29ED3A0444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D-5FE8-4E8D-904E-EF29ED3A0444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5FE8-4E8D-904E-EF29ED3A0444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5FE8-4E8D-904E-EF29ED3A0444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5FE8-4E8D-904E-EF29ED3A0444}"/>
              </c:ext>
            </c:extLst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5FE8-4E8D-904E-EF29ED3A0444}"/>
              </c:ext>
            </c:extLst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7-5FE8-4E8D-904E-EF29ED3A0444}"/>
              </c:ext>
            </c:extLst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'No. of Firms - Turnover'!$T$4:$T$15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Turnover'!$V$4:$V$15</c:f>
              <c:numCache>
                <c:formatCode>0.00</c:formatCode>
                <c:ptCount val="12"/>
                <c:pt idx="0">
                  <c:v>348615.66666666669</c:v>
                </c:pt>
                <c:pt idx="1">
                  <c:v>35193.416666666664</c:v>
                </c:pt>
                <c:pt idx="2">
                  <c:v>31075</c:v>
                </c:pt>
                <c:pt idx="3">
                  <c:v>3981.9166666666665</c:v>
                </c:pt>
                <c:pt idx="4">
                  <c:v>1805.4166666666667</c:v>
                </c:pt>
                <c:pt idx="5">
                  <c:v>560.91666666666663</c:v>
                </c:pt>
                <c:pt idx="6">
                  <c:v>279</c:v>
                </c:pt>
                <c:pt idx="7">
                  <c:v>177</c:v>
                </c:pt>
                <c:pt idx="8">
                  <c:v>349.25</c:v>
                </c:pt>
                <c:pt idx="9">
                  <c:v>294</c:v>
                </c:pt>
                <c:pt idx="10">
                  <c:v>29.5</c:v>
                </c:pt>
                <c:pt idx="11">
                  <c:v>18.416666666666668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60-4CB0-8A34-61D2458CC0D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gapWidth val="100"/>
        <c:secondPieSize val="75"/>
        <c:serLines>
          <c:spPr>
            <a:ln w="9525" cap="flat" cmpd="sng" algn="ctr">
              <a:solidFill>
                <a:schemeClr val="lt1">
                  <a:lumMod val="95000"/>
                  <a:alpha val="54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3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45720</xdr:colOff>
      <xdr:row>17</xdr:row>
      <xdr:rowOff>153352</xdr:rowOff>
    </xdr:from>
    <xdr:to>
      <xdr:col>36</xdr:col>
      <xdr:colOff>455295</xdr:colOff>
      <xdr:row>39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4997AE3-55A2-CF72-CE45-5D156D5BE3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38</xdr:col>
      <xdr:colOff>504824</xdr:colOff>
      <xdr:row>3</xdr:row>
      <xdr:rowOff>20001</xdr:rowOff>
    </xdr:from>
    <xdr:to>
      <xdr:col>48</xdr:col>
      <xdr:colOff>521969</xdr:colOff>
      <xdr:row>24</xdr:row>
      <xdr:rowOff>125729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AC0F995-B255-2218-EE15-055514261E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590550</xdr:colOff>
      <xdr:row>1</xdr:row>
      <xdr:rowOff>133350</xdr:rowOff>
    </xdr:from>
    <xdr:to>
      <xdr:col>41</xdr:col>
      <xdr:colOff>219075</xdr:colOff>
      <xdr:row>17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26FA62-A4F2-ECFF-3644-06F4F806C4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257175</xdr:colOff>
      <xdr:row>21</xdr:row>
      <xdr:rowOff>9525</xdr:rowOff>
    </xdr:from>
    <xdr:to>
      <xdr:col>27</xdr:col>
      <xdr:colOff>695325</xdr:colOff>
      <xdr:row>42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6CC6043-6A1E-1F58-A6B6-3CCFD703C47F}"/>
            </a:ext>
            <a:ext uri="{147F2762-F138-4A5C-976F-8EAC2B608ADB}">
              <a16:predDERef xmlns:a16="http://schemas.microsoft.com/office/drawing/2014/main" pred="{A226FA62-A4F2-ECFF-3644-06F4F806C4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590550</xdr:colOff>
      <xdr:row>20</xdr:row>
      <xdr:rowOff>161925</xdr:rowOff>
    </xdr:from>
    <xdr:to>
      <xdr:col>42</xdr:col>
      <xdr:colOff>114300</xdr:colOff>
      <xdr:row>42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F7CB89A-9403-3FDC-2CC7-35E27D4697D1}"/>
            </a:ext>
            <a:ext uri="{147F2762-F138-4A5C-976F-8EAC2B608ADB}">
              <a16:predDERef xmlns:a16="http://schemas.microsoft.com/office/drawing/2014/main" pred="{36CC6043-6A1E-1F58-A6B6-3CCFD703C4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Q5" sqref="Q5"/>
    </sheetView>
  </sheetViews>
  <sheetFormatPr defaultColWidth="8.6640625" defaultRowHeight="14.4"/>
  <cols>
    <col min="1" max="1" width="13" customWidth="1"/>
    <col min="2" max="2" width="12" customWidth="1"/>
    <col min="3" max="3" width="16" customWidth="1"/>
    <col min="4" max="4" width="12.33203125" customWidth="1"/>
    <col min="5" max="5" width="12.554687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44140625" customWidth="1"/>
    <col min="11" max="11" width="13.44140625" customWidth="1"/>
    <col min="12" max="12" width="12.6640625" customWidth="1"/>
    <col min="13" max="13" width="14.6640625" customWidth="1"/>
    <col min="14" max="14" width="13.6640625" customWidth="1"/>
    <col min="15" max="15" width="16.88671875" customWidth="1"/>
  </cols>
  <sheetData>
    <row r="1" spans="1:17" ht="19.2">
      <c r="A1" s="4" t="s">
        <v>0</v>
      </c>
    </row>
    <row r="2" spans="1:17">
      <c r="A2" s="5" t="s">
        <v>1</v>
      </c>
    </row>
    <row r="3" spans="1:17">
      <c r="A3" s="5"/>
    </row>
    <row r="4" spans="1:17" ht="58.2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Z30"/>
  <sheetViews>
    <sheetView tabSelected="1" topLeftCell="D1" workbookViewId="0">
      <selection activeCell="S33" sqref="S33"/>
    </sheetView>
  </sheetViews>
  <sheetFormatPr defaultColWidth="8.6640625" defaultRowHeight="14.4"/>
  <cols>
    <col min="1" max="1" width="13" customWidth="1"/>
    <col min="2" max="2" width="14.6640625" customWidth="1"/>
    <col min="3" max="3" width="14" customWidth="1"/>
    <col min="4" max="4" width="9.6640625" customWidth="1"/>
    <col min="5" max="5" width="11.33203125" customWidth="1"/>
    <col min="6" max="6" width="10.6640625" customWidth="1"/>
    <col min="7" max="7" width="11.33203125" customWidth="1"/>
    <col min="8" max="8" width="11.5546875" customWidth="1"/>
    <col min="9" max="9" width="11.6640625" customWidth="1"/>
    <col min="10" max="10" width="12.33203125" customWidth="1"/>
    <col min="11" max="11" width="13.109375" customWidth="1"/>
    <col min="12" max="12" width="11.33203125" customWidth="1"/>
    <col min="13" max="13" width="11.44140625" customWidth="1"/>
    <col min="14" max="14" width="13.6640625" customWidth="1"/>
    <col min="15" max="15" width="11.6640625" customWidth="1"/>
    <col min="16" max="16" width="15.5546875" customWidth="1"/>
    <col min="18" max="18" width="11.6640625" bestFit="1" customWidth="1"/>
    <col min="19" max="19" width="9.21875" bestFit="1" customWidth="1"/>
    <col min="20" max="20" width="9.5546875" bestFit="1" customWidth="1"/>
    <col min="23" max="23" width="9.6640625" customWidth="1"/>
    <col min="24" max="24" width="11.5546875" bestFit="1" customWidth="1"/>
    <col min="25" max="25" width="11.88671875" customWidth="1"/>
    <col min="26" max="26" width="11.21875" customWidth="1"/>
  </cols>
  <sheetData>
    <row r="1" spans="1:26" ht="19.2">
      <c r="A1" s="7" t="s">
        <v>18</v>
      </c>
    </row>
    <row r="2" spans="1:26">
      <c r="A2" s="5" t="s">
        <v>1</v>
      </c>
    </row>
    <row r="3" spans="1:26">
      <c r="A3" s="5"/>
    </row>
    <row r="4" spans="1:2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  <c r="R4" s="49" t="s">
        <v>2</v>
      </c>
      <c r="S4" s="32" t="s">
        <v>63</v>
      </c>
      <c r="T4" s="33" t="s">
        <v>64</v>
      </c>
      <c r="U4" s="34" t="s">
        <v>65</v>
      </c>
      <c r="V4" s="34" t="s">
        <v>66</v>
      </c>
      <c r="W4" s="34" t="s">
        <v>67</v>
      </c>
      <c r="X4" s="34" t="s">
        <v>68</v>
      </c>
      <c r="Y4" s="34" t="s">
        <v>69</v>
      </c>
      <c r="Z4" s="34" t="s">
        <v>70</v>
      </c>
    </row>
    <row r="5" spans="1:2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  <c r="R5" s="50">
        <v>1998</v>
      </c>
      <c r="S5" s="35">
        <f>AVERAGE(B5:P5)</f>
        <v>5670.7333333333336</v>
      </c>
      <c r="T5" s="35">
        <f>SUM(B5:P5)</f>
        <v>85061</v>
      </c>
      <c r="U5" s="35">
        <f>MAX(B5:P5)- MIN(B5:P5)</f>
        <v>32580</v>
      </c>
      <c r="V5" s="35" t="e">
        <f>MODE(B5:P5)</f>
        <v>#N/A</v>
      </c>
      <c r="W5" s="35">
        <f>MEDIAN(B5:P5)</f>
        <v>3561</v>
      </c>
      <c r="X5" s="35">
        <f>MEDIAN(C5:Q5)</f>
        <v>3416</v>
      </c>
      <c r="Y5" s="35">
        <f>MIN(B5:P5)</f>
        <v>130</v>
      </c>
      <c r="Z5" s="35">
        <f xml:space="preserve"> MAX(B5:P5)</f>
        <v>32710</v>
      </c>
    </row>
    <row r="6" spans="1:2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  <c r="R6" s="50">
        <v>1999</v>
      </c>
      <c r="S6" s="35">
        <f t="shared" ref="S6:S29" si="0">AVERAGE(B6:P6)</f>
        <v>6266.666666666667</v>
      </c>
      <c r="T6" s="35">
        <f t="shared" ref="T6:T29" si="1">SUM(B6:P6)</f>
        <v>94000</v>
      </c>
      <c r="U6" s="35">
        <f t="shared" ref="U6:U29" si="2">MAX(B6:P6)- MIN(B6:P6)</f>
        <v>35496</v>
      </c>
      <c r="V6" s="35" t="e">
        <f t="shared" ref="V6:V29" si="3">MODE(B6:P6)</f>
        <v>#N/A</v>
      </c>
      <c r="W6" s="35">
        <f t="shared" ref="W6:W29" si="4">MEDIAN(B6:P6)</f>
        <v>4195</v>
      </c>
      <c r="X6" s="35">
        <f t="shared" ref="X6:X30" si="5">MEDIAN(C6:Q6)</f>
        <v>3745.5</v>
      </c>
      <c r="Y6" s="35">
        <f t="shared" ref="Y6:Y30" si="6">MIN(B6:P6)</f>
        <v>133</v>
      </c>
      <c r="Z6" s="35">
        <f t="shared" ref="Z6:Z30" si="7" xml:space="preserve"> MAX(B6:P6)</f>
        <v>35629</v>
      </c>
    </row>
    <row r="7" spans="1:2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  <c r="R7" s="50">
        <v>2000</v>
      </c>
      <c r="S7" s="35">
        <f t="shared" si="0"/>
        <v>6635.6</v>
      </c>
      <c r="T7" s="35">
        <f t="shared" si="1"/>
        <v>99534</v>
      </c>
      <c r="U7" s="35">
        <f t="shared" si="2"/>
        <v>38036</v>
      </c>
      <c r="V7" s="35" t="e">
        <f t="shared" si="3"/>
        <v>#N/A</v>
      </c>
      <c r="W7" s="35">
        <f t="shared" si="4"/>
        <v>3884</v>
      </c>
      <c r="X7" s="35">
        <f t="shared" si="5"/>
        <v>3351.5</v>
      </c>
      <c r="Y7" s="35">
        <f t="shared" si="6"/>
        <v>69</v>
      </c>
      <c r="Z7" s="35">
        <f t="shared" si="7"/>
        <v>38105</v>
      </c>
    </row>
    <row r="8" spans="1:2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  <c r="R8" s="50">
        <v>2001</v>
      </c>
      <c r="S8" s="35">
        <f t="shared" si="0"/>
        <v>6995.5333333333338</v>
      </c>
      <c r="T8" s="35">
        <f t="shared" si="1"/>
        <v>104933</v>
      </c>
      <c r="U8" s="35">
        <f t="shared" si="2"/>
        <v>40055</v>
      </c>
      <c r="V8" s="35" t="e">
        <f t="shared" si="3"/>
        <v>#N/A</v>
      </c>
      <c r="W8" s="35">
        <f t="shared" si="4"/>
        <v>3580</v>
      </c>
      <c r="X8" s="35">
        <f t="shared" si="5"/>
        <v>3232</v>
      </c>
      <c r="Y8" s="35">
        <f t="shared" si="6"/>
        <v>63</v>
      </c>
      <c r="Z8" s="35">
        <f t="shared" si="7"/>
        <v>40118</v>
      </c>
    </row>
    <row r="9" spans="1:2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  <c r="R9" s="50">
        <v>2002</v>
      </c>
      <c r="S9" s="35">
        <f t="shared" si="0"/>
        <v>7640.4666666666662</v>
      </c>
      <c r="T9" s="35">
        <f t="shared" si="1"/>
        <v>114607</v>
      </c>
      <c r="U9" s="35">
        <f t="shared" si="2"/>
        <v>43957</v>
      </c>
      <c r="V9" s="35" t="e">
        <f t="shared" si="3"/>
        <v>#N/A</v>
      </c>
      <c r="W9" s="35">
        <f t="shared" si="4"/>
        <v>4176</v>
      </c>
      <c r="X9" s="35">
        <f t="shared" si="5"/>
        <v>3406</v>
      </c>
      <c r="Y9" s="35">
        <f t="shared" si="6"/>
        <v>73</v>
      </c>
      <c r="Z9" s="35">
        <f t="shared" si="7"/>
        <v>44030</v>
      </c>
    </row>
    <row r="10" spans="1:2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  <c r="R10" s="50">
        <v>2003</v>
      </c>
      <c r="S10" s="35">
        <f t="shared" si="0"/>
        <v>8253.1333333333332</v>
      </c>
      <c r="T10" s="35">
        <f t="shared" si="1"/>
        <v>123797</v>
      </c>
      <c r="U10" s="35">
        <f t="shared" si="2"/>
        <v>47939</v>
      </c>
      <c r="V10" s="35" t="e">
        <f t="shared" si="3"/>
        <v>#N/A</v>
      </c>
      <c r="W10" s="35">
        <f t="shared" si="4"/>
        <v>3906</v>
      </c>
      <c r="X10" s="35">
        <f t="shared" si="5"/>
        <v>3388</v>
      </c>
      <c r="Y10" s="35">
        <f t="shared" si="6"/>
        <v>131</v>
      </c>
      <c r="Z10" s="35">
        <f t="shared" si="7"/>
        <v>48070</v>
      </c>
    </row>
    <row r="11" spans="1:2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  <c r="R11" s="50">
        <v>2004</v>
      </c>
      <c r="S11" s="35">
        <f t="shared" si="0"/>
        <v>9354</v>
      </c>
      <c r="T11" s="35">
        <f t="shared" si="1"/>
        <v>140310</v>
      </c>
      <c r="U11" s="35">
        <f t="shared" si="2"/>
        <v>54617</v>
      </c>
      <c r="V11" s="35" t="e">
        <f t="shared" si="3"/>
        <v>#N/A</v>
      </c>
      <c r="W11" s="35">
        <f t="shared" si="4"/>
        <v>4652</v>
      </c>
      <c r="X11" s="35">
        <f t="shared" si="5"/>
        <v>3794</v>
      </c>
      <c r="Y11" s="35">
        <f t="shared" si="6"/>
        <v>178</v>
      </c>
      <c r="Z11" s="35">
        <f t="shared" si="7"/>
        <v>54795</v>
      </c>
    </row>
    <row r="12" spans="1:2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  <c r="R12" s="50">
        <v>2005</v>
      </c>
      <c r="S12" s="35">
        <f t="shared" si="0"/>
        <v>9837.0666666666675</v>
      </c>
      <c r="T12" s="35">
        <f t="shared" si="1"/>
        <v>147556</v>
      </c>
      <c r="U12" s="35">
        <f t="shared" si="2"/>
        <v>57594</v>
      </c>
      <c r="V12" s="35" t="e">
        <f t="shared" si="3"/>
        <v>#N/A</v>
      </c>
      <c r="W12" s="35">
        <f t="shared" si="4"/>
        <v>4387</v>
      </c>
      <c r="X12" s="35">
        <f t="shared" si="5"/>
        <v>3557.5</v>
      </c>
      <c r="Y12" s="35">
        <f t="shared" si="6"/>
        <v>216</v>
      </c>
      <c r="Z12" s="35">
        <f t="shared" si="7"/>
        <v>57810</v>
      </c>
    </row>
    <row r="13" spans="1:2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  <c r="R13" s="50">
        <v>2006</v>
      </c>
      <c r="S13" s="35">
        <f t="shared" si="0"/>
        <v>10894.933333333332</v>
      </c>
      <c r="T13" s="35">
        <f t="shared" si="1"/>
        <v>163424</v>
      </c>
      <c r="U13" s="35">
        <f t="shared" si="2"/>
        <v>63256</v>
      </c>
      <c r="V13" s="35" t="e">
        <f t="shared" si="3"/>
        <v>#N/A</v>
      </c>
      <c r="W13" s="35">
        <f t="shared" si="4"/>
        <v>4552</v>
      </c>
      <c r="X13" s="35">
        <f t="shared" si="5"/>
        <v>4193</v>
      </c>
      <c r="Y13" s="35">
        <f t="shared" si="6"/>
        <v>243</v>
      </c>
      <c r="Z13" s="35">
        <f t="shared" si="7"/>
        <v>63499</v>
      </c>
    </row>
    <row r="14" spans="1:2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  <c r="R14" s="50">
        <v>2007</v>
      </c>
      <c r="S14" s="35">
        <f t="shared" si="0"/>
        <v>11865.466666666667</v>
      </c>
      <c r="T14" s="35">
        <f t="shared" si="1"/>
        <v>177982</v>
      </c>
      <c r="U14" s="35">
        <f t="shared" si="2"/>
        <v>68391</v>
      </c>
      <c r="V14" s="35" t="e">
        <f t="shared" si="3"/>
        <v>#N/A</v>
      </c>
      <c r="W14" s="35">
        <f t="shared" si="4"/>
        <v>4962</v>
      </c>
      <c r="X14" s="35">
        <f t="shared" si="5"/>
        <v>4390</v>
      </c>
      <c r="Y14" s="35">
        <f t="shared" si="6"/>
        <v>179</v>
      </c>
      <c r="Z14" s="35">
        <f t="shared" si="7"/>
        <v>68570</v>
      </c>
    </row>
    <row r="15" spans="1:2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  <c r="R15" s="50">
        <v>2008</v>
      </c>
      <c r="S15" s="35">
        <f t="shared" si="0"/>
        <v>11367.333333333334</v>
      </c>
      <c r="T15" s="35">
        <f t="shared" si="1"/>
        <v>170510</v>
      </c>
      <c r="U15" s="35">
        <f t="shared" si="2"/>
        <v>64745</v>
      </c>
      <c r="V15" s="35" t="e">
        <f t="shared" si="3"/>
        <v>#N/A</v>
      </c>
      <c r="W15" s="35">
        <f t="shared" si="4"/>
        <v>5339</v>
      </c>
      <c r="X15" s="35">
        <f t="shared" si="5"/>
        <v>4778.5</v>
      </c>
      <c r="Y15" s="35">
        <f t="shared" si="6"/>
        <v>244</v>
      </c>
      <c r="Z15" s="35">
        <f t="shared" si="7"/>
        <v>64989</v>
      </c>
    </row>
    <row r="16" spans="1:2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  <c r="R16" s="50">
        <v>2009</v>
      </c>
      <c r="S16" s="35">
        <f t="shared" si="0"/>
        <v>8353.2000000000007</v>
      </c>
      <c r="T16" s="35">
        <f t="shared" si="1"/>
        <v>125298</v>
      </c>
      <c r="U16" s="35">
        <f t="shared" si="2"/>
        <v>47938</v>
      </c>
      <c r="V16" s="35" t="e">
        <f t="shared" si="3"/>
        <v>#N/A</v>
      </c>
      <c r="W16" s="35">
        <f t="shared" si="4"/>
        <v>3515</v>
      </c>
      <c r="X16" s="35">
        <f t="shared" si="5"/>
        <v>3219</v>
      </c>
      <c r="Y16" s="35">
        <f t="shared" si="6"/>
        <v>175</v>
      </c>
      <c r="Z16" s="35">
        <f t="shared" si="7"/>
        <v>48113</v>
      </c>
    </row>
    <row r="17" spans="1:2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  <c r="R17" s="50">
        <v>2010</v>
      </c>
      <c r="S17" s="35">
        <f t="shared" si="0"/>
        <v>8568.7333333333336</v>
      </c>
      <c r="T17" s="35">
        <f t="shared" si="1"/>
        <v>128531</v>
      </c>
      <c r="U17" s="35">
        <f t="shared" si="2"/>
        <v>50466</v>
      </c>
      <c r="V17" s="35" t="e">
        <f t="shared" si="3"/>
        <v>#N/A</v>
      </c>
      <c r="W17" s="35">
        <f t="shared" si="4"/>
        <v>3551</v>
      </c>
      <c r="X17" s="35">
        <f t="shared" si="5"/>
        <v>3295</v>
      </c>
      <c r="Y17" s="35">
        <f t="shared" si="6"/>
        <v>169</v>
      </c>
      <c r="Z17" s="35">
        <f t="shared" si="7"/>
        <v>50635</v>
      </c>
    </row>
    <row r="18" spans="1:2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  <c r="R18" s="50">
        <v>2011</v>
      </c>
      <c r="S18" s="35">
        <f t="shared" si="0"/>
        <v>8948.5333333333328</v>
      </c>
      <c r="T18" s="35">
        <f t="shared" si="1"/>
        <v>134228</v>
      </c>
      <c r="U18" s="35">
        <f t="shared" si="2"/>
        <v>53150</v>
      </c>
      <c r="V18" s="35" t="e">
        <f t="shared" si="3"/>
        <v>#N/A</v>
      </c>
      <c r="W18" s="35">
        <f t="shared" si="4"/>
        <v>3349</v>
      </c>
      <c r="X18" s="35">
        <f t="shared" si="5"/>
        <v>3306</v>
      </c>
      <c r="Y18" s="35">
        <f t="shared" si="6"/>
        <v>274</v>
      </c>
      <c r="Z18" s="35">
        <f t="shared" si="7"/>
        <v>53424</v>
      </c>
    </row>
    <row r="19" spans="1:2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  <c r="R19" s="50">
        <v>2012</v>
      </c>
      <c r="S19" s="35">
        <f t="shared" si="0"/>
        <v>8621.7333333333336</v>
      </c>
      <c r="T19" s="35">
        <f t="shared" si="1"/>
        <v>129326</v>
      </c>
      <c r="U19" s="35">
        <f t="shared" si="2"/>
        <v>51305</v>
      </c>
      <c r="V19" s="35" t="e">
        <f t="shared" si="3"/>
        <v>#N/A</v>
      </c>
      <c r="W19" s="35">
        <f t="shared" si="4"/>
        <v>3688</v>
      </c>
      <c r="X19" s="35">
        <f t="shared" si="5"/>
        <v>3546</v>
      </c>
      <c r="Y19" s="35">
        <f t="shared" si="6"/>
        <v>348</v>
      </c>
      <c r="Z19" s="35">
        <f t="shared" si="7"/>
        <v>51653</v>
      </c>
    </row>
    <row r="20" spans="1:2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  <c r="R20" s="50">
        <v>2013</v>
      </c>
      <c r="S20" s="35">
        <f t="shared" si="0"/>
        <v>8996.0666666666675</v>
      </c>
      <c r="T20" s="35">
        <f t="shared" si="1"/>
        <v>134941</v>
      </c>
      <c r="U20" s="35">
        <f t="shared" si="2"/>
        <v>53670</v>
      </c>
      <c r="V20" s="35" t="e">
        <f t="shared" si="3"/>
        <v>#N/A</v>
      </c>
      <c r="W20" s="35">
        <f t="shared" si="4"/>
        <v>3489</v>
      </c>
      <c r="X20" s="35">
        <f t="shared" si="5"/>
        <v>3423.5</v>
      </c>
      <c r="Y20" s="35">
        <f t="shared" si="6"/>
        <v>305</v>
      </c>
      <c r="Z20" s="35">
        <f t="shared" si="7"/>
        <v>53975</v>
      </c>
    </row>
    <row r="21" spans="1:2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  <c r="R21" s="50">
        <v>2014</v>
      </c>
      <c r="S21" s="35">
        <f t="shared" si="0"/>
        <v>10423.266666666666</v>
      </c>
      <c r="T21" s="35">
        <f t="shared" si="1"/>
        <v>156349</v>
      </c>
      <c r="U21" s="35">
        <f t="shared" si="2"/>
        <v>62949</v>
      </c>
      <c r="V21" s="35" t="e">
        <f t="shared" si="3"/>
        <v>#N/A</v>
      </c>
      <c r="W21" s="35">
        <f t="shared" si="4"/>
        <v>4186</v>
      </c>
      <c r="X21" s="35">
        <f t="shared" si="5"/>
        <v>4119</v>
      </c>
      <c r="Y21" s="35">
        <f t="shared" si="6"/>
        <v>198</v>
      </c>
      <c r="Z21" s="35">
        <f t="shared" si="7"/>
        <v>63147</v>
      </c>
    </row>
    <row r="22" spans="1:2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  <c r="R22" s="50">
        <v>2015</v>
      </c>
      <c r="S22" s="35">
        <f t="shared" si="0"/>
        <v>11280.2</v>
      </c>
      <c r="T22" s="35">
        <f t="shared" si="1"/>
        <v>169203</v>
      </c>
      <c r="U22" s="35">
        <f t="shared" si="2"/>
        <v>68741</v>
      </c>
      <c r="V22" s="35" t="e">
        <f t="shared" si="3"/>
        <v>#N/A</v>
      </c>
      <c r="W22" s="35">
        <f t="shared" si="4"/>
        <v>4728</v>
      </c>
      <c r="X22" s="35">
        <f t="shared" si="5"/>
        <v>4638</v>
      </c>
      <c r="Y22" s="35">
        <f t="shared" si="6"/>
        <v>73</v>
      </c>
      <c r="Z22" s="35">
        <f t="shared" si="7"/>
        <v>68814</v>
      </c>
    </row>
    <row r="23" spans="1:2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  <c r="R23" s="50">
        <v>2016</v>
      </c>
      <c r="S23" s="35">
        <f t="shared" si="0"/>
        <v>12346.466666666667</v>
      </c>
      <c r="T23" s="35">
        <f t="shared" si="1"/>
        <v>185197</v>
      </c>
      <c r="U23" s="35">
        <f t="shared" si="2"/>
        <v>75377</v>
      </c>
      <c r="V23" s="35" t="e">
        <f t="shared" si="3"/>
        <v>#N/A</v>
      </c>
      <c r="W23" s="35">
        <f t="shared" si="4"/>
        <v>5208</v>
      </c>
      <c r="X23" s="35">
        <f t="shared" si="5"/>
        <v>4898</v>
      </c>
      <c r="Y23" s="35">
        <f t="shared" si="6"/>
        <v>52</v>
      </c>
      <c r="Z23" s="35">
        <f t="shared" si="7"/>
        <v>75429</v>
      </c>
    </row>
    <row r="24" spans="1:2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  <c r="R24" s="50">
        <v>2017</v>
      </c>
      <c r="S24" s="35">
        <f t="shared" si="0"/>
        <v>13670.8</v>
      </c>
      <c r="T24" s="35">
        <f t="shared" si="1"/>
        <v>205062</v>
      </c>
      <c r="U24" s="35">
        <f t="shared" si="2"/>
        <v>83859</v>
      </c>
      <c r="V24" s="35" t="e">
        <f t="shared" si="3"/>
        <v>#N/A</v>
      </c>
      <c r="W24" s="35">
        <f t="shared" si="4"/>
        <v>4935</v>
      </c>
      <c r="X24" s="35">
        <f t="shared" si="5"/>
        <v>4880.5</v>
      </c>
      <c r="Y24" s="35">
        <f t="shared" si="6"/>
        <v>74</v>
      </c>
      <c r="Z24" s="35">
        <f t="shared" si="7"/>
        <v>83933</v>
      </c>
    </row>
    <row r="25" spans="1:2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  <c r="R25" s="50">
        <v>2018</v>
      </c>
      <c r="S25" s="35">
        <f t="shared" si="0"/>
        <v>13834.733333333334</v>
      </c>
      <c r="T25" s="35">
        <f t="shared" si="1"/>
        <v>207521</v>
      </c>
      <c r="U25" s="35">
        <f t="shared" si="2"/>
        <v>85386</v>
      </c>
      <c r="V25" s="35" t="e">
        <f t="shared" si="3"/>
        <v>#N/A</v>
      </c>
      <c r="W25" s="35">
        <f t="shared" si="4"/>
        <v>4883</v>
      </c>
      <c r="X25" s="35">
        <f t="shared" si="5"/>
        <v>4736.5</v>
      </c>
      <c r="Y25" s="35">
        <f t="shared" si="6"/>
        <v>57</v>
      </c>
      <c r="Z25" s="35">
        <f t="shared" si="7"/>
        <v>85443</v>
      </c>
    </row>
    <row r="26" spans="1:2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  <c r="R26" s="50">
        <v>2019</v>
      </c>
      <c r="S26" s="35">
        <f t="shared" si="0"/>
        <v>14520.8</v>
      </c>
      <c r="T26" s="35">
        <f t="shared" si="1"/>
        <v>217812</v>
      </c>
      <c r="U26" s="35">
        <f t="shared" si="2"/>
        <v>90124</v>
      </c>
      <c r="V26" s="35" t="e">
        <f t="shared" si="3"/>
        <v>#N/A</v>
      </c>
      <c r="W26" s="35">
        <f t="shared" si="4"/>
        <v>5033</v>
      </c>
      <c r="X26" s="35">
        <f t="shared" si="5"/>
        <v>4507</v>
      </c>
      <c r="Y26" s="35">
        <f t="shared" si="6"/>
        <v>14</v>
      </c>
      <c r="Z26" s="35">
        <f t="shared" si="7"/>
        <v>90138</v>
      </c>
    </row>
    <row r="27" spans="1:2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  <c r="R27" s="51">
        <v>2020</v>
      </c>
      <c r="S27" s="35">
        <f t="shared" si="0"/>
        <v>11842.333333333334</v>
      </c>
      <c r="T27" s="35">
        <f t="shared" si="1"/>
        <v>177635</v>
      </c>
      <c r="U27" s="35">
        <f t="shared" si="2"/>
        <v>73897</v>
      </c>
      <c r="V27" s="35" t="e">
        <f t="shared" si="3"/>
        <v>#N/A</v>
      </c>
      <c r="W27" s="35">
        <f t="shared" si="4"/>
        <v>3693</v>
      </c>
      <c r="X27" s="35">
        <f t="shared" si="5"/>
        <v>3317.5</v>
      </c>
      <c r="Y27" s="35">
        <f t="shared" si="6"/>
        <v>34</v>
      </c>
      <c r="Z27" s="35">
        <f t="shared" si="7"/>
        <v>73931</v>
      </c>
    </row>
    <row r="28" spans="1:2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  <c r="R28" s="50">
        <v>2021</v>
      </c>
      <c r="S28" s="35">
        <f t="shared" si="0"/>
        <v>13105.8</v>
      </c>
      <c r="T28" s="35">
        <f t="shared" si="1"/>
        <v>196587</v>
      </c>
      <c r="U28" s="35">
        <f t="shared" si="2"/>
        <v>83702</v>
      </c>
      <c r="V28" s="35" t="e">
        <f t="shared" si="3"/>
        <v>#N/A</v>
      </c>
      <c r="W28" s="35">
        <f t="shared" si="4"/>
        <v>3606</v>
      </c>
      <c r="X28" s="35">
        <f t="shared" si="5"/>
        <v>3197.5</v>
      </c>
      <c r="Y28" s="35">
        <f t="shared" si="6"/>
        <v>116</v>
      </c>
      <c r="Z28" s="35">
        <f t="shared" si="7"/>
        <v>83818</v>
      </c>
    </row>
    <row r="29" spans="1:2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  <c r="R29" s="50">
        <v>2022</v>
      </c>
      <c r="S29" s="35">
        <f t="shared" si="0"/>
        <v>15370.066666666668</v>
      </c>
      <c r="T29" s="35">
        <f t="shared" si="1"/>
        <v>230551</v>
      </c>
      <c r="U29" s="35">
        <f t="shared" si="2"/>
        <v>98107</v>
      </c>
      <c r="V29" s="35" t="e">
        <f t="shared" si="3"/>
        <v>#N/A</v>
      </c>
      <c r="W29" s="35">
        <f t="shared" si="4"/>
        <v>4614</v>
      </c>
      <c r="X29" s="35">
        <f t="shared" si="5"/>
        <v>4271.5</v>
      </c>
      <c r="Y29" s="35">
        <f t="shared" si="6"/>
        <v>260</v>
      </c>
      <c r="Z29" s="35">
        <f t="shared" si="7"/>
        <v>98367</v>
      </c>
    </row>
    <row r="30" spans="1:2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  <c r="R30" s="52">
        <v>2023</v>
      </c>
      <c r="S30" s="35">
        <f>AVERAGE(B30:P30)</f>
        <v>15890.266666666666</v>
      </c>
      <c r="T30" s="35">
        <f>SUM(B30:P30)</f>
        <v>238354</v>
      </c>
      <c r="U30" s="35">
        <f>MAX(B30:P30)- MIN(B30:P30)</f>
        <v>99980</v>
      </c>
      <c r="V30" s="35" t="e">
        <f>MODE(B30:P30)</f>
        <v>#N/A</v>
      </c>
      <c r="W30" s="35">
        <f>MEDIAN(B30:P30)</f>
        <v>4686</v>
      </c>
      <c r="X30" s="35">
        <f t="shared" si="5"/>
        <v>4278</v>
      </c>
      <c r="Y30" s="35">
        <f t="shared" si="6"/>
        <v>438</v>
      </c>
      <c r="Z30" s="35">
        <f t="shared" si="7"/>
        <v>100418</v>
      </c>
    </row>
  </sheetData>
  <pageMargins left="0.7" right="0.7" top="0.75" bottom="0.75" header="0.3" footer="0.3"/>
  <pageSetup paperSize="9" orientation="portrait" horizontalDpi="1200" verticalDpi="1200" r:id="rId1"/>
  <ignoredErrors>
    <ignoredError sqref="S5:T5 S6:S30 T6:T30 U5:U30 W5:Z30" formulaRange="1"/>
    <ignoredError sqref="V5:V30" evalError="1" formulaRange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L27"/>
  <sheetViews>
    <sheetView topLeftCell="W1" workbookViewId="0">
      <selection activeCell="AE3" sqref="AE3:AL17"/>
    </sheetView>
  </sheetViews>
  <sheetFormatPr defaultColWidth="8.6640625" defaultRowHeight="14.4"/>
  <cols>
    <col min="1" max="1" width="17.44140625" customWidth="1"/>
    <col min="2" max="6" width="12" bestFit="1" customWidth="1"/>
    <col min="7" max="7" width="8.88671875" customWidth="1"/>
    <col min="8" max="13" width="12" bestFit="1" customWidth="1"/>
    <col min="14" max="14" width="8.88671875" customWidth="1"/>
    <col min="15" max="18" width="12" bestFit="1" customWidth="1"/>
    <col min="19" max="19" width="10.44140625" customWidth="1"/>
    <col min="20" max="27" width="8.88671875" customWidth="1"/>
    <col min="30" max="30" width="15.109375" bestFit="1" customWidth="1"/>
    <col min="31" max="33" width="10.109375" bestFit="1" customWidth="1"/>
    <col min="34" max="34" width="10.5546875" customWidth="1"/>
    <col min="35" max="35" width="11.44140625" customWidth="1"/>
    <col min="36" max="36" width="14.44140625" customWidth="1"/>
    <col min="37" max="37" width="10" bestFit="1" customWidth="1"/>
    <col min="38" max="38" width="10.44140625" bestFit="1" customWidth="1"/>
  </cols>
  <sheetData>
    <row r="1" spans="1:38" ht="19.2">
      <c r="A1" s="3" t="s">
        <v>34</v>
      </c>
    </row>
    <row r="2" spans="1:38" ht="19.2">
      <c r="A2" s="3"/>
    </row>
    <row r="3" spans="1:38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D3" s="46" t="s">
        <v>35</v>
      </c>
      <c r="AE3" s="32" t="s">
        <v>63</v>
      </c>
      <c r="AF3" s="33" t="s">
        <v>64</v>
      </c>
      <c r="AG3" s="34" t="s">
        <v>65</v>
      </c>
      <c r="AH3" s="34" t="s">
        <v>66</v>
      </c>
      <c r="AI3" s="34" t="s">
        <v>67</v>
      </c>
      <c r="AJ3" s="34" t="s">
        <v>68</v>
      </c>
      <c r="AK3" s="34" t="s">
        <v>69</v>
      </c>
      <c r="AL3" s="34" t="s">
        <v>70</v>
      </c>
    </row>
    <row r="4" spans="1:38">
      <c r="A4" s="6" t="s">
        <v>71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D4" s="47" t="s">
        <v>71</v>
      </c>
      <c r="AE4" s="35">
        <f>AVERAGE(Table3.1[[#This Row],[1997]:[2023]])</f>
        <v>101101.03703703704</v>
      </c>
      <c r="AF4" s="35" cm="1">
        <f t="array" ref="AF4">SUM(Table3.1[[#This Row],[1997]:[2023]]/12)</f>
        <v>227477.33333333334</v>
      </c>
      <c r="AG4" s="35">
        <f>MAX(B4:AB4)- MIN(B4:AB4)</f>
        <v>86642</v>
      </c>
      <c r="AH4" s="35" t="e">
        <f t="shared" ref="AH4:AH14" si="0">MODE(B4:AB4)</f>
        <v>#N/A</v>
      </c>
      <c r="AI4" s="35">
        <f>MEDIAN(B4:AB4)</f>
        <v>88018</v>
      </c>
      <c r="AJ4" s="35">
        <f>_xlfn.VAR.P(B4:AB4)</f>
        <v>892528670.77640605</v>
      </c>
      <c r="AK4" s="35">
        <f>MIN(B4:AB4)</f>
        <v>70370</v>
      </c>
      <c r="AL4" s="35">
        <f xml:space="preserve"> MAX(B4:AB4)</f>
        <v>157012</v>
      </c>
    </row>
    <row r="5" spans="1:38">
      <c r="A5" s="6" t="s">
        <v>72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D5" s="47" t="s">
        <v>72</v>
      </c>
      <c r="AE5" s="35">
        <f>AVERAGE(Table3.1[[#This Row],[1997]:[2023]])</f>
        <v>68227</v>
      </c>
      <c r="AF5" s="35" cm="1">
        <f t="array" ref="AF5">SUM(Table3.1[[#This Row],[1997]:[2023]]/12)</f>
        <v>153510.74999999997</v>
      </c>
      <c r="AG5" s="35">
        <f t="shared" ref="AG5:AG17" si="1">MAX(B5:AB5)- MIN(B5:AB5)</f>
        <v>56294</v>
      </c>
      <c r="AH5" s="35" t="e">
        <f t="shared" si="0"/>
        <v>#N/A</v>
      </c>
      <c r="AI5" s="35">
        <f t="shared" ref="AI5:AI17" si="2">MEDIAN(B5:AB5)</f>
        <v>62910</v>
      </c>
      <c r="AJ5" s="35">
        <f t="shared" ref="AJ5:AJ17" si="3">_xlfn.VAR.P(B5:AB5)</f>
        <v>315346974.14814812</v>
      </c>
      <c r="AK5" s="35">
        <f t="shared" ref="AK5:AK17" si="4">MIN(B5:AB5)</f>
        <v>47644</v>
      </c>
      <c r="AL5" s="35">
        <f t="shared" ref="AL5:AL17" si="5" xml:space="preserve"> MAX(B5:AB5)</f>
        <v>103938</v>
      </c>
    </row>
    <row r="6" spans="1:38">
      <c r="A6" s="6" t="s">
        <v>73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D6" s="47" t="s">
        <v>73</v>
      </c>
      <c r="AE6" s="35">
        <f>AVERAGE(Table3.1[[#This Row],[1997]:[2023]])</f>
        <v>29494.296296296296</v>
      </c>
      <c r="AF6" s="35" cm="1">
        <f t="array" ref="AF6">SUM(Table3.1[[#This Row],[1997]:[2023]]/12)</f>
        <v>66362.166666666672</v>
      </c>
      <c r="AG6" s="35">
        <f t="shared" si="1"/>
        <v>25307</v>
      </c>
      <c r="AH6" s="35" t="e">
        <f t="shared" si="0"/>
        <v>#N/A</v>
      </c>
      <c r="AI6" s="35">
        <f t="shared" si="2"/>
        <v>30375</v>
      </c>
      <c r="AJ6" s="35">
        <f t="shared" si="3"/>
        <v>48923289.023319617</v>
      </c>
      <c r="AK6" s="35">
        <f t="shared" si="4"/>
        <v>15737</v>
      </c>
      <c r="AL6" s="35">
        <f t="shared" si="5"/>
        <v>41044</v>
      </c>
    </row>
    <row r="7" spans="1:38">
      <c r="A7" s="6" t="s">
        <v>74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D7" s="47" t="s">
        <v>74</v>
      </c>
      <c r="AE7" s="35">
        <f>AVERAGE(Table3.1[[#This Row],[1997]:[2023]])</f>
        <v>10845.777777777777</v>
      </c>
      <c r="AF7" s="35" cm="1">
        <f t="array" ref="AF7">SUM(Table3.1[[#This Row],[1997]:[2023]]/12)</f>
        <v>24403.000000000007</v>
      </c>
      <c r="AG7" s="35">
        <f t="shared" si="1"/>
        <v>10591</v>
      </c>
      <c r="AH7" s="35">
        <f t="shared" si="0"/>
        <v>11455</v>
      </c>
      <c r="AI7" s="35">
        <f t="shared" si="2"/>
        <v>11774</v>
      </c>
      <c r="AJ7" s="35">
        <f t="shared" si="3"/>
        <v>9992264.0246913582</v>
      </c>
      <c r="AK7" s="35">
        <f t="shared" si="4"/>
        <v>3787</v>
      </c>
      <c r="AL7" s="35">
        <f t="shared" si="5"/>
        <v>14378</v>
      </c>
    </row>
    <row r="8" spans="1:38">
      <c r="A8" s="6" t="s">
        <v>75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D8" s="47" t="s">
        <v>75</v>
      </c>
      <c r="AE8" s="35">
        <f>AVERAGE(Table3.1[[#This Row],[1997]:[2023]])</f>
        <v>5847.0740740740739</v>
      </c>
      <c r="AF8" s="35" cm="1">
        <f t="array" ref="AF8">SUM(Table3.1[[#This Row],[1997]:[2023]]/12)</f>
        <v>13155.916666666666</v>
      </c>
      <c r="AG8" s="35">
        <f t="shared" si="1"/>
        <v>4190</v>
      </c>
      <c r="AH8" s="35" t="e">
        <f t="shared" si="0"/>
        <v>#N/A</v>
      </c>
      <c r="AI8" s="35">
        <f t="shared" si="2"/>
        <v>6203</v>
      </c>
      <c r="AJ8" s="35">
        <f t="shared" si="3"/>
        <v>1470734.0685871057</v>
      </c>
      <c r="AK8" s="35">
        <f t="shared" si="4"/>
        <v>3101</v>
      </c>
      <c r="AL8" s="35">
        <f t="shared" si="5"/>
        <v>7291</v>
      </c>
    </row>
    <row r="9" spans="1:38">
      <c r="A9" s="6" t="s">
        <v>76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D9" s="47" t="s">
        <v>76</v>
      </c>
      <c r="AE9" s="35">
        <f>AVERAGE(Table3.1[[#This Row],[1997]:[2023]])</f>
        <v>1820.4814814814815</v>
      </c>
      <c r="AF9" s="35" cm="1">
        <f t="array" ref="AF9">SUM(Table3.1[[#This Row],[1997]:[2023]]/12)</f>
        <v>4096.0833333333339</v>
      </c>
      <c r="AG9" s="35">
        <f t="shared" si="1"/>
        <v>1086</v>
      </c>
      <c r="AH9" s="35">
        <f t="shared" si="0"/>
        <v>1201</v>
      </c>
      <c r="AI9" s="35">
        <f t="shared" si="2"/>
        <v>1885</v>
      </c>
      <c r="AJ9" s="35">
        <f t="shared" si="3"/>
        <v>78293.286694101509</v>
      </c>
      <c r="AK9" s="35">
        <f t="shared" si="4"/>
        <v>1176</v>
      </c>
      <c r="AL9" s="35">
        <f t="shared" si="5"/>
        <v>2262</v>
      </c>
    </row>
    <row r="10" spans="1:38">
      <c r="A10" s="6" t="s">
        <v>77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D10" s="47" t="s">
        <v>77</v>
      </c>
      <c r="AE10" s="35">
        <f>AVERAGE(Table3.1[[#This Row],[1997]:[2023]])</f>
        <v>1759.1851851851852</v>
      </c>
      <c r="AF10" s="35" cm="1">
        <f t="array" ref="AF10">SUM(Table3.1[[#This Row],[1997]:[2023]]/12)</f>
        <v>3958.166666666667</v>
      </c>
      <c r="AG10" s="35">
        <f t="shared" si="1"/>
        <v>1212</v>
      </c>
      <c r="AH10" s="35" t="e">
        <f t="shared" si="0"/>
        <v>#N/A</v>
      </c>
      <c r="AI10" s="35">
        <f t="shared" si="2"/>
        <v>1849</v>
      </c>
      <c r="AJ10" s="35">
        <f t="shared" si="3"/>
        <v>98685.780521262001</v>
      </c>
      <c r="AK10" s="35">
        <f t="shared" si="4"/>
        <v>999</v>
      </c>
      <c r="AL10" s="35">
        <f t="shared" si="5"/>
        <v>2211</v>
      </c>
    </row>
    <row r="11" spans="1:38">
      <c r="A11" s="6" t="s">
        <v>78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D11" s="47" t="s">
        <v>78</v>
      </c>
      <c r="AE11" s="35">
        <f>AVERAGE(Table3.1[[#This Row],[1997]:[2023]])</f>
        <v>530.22222222222217</v>
      </c>
      <c r="AF11" s="35" cm="1">
        <f t="array" ref="AF11">SUM(Table3.1[[#This Row],[1997]:[2023]]/12)</f>
        <v>1193.0000000000002</v>
      </c>
      <c r="AG11" s="35">
        <f t="shared" si="1"/>
        <v>293</v>
      </c>
      <c r="AH11" s="35">
        <f t="shared" si="0"/>
        <v>583</v>
      </c>
      <c r="AI11" s="35">
        <f t="shared" si="2"/>
        <v>549</v>
      </c>
      <c r="AJ11" s="35">
        <f t="shared" si="3"/>
        <v>6206.0246913580249</v>
      </c>
      <c r="AK11" s="35">
        <f t="shared" si="4"/>
        <v>354</v>
      </c>
      <c r="AL11" s="35">
        <f t="shared" si="5"/>
        <v>647</v>
      </c>
    </row>
    <row r="12" spans="1:38">
      <c r="A12" s="6" t="s">
        <v>79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D12" s="47" t="s">
        <v>79</v>
      </c>
      <c r="AE12" s="35">
        <f>AVERAGE(Table3.1[[#This Row],[1997]:[2023]])</f>
        <v>424.33333333333331</v>
      </c>
      <c r="AF12" s="35" cm="1">
        <f t="array" ref="AF12">SUM(Table3.1[[#This Row],[1997]:[2023]]/12)</f>
        <v>954.75000000000011</v>
      </c>
      <c r="AG12" s="35">
        <f t="shared" si="1"/>
        <v>240</v>
      </c>
      <c r="AH12" s="35">
        <f t="shared" si="0"/>
        <v>304</v>
      </c>
      <c r="AI12" s="35">
        <f t="shared" si="2"/>
        <v>441</v>
      </c>
      <c r="AJ12" s="35">
        <f t="shared" si="3"/>
        <v>4244.3703703703704</v>
      </c>
      <c r="AK12" s="35">
        <f t="shared" si="4"/>
        <v>271</v>
      </c>
      <c r="AL12" s="35">
        <f t="shared" si="5"/>
        <v>511</v>
      </c>
    </row>
    <row r="13" spans="1:38">
      <c r="A13" s="6" t="s">
        <v>80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D13" s="47" t="s">
        <v>80</v>
      </c>
      <c r="AE13" s="35">
        <f>AVERAGE(Table3.1[[#This Row],[1997]:[2023]])</f>
        <v>508.74074074074076</v>
      </c>
      <c r="AF13" s="35" cm="1">
        <f t="array" ref="AF13">SUM(Table3.1[[#This Row],[1997]:[2023]]/12)</f>
        <v>1144.6666666666665</v>
      </c>
      <c r="AG13" s="35">
        <f t="shared" si="1"/>
        <v>261</v>
      </c>
      <c r="AH13" s="35">
        <f t="shared" si="0"/>
        <v>560</v>
      </c>
      <c r="AI13" s="35">
        <f t="shared" si="2"/>
        <v>531</v>
      </c>
      <c r="AJ13" s="35">
        <f t="shared" si="3"/>
        <v>4574.2661179698216</v>
      </c>
      <c r="AK13" s="35">
        <f t="shared" si="4"/>
        <v>341</v>
      </c>
      <c r="AL13" s="35">
        <f t="shared" si="5"/>
        <v>602</v>
      </c>
    </row>
    <row r="14" spans="1:38">
      <c r="A14" s="6" t="s">
        <v>81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D14" s="47" t="s">
        <v>81</v>
      </c>
      <c r="AE14" s="35">
        <f>AVERAGE(Table3.1[[#This Row],[1997]:[2023]])</f>
        <v>136.55555555555554</v>
      </c>
      <c r="AF14" s="35" cm="1">
        <f t="array" ref="AF14">SUM(Table3.1[[#This Row],[1997]:[2023]]/12)</f>
        <v>307.25000000000006</v>
      </c>
      <c r="AG14" s="35">
        <f t="shared" si="1"/>
        <v>73</v>
      </c>
      <c r="AH14" s="35">
        <f t="shared" si="0"/>
        <v>125</v>
      </c>
      <c r="AI14" s="35">
        <f t="shared" si="2"/>
        <v>143</v>
      </c>
      <c r="AJ14" s="35">
        <f t="shared" si="3"/>
        <v>267.72839506172841</v>
      </c>
      <c r="AK14" s="35">
        <f t="shared" si="4"/>
        <v>91</v>
      </c>
      <c r="AL14" s="35">
        <f t="shared" si="5"/>
        <v>164</v>
      </c>
    </row>
    <row r="15" spans="1:38">
      <c r="A15" s="6" t="s">
        <v>82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D15" s="47" t="s">
        <v>82</v>
      </c>
      <c r="AE15" s="35">
        <f>AVERAGE(Table3.1[[#This Row],[1997]:[2023]])</f>
        <v>60.037037037037038</v>
      </c>
      <c r="AF15" s="35" cm="1">
        <f t="array" ref="AF15">SUM(Table3.1[[#This Row],[1997]:[2023]]/12)</f>
        <v>135.08333333333334</v>
      </c>
      <c r="AG15" s="35">
        <f t="shared" si="1"/>
        <v>27</v>
      </c>
      <c r="AH15" s="35">
        <f>MODE(B15:AB15)</f>
        <v>56</v>
      </c>
      <c r="AI15" s="35">
        <f t="shared" si="2"/>
        <v>59</v>
      </c>
      <c r="AJ15" s="35">
        <f t="shared" si="3"/>
        <v>42.70233196159122</v>
      </c>
      <c r="AK15" s="35">
        <f t="shared" si="4"/>
        <v>48</v>
      </c>
      <c r="AL15" s="35">
        <f t="shared" si="5"/>
        <v>75</v>
      </c>
    </row>
    <row r="16" spans="1:38">
      <c r="A16" s="6" t="s">
        <v>83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D16" s="47" t="s">
        <v>83</v>
      </c>
      <c r="AE16" s="35">
        <f>AVERAGE(Table3.1[[#This Row],[1997]:[2023]])</f>
        <v>54.851851851851855</v>
      </c>
      <c r="AF16" s="35" cm="1">
        <f t="array" ref="AF16">SUM(Table3.1[[#This Row],[1997]:[2023]]/12)</f>
        <v>123.41666666666664</v>
      </c>
      <c r="AG16" s="35">
        <f t="shared" si="1"/>
        <v>29</v>
      </c>
      <c r="AH16" s="35">
        <f t="shared" ref="AH16:AH17" si="6">MODE(B16:AB16)</f>
        <v>60</v>
      </c>
      <c r="AI16" s="35">
        <f t="shared" si="2"/>
        <v>57</v>
      </c>
      <c r="AJ16" s="35">
        <f t="shared" si="3"/>
        <v>54.422496570644718</v>
      </c>
      <c r="AK16" s="35">
        <f t="shared" si="4"/>
        <v>35</v>
      </c>
      <c r="AL16" s="35">
        <f t="shared" si="5"/>
        <v>64</v>
      </c>
    </row>
    <row r="17" spans="1:38" ht="25.2" customHeight="1">
      <c r="A17" s="16" t="s">
        <v>84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D17" s="48" t="s">
        <v>84</v>
      </c>
      <c r="AE17" s="36">
        <f>AVERAGE(Table3.1[[#This Row],[1997]:[2023]])</f>
        <v>241904.51851851851</v>
      </c>
      <c r="AF17" s="36" cm="1">
        <f t="array" ref="AF17">SUM(Table3.1[[#This Row],[1997]:[2023]]/12)</f>
        <v>544285.16666666663</v>
      </c>
      <c r="AG17" s="35">
        <f t="shared" si="1"/>
        <v>214184</v>
      </c>
      <c r="AH17" s="36" t="e">
        <f t="shared" si="6"/>
        <v>#N/A</v>
      </c>
      <c r="AI17" s="36">
        <f t="shared" si="2"/>
        <v>247105</v>
      </c>
      <c r="AJ17" s="36">
        <f t="shared" si="3"/>
        <v>5148250130.8422499</v>
      </c>
      <c r="AK17" s="36">
        <f t="shared" si="4"/>
        <v>160148</v>
      </c>
      <c r="AL17" s="36">
        <f t="shared" si="5"/>
        <v>374332</v>
      </c>
    </row>
    <row r="18" spans="1:3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0" spans="1:38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38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38"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</row>
    <row r="23" spans="1:38"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38"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38"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38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38"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AH4:AH17" evalError="1"/>
  </ignoredError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AB27"/>
  <sheetViews>
    <sheetView topLeftCell="S1" zoomScaleNormal="100" workbookViewId="0">
      <selection activeCell="P29" sqref="P29"/>
    </sheetView>
  </sheetViews>
  <sheetFormatPr defaultRowHeight="14.4"/>
  <cols>
    <col min="1" max="1" width="35.33203125" customWidth="1"/>
    <col min="2" max="2" width="12" bestFit="1" customWidth="1"/>
    <col min="3" max="3" width="11" bestFit="1" customWidth="1"/>
    <col min="4" max="5" width="12" bestFit="1" customWidth="1"/>
    <col min="6" max="6" width="11" bestFit="1" customWidth="1"/>
    <col min="7" max="13" width="12" bestFit="1" customWidth="1"/>
    <col min="14" max="14" width="11" bestFit="1" customWidth="1"/>
    <col min="15" max="18" width="12" bestFit="1" customWidth="1"/>
    <col min="20" max="20" width="15.33203125" customWidth="1"/>
    <col min="21" max="21" width="10.109375" bestFit="1" customWidth="1"/>
    <col min="22" max="22" width="12.109375" bestFit="1" customWidth="1"/>
    <col min="23" max="23" width="10.88671875" customWidth="1"/>
    <col min="24" max="24" width="10.109375" customWidth="1"/>
    <col min="25" max="25" width="10.109375" bestFit="1" customWidth="1"/>
    <col min="26" max="26" width="14.44140625" bestFit="1" customWidth="1"/>
    <col min="27" max="27" width="11.44140625" customWidth="1"/>
    <col min="28" max="28" width="10.5546875" bestFit="1" customWidth="1"/>
  </cols>
  <sheetData>
    <row r="1" spans="1:28" ht="19.2">
      <c r="A1" s="7" t="s">
        <v>85</v>
      </c>
    </row>
    <row r="2" spans="1:28" ht="19.2">
      <c r="A2" s="7"/>
    </row>
    <row r="3" spans="1:28" ht="42">
      <c r="A3" s="25" t="s">
        <v>86</v>
      </c>
      <c r="B3" s="29" t="s">
        <v>46</v>
      </c>
      <c r="C3" s="30" t="s">
        <v>47</v>
      </c>
      <c r="D3" s="26" t="s">
        <v>87</v>
      </c>
      <c r="E3" s="26" t="s">
        <v>88</v>
      </c>
      <c r="F3" s="26" t="s">
        <v>89</v>
      </c>
      <c r="G3" s="26" t="s">
        <v>90</v>
      </c>
      <c r="H3" s="26" t="s">
        <v>91</v>
      </c>
      <c r="I3" s="26" t="s">
        <v>92</v>
      </c>
      <c r="J3" s="26" t="s">
        <v>93</v>
      </c>
      <c r="K3" s="26" t="s">
        <v>94</v>
      </c>
      <c r="L3" s="26" t="s">
        <v>95</v>
      </c>
      <c r="M3" s="26" t="s">
        <v>96</v>
      </c>
      <c r="N3" s="26" t="s">
        <v>97</v>
      </c>
      <c r="O3" s="26" t="s">
        <v>98</v>
      </c>
      <c r="P3" s="26" t="s">
        <v>99</v>
      </c>
      <c r="Q3" s="26" t="s">
        <v>100</v>
      </c>
      <c r="R3" s="26" t="s">
        <v>62</v>
      </c>
      <c r="T3" s="37" t="s">
        <v>86</v>
      </c>
      <c r="U3" s="32" t="s">
        <v>63</v>
      </c>
      <c r="V3" s="33" t="s">
        <v>64</v>
      </c>
      <c r="W3" s="34" t="s">
        <v>65</v>
      </c>
      <c r="X3" s="34" t="s">
        <v>66</v>
      </c>
      <c r="Y3" s="34" t="s">
        <v>67</v>
      </c>
      <c r="Z3" s="34" t="s">
        <v>68</v>
      </c>
      <c r="AA3" s="34" t="s">
        <v>69</v>
      </c>
      <c r="AB3" s="34" t="s">
        <v>70</v>
      </c>
    </row>
    <row r="4" spans="1:28">
      <c r="A4" s="27" t="s">
        <v>101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T4" s="38" t="s">
        <v>101</v>
      </c>
      <c r="U4" s="35">
        <f>AVERAGE(B4:R4)</f>
        <v>246081.64705882352</v>
      </c>
      <c r="V4" s="35">
        <f>SUM(Table15[[#This Row],[2007]:[2023]])/12</f>
        <v>348615.66666666669</v>
      </c>
      <c r="W4" s="35">
        <f xml:space="preserve"> MAX(B4:R4)-MIN(B4:R4)</f>
        <v>105358</v>
      </c>
      <c r="X4" s="35" t="e">
        <f>MODE(B4:R4)</f>
        <v>#N/A</v>
      </c>
      <c r="Y4" s="35">
        <f>MEDIAN(B4:R4)</f>
        <v>228603</v>
      </c>
      <c r="Z4" s="35">
        <f>_xlfn.VAR.P(B4:R4)</f>
        <v>1165483501.8754325</v>
      </c>
      <c r="AA4" s="35">
        <f>MIN(Table15[[#This Row],[2007]:[2023]])</f>
        <v>206874</v>
      </c>
      <c r="AB4" s="35">
        <f xml:space="preserve"> MAX(Table15[[#This Row],[2007]:[2023]])</f>
        <v>312232</v>
      </c>
    </row>
    <row r="5" spans="1:28">
      <c r="A5" s="24" t="s">
        <v>102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T5" s="39" t="s">
        <v>102</v>
      </c>
      <c r="U5" s="35">
        <f t="shared" ref="U5:U16" si="0">AVERAGE(B5:R5)</f>
        <v>24842.411764705881</v>
      </c>
      <c r="V5" s="35">
        <f>SUM(Table15[[#This Row],[2007]:[2023]])/12</f>
        <v>35193.416666666664</v>
      </c>
      <c r="W5" s="35">
        <f t="shared" ref="W5:W15" si="1" xml:space="preserve"> MAX(B5:R5)-MIN(B5:R5)</f>
        <v>14719</v>
      </c>
      <c r="X5" s="35" t="e">
        <f t="shared" ref="X5:X16" si="2">MODE(B5:R5)</f>
        <v>#N/A</v>
      </c>
      <c r="Y5" s="35">
        <f t="shared" ref="Y5:Y16" si="3">MEDIAN(B5:R5)</f>
        <v>24657</v>
      </c>
      <c r="Z5" s="35">
        <f t="shared" ref="Z5:Z16" si="4">_xlfn.VAR.P(B5:R5)</f>
        <v>18312309.301038064</v>
      </c>
      <c r="AA5" s="35">
        <f>MIN(Table15[[#This Row],[2007]:[2023]])</f>
        <v>19138</v>
      </c>
      <c r="AB5" s="35">
        <f xml:space="preserve"> MAX(Table15[[#This Row],[2007]:[2023]])</f>
        <v>33857</v>
      </c>
    </row>
    <row r="6" spans="1:28">
      <c r="A6" s="24" t="s">
        <v>103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T6" s="39" t="s">
        <v>103</v>
      </c>
      <c r="U6" s="35">
        <f t="shared" si="0"/>
        <v>21935.294117647059</v>
      </c>
      <c r="V6" s="35">
        <f>SUM(Table15[[#This Row],[2007]:[2023]])/12</f>
        <v>31075</v>
      </c>
      <c r="W6" s="35">
        <f t="shared" si="1"/>
        <v>11192</v>
      </c>
      <c r="X6" s="35" t="e">
        <f t="shared" si="2"/>
        <v>#N/A</v>
      </c>
      <c r="Y6" s="35">
        <f t="shared" si="3"/>
        <v>21478</v>
      </c>
      <c r="Z6" s="35">
        <f t="shared" si="4"/>
        <v>12029374.91349481</v>
      </c>
      <c r="AA6" s="35">
        <f>MIN(Table15[[#This Row],[2007]:[2023]])</f>
        <v>17320</v>
      </c>
      <c r="AB6" s="35">
        <f xml:space="preserve"> MAX(Table15[[#This Row],[2007]:[2023]])</f>
        <v>28512</v>
      </c>
    </row>
    <row r="7" spans="1:28">
      <c r="A7" s="24" t="s">
        <v>104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T7" s="39" t="s">
        <v>104</v>
      </c>
      <c r="U7" s="35">
        <f t="shared" si="0"/>
        <v>2810.7647058823532</v>
      </c>
      <c r="V7" s="35">
        <f>SUM(Table15[[#This Row],[2007]:[2023]])/12</f>
        <v>3981.9166666666665</v>
      </c>
      <c r="W7" s="35">
        <f t="shared" si="1"/>
        <v>1679</v>
      </c>
      <c r="X7" s="35" t="e">
        <f t="shared" si="2"/>
        <v>#N/A</v>
      </c>
      <c r="Y7" s="35">
        <f t="shared" si="3"/>
        <v>2744</v>
      </c>
      <c r="Z7" s="35">
        <f t="shared" si="4"/>
        <v>305872.76816608995</v>
      </c>
      <c r="AA7" s="35">
        <f>MIN(Table15[[#This Row],[2007]:[2023]])</f>
        <v>2007</v>
      </c>
      <c r="AB7" s="35">
        <f xml:space="preserve"> MAX(Table15[[#This Row],[2007]:[2023]])</f>
        <v>3686</v>
      </c>
    </row>
    <row r="8" spans="1:28">
      <c r="A8" s="24" t="s">
        <v>105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T8" s="39" t="s">
        <v>105</v>
      </c>
      <c r="U8" s="35">
        <f t="shared" si="0"/>
        <v>1274.4117647058824</v>
      </c>
      <c r="V8" s="35">
        <f>SUM(Table15[[#This Row],[2007]:[2023]])/12</f>
        <v>1805.4166666666667</v>
      </c>
      <c r="W8" s="35">
        <f t="shared" si="1"/>
        <v>837</v>
      </c>
      <c r="X8" s="35">
        <f t="shared" si="2"/>
        <v>1262</v>
      </c>
      <c r="Y8" s="35">
        <f t="shared" si="3"/>
        <v>1262</v>
      </c>
      <c r="Z8" s="35">
        <f t="shared" si="4"/>
        <v>76403.301038062287</v>
      </c>
      <c r="AA8" s="35">
        <f>MIN(Table15[[#This Row],[2007]:[2023]])</f>
        <v>881</v>
      </c>
      <c r="AB8" s="35">
        <f xml:space="preserve"> MAX(Table15[[#This Row],[2007]:[2023]])</f>
        <v>1718</v>
      </c>
    </row>
    <row r="9" spans="1:28">
      <c r="A9" s="24" t="s">
        <v>106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T9" s="39" t="s">
        <v>106</v>
      </c>
      <c r="U9" s="35">
        <f t="shared" si="0"/>
        <v>395.94117647058823</v>
      </c>
      <c r="V9" s="35">
        <f>SUM(Table15[[#This Row],[2007]:[2023]])/12</f>
        <v>560.91666666666663</v>
      </c>
      <c r="W9" s="35">
        <f t="shared" si="1"/>
        <v>234</v>
      </c>
      <c r="X9" s="35" t="e">
        <f t="shared" si="2"/>
        <v>#N/A</v>
      </c>
      <c r="Y9" s="35">
        <f t="shared" si="3"/>
        <v>390</v>
      </c>
      <c r="Z9" s="35">
        <f t="shared" si="4"/>
        <v>5522.4083044982699</v>
      </c>
      <c r="AA9" s="35">
        <f>MIN(Table15[[#This Row],[2007]:[2023]])</f>
        <v>284</v>
      </c>
      <c r="AB9" s="35">
        <f xml:space="preserve"> MAX(Table15[[#This Row],[2007]:[2023]])</f>
        <v>518</v>
      </c>
    </row>
    <row r="10" spans="1:28">
      <c r="A10" s="24" t="s">
        <v>107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T10" s="39" t="s">
        <v>107</v>
      </c>
      <c r="U10" s="35">
        <f t="shared" si="0"/>
        <v>196.94117647058823</v>
      </c>
      <c r="V10" s="35">
        <f>SUM(Table15[[#This Row],[2007]:[2023]])/12</f>
        <v>279</v>
      </c>
      <c r="W10" s="35">
        <f t="shared" si="1"/>
        <v>153</v>
      </c>
      <c r="X10" s="35">
        <f t="shared" si="2"/>
        <v>243</v>
      </c>
      <c r="Y10" s="35">
        <f t="shared" si="3"/>
        <v>180</v>
      </c>
      <c r="Z10" s="35">
        <f t="shared" si="4"/>
        <v>2649.1141868512109</v>
      </c>
      <c r="AA10" s="35">
        <f>MIN(Table15[[#This Row],[2007]:[2023]])</f>
        <v>134</v>
      </c>
      <c r="AB10" s="35">
        <f xml:space="preserve"> MAX(Table15[[#This Row],[2007]:[2023]])</f>
        <v>287</v>
      </c>
    </row>
    <row r="11" spans="1:28">
      <c r="A11" s="24" t="s">
        <v>108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T11" s="39" t="s">
        <v>108</v>
      </c>
      <c r="U11" s="35">
        <f t="shared" si="0"/>
        <v>124.94117647058823</v>
      </c>
      <c r="V11" s="35">
        <f>SUM(Table15[[#This Row],[2007]:[2023]])/12</f>
        <v>177</v>
      </c>
      <c r="W11" s="35">
        <f t="shared" si="1"/>
        <v>101</v>
      </c>
      <c r="X11" s="35">
        <f t="shared" si="2"/>
        <v>98</v>
      </c>
      <c r="Y11" s="35">
        <f t="shared" si="3"/>
        <v>117</v>
      </c>
      <c r="Z11" s="35">
        <f t="shared" si="4"/>
        <v>948.52595155709344</v>
      </c>
      <c r="AA11" s="35">
        <f>MIN(Table15[[#This Row],[2007]:[2023]])</f>
        <v>78</v>
      </c>
      <c r="AB11" s="35">
        <f xml:space="preserve"> MAX(Table15[[#This Row],[2007]:[2023]])</f>
        <v>179</v>
      </c>
    </row>
    <row r="12" spans="1:28" ht="29.25" customHeight="1">
      <c r="A12" s="24" t="s">
        <v>109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T12" s="39" t="s">
        <v>109</v>
      </c>
      <c r="U12" s="35">
        <f t="shared" si="0"/>
        <v>246.52941176470588</v>
      </c>
      <c r="V12" s="35">
        <f>SUM(Table15[[#This Row],[2007]:[2023]])/12</f>
        <v>349.25</v>
      </c>
      <c r="W12" s="35">
        <f t="shared" si="1"/>
        <v>167</v>
      </c>
      <c r="X12" s="35" t="e">
        <f t="shared" si="2"/>
        <v>#N/A</v>
      </c>
      <c r="Y12" s="35">
        <f t="shared" si="3"/>
        <v>227</v>
      </c>
      <c r="Z12" s="35">
        <f t="shared" si="4"/>
        <v>2749.6608996539794</v>
      </c>
      <c r="AA12" s="35">
        <f>MIN(Table15[[#This Row],[2007]:[2023]])</f>
        <v>186</v>
      </c>
      <c r="AB12" s="35">
        <f xml:space="preserve"> MAX(Table15[[#This Row],[2007]:[2023]])</f>
        <v>353</v>
      </c>
    </row>
    <row r="13" spans="1:28" ht="29.25" customHeight="1">
      <c r="A13" s="24" t="s">
        <v>110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T13" s="39" t="s">
        <v>110</v>
      </c>
      <c r="U13" s="35">
        <f t="shared" si="0"/>
        <v>207.52941176470588</v>
      </c>
      <c r="V13" s="35">
        <f>SUM(Table15[[#This Row],[2007]:[2023]])/12</f>
        <v>294</v>
      </c>
      <c r="W13" s="35">
        <f t="shared" si="1"/>
        <v>102</v>
      </c>
      <c r="X13" s="35" t="e">
        <f t="shared" si="2"/>
        <v>#N/A</v>
      </c>
      <c r="Y13" s="35">
        <f t="shared" si="3"/>
        <v>205</v>
      </c>
      <c r="Z13" s="35">
        <f t="shared" si="4"/>
        <v>1060.7197231833909</v>
      </c>
      <c r="AA13" s="35">
        <f>MIN(Table15[[#This Row],[2007]:[2023]])</f>
        <v>156</v>
      </c>
      <c r="AB13" s="35">
        <f xml:space="preserve"> MAX(Table15[[#This Row],[2007]:[2023]])</f>
        <v>258</v>
      </c>
    </row>
    <row r="14" spans="1:28" ht="29.25" customHeight="1">
      <c r="A14" s="24" t="s">
        <v>111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T14" s="39" t="s">
        <v>111</v>
      </c>
      <c r="U14" s="35">
        <f t="shared" si="0"/>
        <v>20.823529411764707</v>
      </c>
      <c r="V14" s="35">
        <f>SUM(Table15[[#This Row],[2007]:[2023]])/12</f>
        <v>29.5</v>
      </c>
      <c r="W14" s="35">
        <f t="shared" si="1"/>
        <v>16</v>
      </c>
      <c r="X14" s="35">
        <f t="shared" si="2"/>
        <v>20</v>
      </c>
      <c r="Y14" s="35">
        <f t="shared" si="3"/>
        <v>20</v>
      </c>
      <c r="Z14" s="35">
        <f t="shared" si="4"/>
        <v>18.380622837370243</v>
      </c>
      <c r="AA14" s="35">
        <f>MIN(Table15[[#This Row],[2007]:[2023]])</f>
        <v>14</v>
      </c>
      <c r="AB14" s="35">
        <f xml:space="preserve"> MAX(Table15[[#This Row],[2007]:[2023]])</f>
        <v>30</v>
      </c>
    </row>
    <row r="15" spans="1:28">
      <c r="A15" s="24" t="s">
        <v>112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T15" s="39" t="s">
        <v>112</v>
      </c>
      <c r="U15" s="35">
        <f t="shared" si="0"/>
        <v>13</v>
      </c>
      <c r="V15" s="35">
        <f>SUM(Table15[[#This Row],[2007]:[2023]])/12</f>
        <v>18.416666666666668</v>
      </c>
      <c r="W15" s="35">
        <f t="shared" si="1"/>
        <v>17</v>
      </c>
      <c r="X15" s="35">
        <f t="shared" si="2"/>
        <v>10</v>
      </c>
      <c r="Y15" s="35">
        <f t="shared" si="3"/>
        <v>10</v>
      </c>
      <c r="Z15" s="35">
        <f t="shared" si="4"/>
        <v>29.176470588235293</v>
      </c>
      <c r="AA15" s="35">
        <f>MIN(Table15[[#This Row],[2007]:[2023]])</f>
        <v>6</v>
      </c>
      <c r="AB15" s="35">
        <f xml:space="preserve"> MAX(Table15[[#This Row],[2007]:[2023]])</f>
        <v>23</v>
      </c>
    </row>
    <row r="16" spans="1:28">
      <c r="A16" s="28" t="s">
        <v>84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T16" s="42" t="s">
        <v>84</v>
      </c>
      <c r="U16" s="43">
        <f t="shared" si="0"/>
        <v>298150.23529411765</v>
      </c>
      <c r="V16" s="43">
        <f>SUM(Table15[[#This Row],[2007]:[2023]])/12</f>
        <v>422379.5</v>
      </c>
      <c r="W16" s="43">
        <f>MAX(B16:R16)-MIN(B16:R16)</f>
        <v>127227</v>
      </c>
      <c r="X16" s="43" t="e">
        <f t="shared" si="2"/>
        <v>#N/A</v>
      </c>
      <c r="Y16" s="43">
        <f t="shared" si="3"/>
        <v>279356</v>
      </c>
      <c r="Z16" s="43">
        <f t="shared" si="4"/>
        <v>1782782075.2387543</v>
      </c>
      <c r="AA16" s="43">
        <f>MIN(Table15[[#This Row],[2007]:[2023]])</f>
        <v>247105</v>
      </c>
      <c r="AB16" s="43">
        <f xml:space="preserve"> MAX(Table15[[#This Row],[2007]:[2023]])</f>
        <v>374332</v>
      </c>
    </row>
    <row r="17" spans="1:2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T17" s="44"/>
      <c r="U17" s="45"/>
      <c r="V17" s="45"/>
      <c r="W17" s="45"/>
      <c r="X17" s="45"/>
      <c r="Y17" s="45"/>
      <c r="Z17" s="45"/>
      <c r="AA17" s="45"/>
      <c r="AB17" s="45"/>
    </row>
    <row r="20" spans="1:28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</row>
    <row r="21" spans="1:28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</row>
    <row r="22" spans="1:28"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</row>
    <row r="23" spans="1:28"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28"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28"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28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28"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X4:X17" evalError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2025-12-08T16:28:10Z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