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0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1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2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3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4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5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6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\Documents\"/>
    </mc:Choice>
  </mc:AlternateContent>
  <xr:revisionPtr revIDLastSave="0" documentId="8_{0DE2673B-72C4-453C-AEE4-4E60DD673B13}" xr6:coauthVersionLast="47" xr6:coauthVersionMax="47" xr10:uidLastSave="{00000000-0000-0000-0000-000000000000}"/>
  <bookViews>
    <workbookView xWindow="-120" yWindow="-120" windowWidth="43440" windowHeight="26640" firstSheet="2" activeTab="5" xr2:uid="{BA496B04-3268-42BD-A856-4F6E42BCBAD8}"/>
  </bookViews>
  <sheets>
    <sheet name="Vehicle " sheetId="1" r:id="rId1"/>
    <sheet name="BSFC " sheetId="2" r:id="rId2"/>
    <sheet name="Track " sheetId="3" r:id="rId3"/>
    <sheet name="Forces" sheetId="5" r:id="rId4"/>
    <sheet name="Duty Cycle " sheetId="4" r:id="rId5"/>
    <sheet name="Graphs " sheetId="7" r:id="rId6"/>
    <sheet name="Other " sheetId="8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8" l="1"/>
  <c r="A56" i="4"/>
  <c r="O3" i="4" l="1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N4" i="4"/>
  <c r="T3" i="4"/>
  <c r="Q5" i="4" l="1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4" i="4"/>
  <c r="S148" i="4"/>
  <c r="S149" i="4"/>
  <c r="S150" i="4"/>
  <c r="S151" i="4"/>
  <c r="S152" i="4"/>
  <c r="S153" i="4"/>
  <c r="S4" i="5"/>
  <c r="S5" i="5"/>
  <c r="S3" i="5"/>
  <c r="N9" i="5"/>
  <c r="N10" i="5"/>
  <c r="N8" i="5"/>
  <c r="I9" i="5"/>
  <c r="I10" i="5"/>
  <c r="I8" i="5"/>
  <c r="I4" i="5"/>
  <c r="I5" i="5"/>
  <c r="I3" i="5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B142" i="4"/>
  <c r="AB143" i="4"/>
  <c r="AB144" i="4"/>
  <c r="AB145" i="4"/>
  <c r="AB146" i="4"/>
  <c r="AB147" i="4"/>
  <c r="AB148" i="4"/>
  <c r="AB149" i="4"/>
  <c r="AB150" i="4"/>
  <c r="AB151" i="4"/>
  <c r="AB152" i="4"/>
  <c r="AB153" i="4"/>
  <c r="AB5" i="4"/>
  <c r="P153" i="4" l="1"/>
  <c r="H153" i="4"/>
  <c r="P152" i="4"/>
  <c r="H152" i="4"/>
  <c r="P151" i="4"/>
  <c r="H151" i="4"/>
  <c r="P150" i="4"/>
  <c r="H150" i="4"/>
  <c r="P149" i="4"/>
  <c r="N149" i="4"/>
  <c r="H149" i="4"/>
  <c r="P148" i="4"/>
  <c r="H148" i="4"/>
  <c r="P147" i="4"/>
  <c r="H147" i="4"/>
  <c r="P146" i="4"/>
  <c r="H146" i="4"/>
  <c r="P145" i="4"/>
  <c r="N145" i="4"/>
  <c r="H145" i="4"/>
  <c r="P144" i="4"/>
  <c r="H144" i="4"/>
  <c r="P143" i="4"/>
  <c r="N143" i="4"/>
  <c r="H143" i="4"/>
  <c r="P142" i="4"/>
  <c r="H142" i="4"/>
  <c r="P141" i="4"/>
  <c r="H141" i="4"/>
  <c r="P140" i="4"/>
  <c r="M140" i="4"/>
  <c r="H140" i="4"/>
  <c r="P139" i="4"/>
  <c r="H139" i="4"/>
  <c r="P138" i="4"/>
  <c r="H138" i="4"/>
  <c r="P137" i="4"/>
  <c r="H137" i="4"/>
  <c r="P136" i="4"/>
  <c r="H136" i="4"/>
  <c r="P135" i="4"/>
  <c r="H135" i="4"/>
  <c r="P134" i="4"/>
  <c r="H134" i="4"/>
  <c r="P133" i="4"/>
  <c r="H133" i="4"/>
  <c r="P132" i="4"/>
  <c r="H132" i="4"/>
  <c r="P131" i="4"/>
  <c r="H131" i="4"/>
  <c r="P130" i="4"/>
  <c r="H130" i="4"/>
  <c r="P129" i="4"/>
  <c r="H129" i="4"/>
  <c r="P128" i="4"/>
  <c r="H128" i="4"/>
  <c r="P127" i="4"/>
  <c r="H127" i="4"/>
  <c r="P126" i="4"/>
  <c r="M126" i="4"/>
  <c r="H126" i="4"/>
  <c r="P125" i="4"/>
  <c r="H125" i="4"/>
  <c r="P124" i="4"/>
  <c r="N124" i="4"/>
  <c r="H124" i="4"/>
  <c r="P123" i="4"/>
  <c r="N123" i="4"/>
  <c r="H123" i="4"/>
  <c r="P122" i="4"/>
  <c r="H122" i="4"/>
  <c r="P121" i="4"/>
  <c r="H121" i="4"/>
  <c r="P120" i="4"/>
  <c r="H120" i="4"/>
  <c r="P119" i="4"/>
  <c r="H119" i="4"/>
  <c r="P118" i="4"/>
  <c r="H118" i="4"/>
  <c r="P117" i="4"/>
  <c r="H117" i="4"/>
  <c r="P116" i="4"/>
  <c r="N116" i="4"/>
  <c r="H116" i="4"/>
  <c r="P115" i="4"/>
  <c r="H115" i="4"/>
  <c r="P114" i="4"/>
  <c r="H114" i="4"/>
  <c r="P113" i="4"/>
  <c r="H113" i="4"/>
  <c r="P112" i="4"/>
  <c r="H112" i="4"/>
  <c r="P111" i="4"/>
  <c r="H111" i="4"/>
  <c r="P110" i="4"/>
  <c r="H110" i="4"/>
  <c r="P109" i="4"/>
  <c r="M109" i="4"/>
  <c r="H109" i="4"/>
  <c r="P108" i="4"/>
  <c r="H108" i="4"/>
  <c r="P107" i="4"/>
  <c r="M107" i="4"/>
  <c r="H107" i="4"/>
  <c r="P106" i="4"/>
  <c r="H106" i="4"/>
  <c r="P105" i="4"/>
  <c r="H105" i="4"/>
  <c r="P104" i="4"/>
  <c r="H104" i="4"/>
  <c r="P103" i="4"/>
  <c r="H103" i="4"/>
  <c r="P102" i="4"/>
  <c r="M102" i="4"/>
  <c r="H102" i="4"/>
  <c r="P101" i="4"/>
  <c r="H101" i="4"/>
  <c r="P100" i="4"/>
  <c r="M100" i="4"/>
  <c r="H100" i="4"/>
  <c r="P99" i="4"/>
  <c r="H99" i="4"/>
  <c r="P98" i="4"/>
  <c r="H98" i="4"/>
  <c r="P97" i="4"/>
  <c r="H97" i="4"/>
  <c r="P96" i="4"/>
  <c r="M96" i="4"/>
  <c r="H96" i="4"/>
  <c r="P95" i="4"/>
  <c r="H95" i="4"/>
  <c r="P94" i="4"/>
  <c r="H94" i="4"/>
  <c r="P93" i="4"/>
  <c r="H93" i="4"/>
  <c r="P92" i="4"/>
  <c r="H92" i="4"/>
  <c r="P91" i="4"/>
  <c r="H91" i="4"/>
  <c r="P90" i="4"/>
  <c r="H90" i="4"/>
  <c r="P89" i="4"/>
  <c r="H89" i="4"/>
  <c r="P88" i="4"/>
  <c r="M88" i="4"/>
  <c r="H88" i="4"/>
  <c r="P87" i="4"/>
  <c r="M87" i="4"/>
  <c r="H87" i="4"/>
  <c r="P86" i="4"/>
  <c r="M86" i="4"/>
  <c r="H86" i="4"/>
  <c r="P85" i="4"/>
  <c r="H85" i="4"/>
  <c r="P84" i="4"/>
  <c r="H84" i="4"/>
  <c r="P83" i="4"/>
  <c r="H83" i="4"/>
  <c r="P82" i="4"/>
  <c r="H82" i="4"/>
  <c r="P81" i="4"/>
  <c r="H81" i="4"/>
  <c r="P80" i="4"/>
  <c r="H80" i="4"/>
  <c r="P79" i="4"/>
  <c r="H79" i="4"/>
  <c r="P78" i="4"/>
  <c r="M78" i="4"/>
  <c r="H78" i="4"/>
  <c r="P77" i="4"/>
  <c r="H77" i="4"/>
  <c r="P76" i="4"/>
  <c r="H76" i="4"/>
  <c r="P75" i="4"/>
  <c r="H75" i="4"/>
  <c r="P74" i="4"/>
  <c r="H74" i="4"/>
  <c r="P73" i="4"/>
  <c r="H73" i="4"/>
  <c r="P72" i="4"/>
  <c r="H72" i="4"/>
  <c r="P71" i="4"/>
  <c r="H71" i="4"/>
  <c r="P70" i="4"/>
  <c r="M70" i="4"/>
  <c r="H70" i="4"/>
  <c r="P69" i="4"/>
  <c r="H69" i="4"/>
  <c r="P68" i="4"/>
  <c r="H68" i="4"/>
  <c r="P67" i="4"/>
  <c r="H67" i="4"/>
  <c r="P66" i="4"/>
  <c r="H66" i="4"/>
  <c r="P65" i="4"/>
  <c r="M65" i="4"/>
  <c r="H65" i="4"/>
  <c r="P64" i="4"/>
  <c r="H64" i="4"/>
  <c r="P63" i="4"/>
  <c r="M63" i="4"/>
  <c r="H63" i="4"/>
  <c r="P62" i="4"/>
  <c r="H62" i="4"/>
  <c r="P61" i="4"/>
  <c r="M61" i="4"/>
  <c r="H61" i="4"/>
  <c r="P60" i="4"/>
  <c r="H60" i="4"/>
  <c r="P59" i="4"/>
  <c r="M59" i="4"/>
  <c r="H59" i="4"/>
  <c r="P58" i="4"/>
  <c r="H58" i="4"/>
  <c r="P57" i="4"/>
  <c r="H57" i="4"/>
  <c r="P56" i="4"/>
  <c r="H56" i="4"/>
  <c r="P55" i="4"/>
  <c r="H55" i="4"/>
  <c r="P54" i="4"/>
  <c r="H54" i="4"/>
  <c r="P53" i="4"/>
  <c r="H53" i="4"/>
  <c r="P52" i="4"/>
  <c r="H52" i="4"/>
  <c r="P51" i="4"/>
  <c r="H51" i="4"/>
  <c r="P50" i="4"/>
  <c r="H50" i="4"/>
  <c r="P49" i="4"/>
  <c r="H49" i="4"/>
  <c r="P48" i="4"/>
  <c r="H48" i="4"/>
  <c r="P47" i="4"/>
  <c r="H47" i="4"/>
  <c r="P46" i="4"/>
  <c r="M46" i="4"/>
  <c r="H46" i="4"/>
  <c r="P45" i="4"/>
  <c r="H45" i="4"/>
  <c r="P44" i="4"/>
  <c r="H44" i="4"/>
  <c r="P43" i="4"/>
  <c r="H43" i="4"/>
  <c r="P42" i="4"/>
  <c r="H42" i="4"/>
  <c r="P41" i="4"/>
  <c r="M41" i="4"/>
  <c r="H41" i="4"/>
  <c r="P40" i="4"/>
  <c r="N41" i="4"/>
  <c r="H40" i="4"/>
  <c r="P39" i="4"/>
  <c r="M39" i="4"/>
  <c r="H39" i="4"/>
  <c r="P38" i="4"/>
  <c r="H38" i="4"/>
  <c r="P37" i="4"/>
  <c r="N37" i="4"/>
  <c r="H37" i="4"/>
  <c r="P36" i="4"/>
  <c r="N36" i="4"/>
  <c r="H36" i="4"/>
  <c r="A36" i="4"/>
  <c r="P35" i="4"/>
  <c r="H35" i="4"/>
  <c r="P34" i="4"/>
  <c r="H34" i="4"/>
  <c r="P33" i="4"/>
  <c r="M33" i="4"/>
  <c r="H33" i="4"/>
  <c r="P32" i="4"/>
  <c r="H32" i="4"/>
  <c r="P31" i="4"/>
  <c r="H31" i="4"/>
  <c r="P30" i="4"/>
  <c r="H30" i="4"/>
  <c r="P29" i="4"/>
  <c r="N29" i="4"/>
  <c r="H29" i="4"/>
  <c r="P28" i="4"/>
  <c r="H28" i="4"/>
  <c r="P27" i="4"/>
  <c r="M27" i="4"/>
  <c r="H27" i="4"/>
  <c r="P26" i="4"/>
  <c r="N26" i="4"/>
  <c r="H26" i="4"/>
  <c r="P25" i="4"/>
  <c r="M25" i="4"/>
  <c r="H25" i="4"/>
  <c r="P24" i="4"/>
  <c r="H24" i="4"/>
  <c r="P23" i="4"/>
  <c r="M23" i="4"/>
  <c r="H23" i="4"/>
  <c r="P22" i="4"/>
  <c r="H22" i="4"/>
  <c r="P21" i="4"/>
  <c r="M21" i="4"/>
  <c r="H21" i="4"/>
  <c r="P20" i="4"/>
  <c r="M20" i="4"/>
  <c r="H20" i="4"/>
  <c r="P19" i="4"/>
  <c r="H19" i="4"/>
  <c r="P18" i="4"/>
  <c r="H18" i="4"/>
  <c r="P17" i="4"/>
  <c r="H17" i="4"/>
  <c r="P16" i="4"/>
  <c r="H16" i="4"/>
  <c r="P15" i="4"/>
  <c r="H15" i="4"/>
  <c r="P14" i="4"/>
  <c r="H14" i="4"/>
  <c r="P13" i="4"/>
  <c r="H13" i="4"/>
  <c r="P12" i="4"/>
  <c r="N12" i="4"/>
  <c r="H12" i="4"/>
  <c r="P11" i="4"/>
  <c r="M11" i="4"/>
  <c r="H11" i="4"/>
  <c r="P10" i="4"/>
  <c r="M10" i="4"/>
  <c r="H10" i="4"/>
  <c r="P9" i="4"/>
  <c r="H9" i="4"/>
  <c r="P8" i="4"/>
  <c r="H8" i="4"/>
  <c r="P7" i="4"/>
  <c r="H7" i="4"/>
  <c r="P6" i="4"/>
  <c r="M6" i="4"/>
  <c r="H6" i="4"/>
  <c r="P5" i="4"/>
  <c r="H5" i="4"/>
  <c r="P4" i="4"/>
  <c r="H4" i="4"/>
  <c r="B4" i="4"/>
  <c r="AF3" i="4"/>
  <c r="M3" i="4"/>
  <c r="E6" i="3"/>
  <c r="H13" i="3"/>
  <c r="H14" i="3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B32" i="2"/>
  <c r="B33" i="2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F47" i="1"/>
  <c r="F49" i="1" s="1"/>
  <c r="F50" i="1" s="1"/>
  <c r="F44" i="1"/>
  <c r="F38" i="1"/>
  <c r="F36" i="1"/>
  <c r="F35" i="1"/>
  <c r="F40" i="1" s="1"/>
  <c r="F26" i="1"/>
  <c r="F25" i="1"/>
  <c r="F12" i="1"/>
  <c r="F9" i="1"/>
  <c r="N6" i="4" l="1"/>
  <c r="M5" i="4"/>
  <c r="N51" i="4"/>
  <c r="N86" i="4"/>
  <c r="N87" i="4"/>
  <c r="N64" i="4"/>
  <c r="N13" i="4"/>
  <c r="D10" i="4"/>
  <c r="N11" i="4"/>
  <c r="N21" i="4"/>
  <c r="M124" i="4"/>
  <c r="N78" i="4"/>
  <c r="N83" i="4"/>
  <c r="M37" i="4"/>
  <c r="N8" i="4"/>
  <c r="N47" i="4"/>
  <c r="R15" i="4"/>
  <c r="AF15" i="4"/>
  <c r="R74" i="4"/>
  <c r="AF74" i="4"/>
  <c r="AF92" i="4"/>
  <c r="R92" i="4"/>
  <c r="M120" i="4"/>
  <c r="R120" i="4"/>
  <c r="AF120" i="4"/>
  <c r="M147" i="4"/>
  <c r="R147" i="4"/>
  <c r="AF147" i="4"/>
  <c r="R17" i="4"/>
  <c r="AF17" i="4"/>
  <c r="R32" i="4"/>
  <c r="AF32" i="4"/>
  <c r="N43" i="4"/>
  <c r="AF43" i="4"/>
  <c r="R43" i="4"/>
  <c r="R55" i="4"/>
  <c r="AF55" i="4"/>
  <c r="R57" i="4"/>
  <c r="AF57" i="4"/>
  <c r="AF68" i="4"/>
  <c r="R68" i="4"/>
  <c r="N72" i="4"/>
  <c r="R72" i="4"/>
  <c r="AF72" i="4"/>
  <c r="M74" i="4"/>
  <c r="AF76" i="4"/>
  <c r="R76" i="4"/>
  <c r="N80" i="4"/>
  <c r="R80" i="4"/>
  <c r="AF80" i="4"/>
  <c r="M92" i="4"/>
  <c r="R94" i="4"/>
  <c r="AF94" i="4"/>
  <c r="R105" i="4"/>
  <c r="AF105" i="4"/>
  <c r="R114" i="4"/>
  <c r="AF114" i="4"/>
  <c r="M116" i="4"/>
  <c r="R118" i="4"/>
  <c r="AF118" i="4"/>
  <c r="N120" i="4"/>
  <c r="AF131" i="4"/>
  <c r="R131" i="4"/>
  <c r="M133" i="4"/>
  <c r="R133" i="4"/>
  <c r="AF133" i="4"/>
  <c r="R135" i="4"/>
  <c r="AF135" i="4"/>
  <c r="R137" i="4"/>
  <c r="AF137" i="4"/>
  <c r="M139" i="4"/>
  <c r="AF139" i="4"/>
  <c r="R139" i="4"/>
  <c r="R141" i="4"/>
  <c r="AF141" i="4"/>
  <c r="N147" i="4"/>
  <c r="R45" i="4"/>
  <c r="AF45" i="4"/>
  <c r="R88" i="4"/>
  <c r="AF88" i="4"/>
  <c r="R149" i="4"/>
  <c r="T149" i="4" s="1"/>
  <c r="AF149" i="4"/>
  <c r="M15" i="4"/>
  <c r="R26" i="4"/>
  <c r="AF26" i="4"/>
  <c r="R30" i="4"/>
  <c r="AF30" i="4"/>
  <c r="M32" i="4"/>
  <c r="N34" i="4"/>
  <c r="R34" i="4"/>
  <c r="AF34" i="4"/>
  <c r="AF36" i="4"/>
  <c r="R36" i="4"/>
  <c r="M43" i="4"/>
  <c r="R49" i="4"/>
  <c r="AF49" i="4"/>
  <c r="AF51" i="4"/>
  <c r="R51" i="4"/>
  <c r="R53" i="4"/>
  <c r="AF53" i="4"/>
  <c r="M55" i="4"/>
  <c r="M57" i="4"/>
  <c r="N68" i="4"/>
  <c r="M72" i="4"/>
  <c r="N88" i="4"/>
  <c r="N90" i="4"/>
  <c r="R90" i="4"/>
  <c r="AF90" i="4"/>
  <c r="M94" i="4"/>
  <c r="M101" i="4"/>
  <c r="R101" i="4"/>
  <c r="AF101" i="4"/>
  <c r="N103" i="4"/>
  <c r="R103" i="4"/>
  <c r="AF103" i="4"/>
  <c r="N105" i="4"/>
  <c r="M112" i="4"/>
  <c r="R112" i="4"/>
  <c r="AF112" i="4"/>
  <c r="AF123" i="4"/>
  <c r="R123" i="4"/>
  <c r="M129" i="4"/>
  <c r="R129" i="4"/>
  <c r="AF129" i="4"/>
  <c r="N131" i="4"/>
  <c r="N133" i="4"/>
  <c r="N135" i="4"/>
  <c r="N137" i="4"/>
  <c r="N139" i="4"/>
  <c r="R152" i="4"/>
  <c r="T152" i="4" s="1"/>
  <c r="AF152" i="4"/>
  <c r="AF19" i="4"/>
  <c r="R19" i="4"/>
  <c r="AF59" i="4"/>
  <c r="R59" i="4"/>
  <c r="AF107" i="4"/>
  <c r="R107" i="4"/>
  <c r="R145" i="4"/>
  <c r="AF145" i="4"/>
  <c r="M13" i="4"/>
  <c r="R13" i="4"/>
  <c r="AF13" i="4"/>
  <c r="AF6" i="4"/>
  <c r="R6" i="4"/>
  <c r="M8" i="4"/>
  <c r="R8" i="4"/>
  <c r="AF8" i="4"/>
  <c r="R10" i="4"/>
  <c r="AF10" i="4"/>
  <c r="AF20" i="4"/>
  <c r="R20" i="4"/>
  <c r="R24" i="4"/>
  <c r="AF24" i="4"/>
  <c r="M26" i="4"/>
  <c r="N28" i="4"/>
  <c r="AF28" i="4"/>
  <c r="R28" i="4"/>
  <c r="N32" i="4"/>
  <c r="M34" i="4"/>
  <c r="M36" i="4"/>
  <c r="R46" i="4"/>
  <c r="AF46" i="4"/>
  <c r="M49" i="4"/>
  <c r="M51" i="4"/>
  <c r="M53" i="4"/>
  <c r="M64" i="4"/>
  <c r="R64" i="4"/>
  <c r="AF64" i="4"/>
  <c r="R66" i="4"/>
  <c r="AF66" i="4"/>
  <c r="M83" i="4"/>
  <c r="AF83" i="4"/>
  <c r="R83" i="4"/>
  <c r="N85" i="4"/>
  <c r="R85" i="4"/>
  <c r="AF85" i="4"/>
  <c r="R87" i="4"/>
  <c r="AF87" i="4"/>
  <c r="AF99" i="4"/>
  <c r="R99" i="4"/>
  <c r="N101" i="4"/>
  <c r="N110" i="4"/>
  <c r="R110" i="4"/>
  <c r="AF110" i="4"/>
  <c r="N112" i="4"/>
  <c r="M123" i="4"/>
  <c r="R127" i="4"/>
  <c r="AF127" i="4"/>
  <c r="N152" i="4"/>
  <c r="M47" i="4"/>
  <c r="R47" i="4"/>
  <c r="AF47" i="4"/>
  <c r="R143" i="4"/>
  <c r="AF143" i="4"/>
  <c r="R16" i="4"/>
  <c r="AF16" i="4"/>
  <c r="R42" i="4"/>
  <c r="AF42" i="4"/>
  <c r="R48" i="4"/>
  <c r="AF48" i="4"/>
  <c r="AF60" i="4"/>
  <c r="R60" i="4"/>
  <c r="R62" i="4"/>
  <c r="AF62" i="4"/>
  <c r="R71" i="4"/>
  <c r="AF71" i="4"/>
  <c r="M75" i="4"/>
  <c r="AF75" i="4"/>
  <c r="R75" i="4"/>
  <c r="N77" i="4"/>
  <c r="R77" i="4"/>
  <c r="AF77" i="4"/>
  <c r="R79" i="4"/>
  <c r="AF79" i="4"/>
  <c r="M93" i="4"/>
  <c r="R93" i="4"/>
  <c r="AF93" i="4"/>
  <c r="R97" i="4"/>
  <c r="AF97" i="4"/>
  <c r="N108" i="4"/>
  <c r="AF108" i="4"/>
  <c r="R108" i="4"/>
  <c r="AF115" i="4"/>
  <c r="R115" i="4"/>
  <c r="R119" i="4"/>
  <c r="AF119" i="4"/>
  <c r="R121" i="4"/>
  <c r="AF121" i="4"/>
  <c r="R125" i="4"/>
  <c r="AF125" i="4"/>
  <c r="N142" i="4"/>
  <c r="R142" i="4"/>
  <c r="AF142" i="4"/>
  <c r="N144" i="4"/>
  <c r="R144" i="4"/>
  <c r="AF144" i="4"/>
  <c r="R146" i="4"/>
  <c r="AF146" i="4"/>
  <c r="AF148" i="4"/>
  <c r="R148" i="4"/>
  <c r="T148" i="4" s="1"/>
  <c r="N150" i="4"/>
  <c r="R150" i="4"/>
  <c r="T150" i="4" s="1"/>
  <c r="AF150" i="4"/>
  <c r="AF7" i="4"/>
  <c r="R7" i="4"/>
  <c r="AF84" i="4"/>
  <c r="R84" i="4"/>
  <c r="AF116" i="4"/>
  <c r="R116" i="4"/>
  <c r="N18" i="4"/>
  <c r="R18" i="4"/>
  <c r="AF18" i="4"/>
  <c r="N38" i="4"/>
  <c r="R38" i="4"/>
  <c r="AF38" i="4"/>
  <c r="M31" i="4"/>
  <c r="R31" i="4"/>
  <c r="AF31" i="4"/>
  <c r="M38" i="4"/>
  <c r="M42" i="4"/>
  <c r="AF44" i="4"/>
  <c r="R44" i="4"/>
  <c r="N46" i="4"/>
  <c r="M48" i="4"/>
  <c r="M56" i="4"/>
  <c r="R56" i="4"/>
  <c r="AF56" i="4"/>
  <c r="N58" i="4"/>
  <c r="R58" i="4"/>
  <c r="AF58" i="4"/>
  <c r="N60" i="4"/>
  <c r="N70" i="4"/>
  <c r="R69" i="4"/>
  <c r="AF69" i="4"/>
  <c r="M71" i="4"/>
  <c r="R73" i="4"/>
  <c r="AF73" i="4"/>
  <c r="N75" i="4"/>
  <c r="M79" i="4"/>
  <c r="R81" i="4"/>
  <c r="AF81" i="4"/>
  <c r="R89" i="4"/>
  <c r="AF89" i="4"/>
  <c r="R91" i="4"/>
  <c r="AF91" i="4"/>
  <c r="N93" i="4"/>
  <c r="R95" i="4"/>
  <c r="AF95" i="4"/>
  <c r="N97" i="4"/>
  <c r="R104" i="4"/>
  <c r="AF104" i="4"/>
  <c r="M106" i="4"/>
  <c r="R106" i="4"/>
  <c r="AF106" i="4"/>
  <c r="M115" i="4"/>
  <c r="N117" i="4"/>
  <c r="R117" i="4"/>
  <c r="AF117" i="4"/>
  <c r="M119" i="4"/>
  <c r="R130" i="4"/>
  <c r="AF130" i="4"/>
  <c r="AF132" i="4"/>
  <c r="R132" i="4"/>
  <c r="N134" i="4"/>
  <c r="R134" i="4"/>
  <c r="AF134" i="4"/>
  <c r="R136" i="4"/>
  <c r="AF136" i="4"/>
  <c r="R138" i="4"/>
  <c r="AF138" i="4"/>
  <c r="AF140" i="4"/>
  <c r="R140" i="4"/>
  <c r="M142" i="4"/>
  <c r="M144" i="4"/>
  <c r="M146" i="4"/>
  <c r="N148" i="4"/>
  <c r="N61" i="4"/>
  <c r="R61" i="4"/>
  <c r="AF61" i="4"/>
  <c r="R82" i="4"/>
  <c r="AF82" i="4"/>
  <c r="N98" i="4"/>
  <c r="R98" i="4"/>
  <c r="AF98" i="4"/>
  <c r="AF12" i="4"/>
  <c r="R12" i="4"/>
  <c r="R22" i="4"/>
  <c r="AF22" i="4"/>
  <c r="R40" i="4"/>
  <c r="AF40" i="4"/>
  <c r="R14" i="4"/>
  <c r="AF14" i="4"/>
  <c r="M16" i="4"/>
  <c r="M18" i="4"/>
  <c r="N16" i="4"/>
  <c r="R25" i="4"/>
  <c r="AF25" i="4"/>
  <c r="R29" i="4"/>
  <c r="AF29" i="4"/>
  <c r="N31" i="4"/>
  <c r="N33" i="4"/>
  <c r="R33" i="4"/>
  <c r="AF33" i="4"/>
  <c r="R35" i="4"/>
  <c r="AF35" i="4"/>
  <c r="N42" i="4"/>
  <c r="N48" i="4"/>
  <c r="M50" i="4"/>
  <c r="R50" i="4"/>
  <c r="AF50" i="4"/>
  <c r="R54" i="4"/>
  <c r="AF54" i="4"/>
  <c r="N56" i="4"/>
  <c r="M67" i="4"/>
  <c r="AF67" i="4"/>
  <c r="R67" i="4"/>
  <c r="N71" i="4"/>
  <c r="N79" i="4"/>
  <c r="R86" i="4"/>
  <c r="AF86" i="4"/>
  <c r="M89" i="4"/>
  <c r="AF100" i="4"/>
  <c r="R100" i="4"/>
  <c r="R102" i="4"/>
  <c r="AF102" i="4"/>
  <c r="M104" i="4"/>
  <c r="R113" i="4"/>
  <c r="AF113" i="4"/>
  <c r="M117" i="4"/>
  <c r="R128" i="4"/>
  <c r="AF128" i="4"/>
  <c r="M130" i="4"/>
  <c r="M132" i="4"/>
  <c r="M134" i="4"/>
  <c r="M136" i="4"/>
  <c r="M138" i="4"/>
  <c r="R153" i="4"/>
  <c r="T153" i="4" s="1"/>
  <c r="AF153" i="4"/>
  <c r="N39" i="4"/>
  <c r="R39" i="4"/>
  <c r="AF39" i="4"/>
  <c r="R70" i="4"/>
  <c r="AF70" i="4"/>
  <c r="R96" i="4"/>
  <c r="AF96" i="4"/>
  <c r="D5" i="4"/>
  <c r="R4" i="4"/>
  <c r="AF4" i="4"/>
  <c r="R5" i="4"/>
  <c r="AF5" i="4"/>
  <c r="R9" i="4"/>
  <c r="AF9" i="4"/>
  <c r="AF11" i="4"/>
  <c r="R11" i="4"/>
  <c r="R21" i="4"/>
  <c r="AF21" i="4"/>
  <c r="N23" i="4"/>
  <c r="R23" i="4"/>
  <c r="AF23" i="4"/>
  <c r="AF27" i="4"/>
  <c r="R27" i="4"/>
  <c r="R37" i="4"/>
  <c r="AF37" i="4"/>
  <c r="R41" i="4"/>
  <c r="AF41" i="4"/>
  <c r="N50" i="4"/>
  <c r="AF52" i="4"/>
  <c r="R52" i="4"/>
  <c r="R63" i="4"/>
  <c r="AF63" i="4"/>
  <c r="R65" i="4"/>
  <c r="AF65" i="4"/>
  <c r="R78" i="4"/>
  <c r="AF78" i="4"/>
  <c r="N89" i="4"/>
  <c r="R109" i="4"/>
  <c r="AF109" i="4"/>
  <c r="R111" i="4"/>
  <c r="AF111" i="4"/>
  <c r="R122" i="4"/>
  <c r="AF122" i="4"/>
  <c r="AF124" i="4"/>
  <c r="R124" i="4"/>
  <c r="R126" i="4"/>
  <c r="AF126" i="4"/>
  <c r="M128" i="4"/>
  <c r="M151" i="4"/>
  <c r="R151" i="4"/>
  <c r="T151" i="4" s="1"/>
  <c r="AF151" i="4"/>
  <c r="D5" i="5"/>
  <c r="D10" i="5" s="1"/>
  <c r="D4" i="5"/>
  <c r="D9" i="5" s="1"/>
  <c r="D3" i="5"/>
  <c r="D8" i="5" s="1"/>
  <c r="D20" i="4"/>
  <c r="D33" i="4"/>
  <c r="Z3" i="4"/>
  <c r="AG3" i="4" s="1"/>
  <c r="U3" i="4"/>
  <c r="V3" i="4" s="1"/>
  <c r="N10" i="4"/>
  <c r="N9" i="4"/>
  <c r="M9" i="4"/>
  <c r="N15" i="4"/>
  <c r="N14" i="4"/>
  <c r="M14" i="4"/>
  <c r="N20" i="4"/>
  <c r="M19" i="4"/>
  <c r="N19" i="4"/>
  <c r="D153" i="4"/>
  <c r="D149" i="4"/>
  <c r="D146" i="4"/>
  <c r="D138" i="4"/>
  <c r="D130" i="4"/>
  <c r="D143" i="4"/>
  <c r="D152" i="4"/>
  <c r="D148" i="4"/>
  <c r="D140" i="4"/>
  <c r="D132" i="4"/>
  <c r="D151" i="4"/>
  <c r="D142" i="4"/>
  <c r="D134" i="4"/>
  <c r="D147" i="4"/>
  <c r="D139" i="4"/>
  <c r="D150" i="4"/>
  <c r="D144" i="4"/>
  <c r="D136" i="4"/>
  <c r="D128" i="4"/>
  <c r="D141" i="4"/>
  <c r="D119" i="4"/>
  <c r="D111" i="4"/>
  <c r="D127" i="4"/>
  <c r="D124" i="4"/>
  <c r="D116" i="4"/>
  <c r="D121" i="4"/>
  <c r="D113" i="4"/>
  <c r="D137" i="4"/>
  <c r="D123" i="4"/>
  <c r="D145" i="4"/>
  <c r="D129" i="4"/>
  <c r="D120" i="4"/>
  <c r="D114" i="4"/>
  <c r="D100" i="4"/>
  <c r="D92" i="4"/>
  <c r="D117" i="4"/>
  <c r="D115" i="4"/>
  <c r="D106" i="4"/>
  <c r="D105" i="4"/>
  <c r="D97" i="4"/>
  <c r="D89" i="4"/>
  <c r="D109" i="4"/>
  <c r="D102" i="4"/>
  <c r="D94" i="4"/>
  <c r="D135" i="4"/>
  <c r="E135" i="4" s="1"/>
  <c r="I135" i="4" s="1"/>
  <c r="S135" i="4" s="1"/>
  <c r="D118" i="4"/>
  <c r="D112" i="4"/>
  <c r="E112" i="4" s="1"/>
  <c r="D99" i="4"/>
  <c r="D133" i="4"/>
  <c r="D110" i="4"/>
  <c r="E110" i="4" s="1"/>
  <c r="I110" i="4" s="1"/>
  <c r="D107" i="4"/>
  <c r="E107" i="4" s="1"/>
  <c r="I107" i="4" s="1"/>
  <c r="S107" i="4" s="1"/>
  <c r="D104" i="4"/>
  <c r="D96" i="4"/>
  <c r="D131" i="4"/>
  <c r="D125" i="4"/>
  <c r="E125" i="4" s="1"/>
  <c r="I125" i="4" s="1"/>
  <c r="S125" i="4" s="1"/>
  <c r="D101" i="4"/>
  <c r="D126" i="4"/>
  <c r="D122" i="4"/>
  <c r="E122" i="4" s="1"/>
  <c r="I122" i="4" s="1"/>
  <c r="S122" i="4" s="1"/>
  <c r="D108" i="4"/>
  <c r="E108" i="4" s="1"/>
  <c r="I108" i="4" s="1"/>
  <c r="S108" i="4" s="1"/>
  <c r="D98" i="4"/>
  <c r="E98" i="4" s="1"/>
  <c r="I98" i="4" s="1"/>
  <c r="S98" i="4" s="1"/>
  <c r="D95" i="4"/>
  <c r="D82" i="4"/>
  <c r="D74" i="4"/>
  <c r="D66" i="4"/>
  <c r="D91" i="4"/>
  <c r="D88" i="4"/>
  <c r="D87" i="4"/>
  <c r="D79" i="4"/>
  <c r="D71" i="4"/>
  <c r="D90" i="4"/>
  <c r="D84" i="4"/>
  <c r="E84" i="4" s="1"/>
  <c r="I84" i="4" s="1"/>
  <c r="S84" i="4" s="1"/>
  <c r="D76" i="4"/>
  <c r="D68" i="4"/>
  <c r="D93" i="4"/>
  <c r="D81" i="4"/>
  <c r="D86" i="4"/>
  <c r="D78" i="4"/>
  <c r="D83" i="4"/>
  <c r="E83" i="4" s="1"/>
  <c r="D75" i="4"/>
  <c r="E75" i="4" s="1"/>
  <c r="D63" i="4"/>
  <c r="D55" i="4"/>
  <c r="D60" i="4"/>
  <c r="D52" i="4"/>
  <c r="D65" i="4"/>
  <c r="D57" i="4"/>
  <c r="D69" i="4"/>
  <c r="D62" i="4"/>
  <c r="D103" i="4"/>
  <c r="D70" i="4"/>
  <c r="D59" i="4"/>
  <c r="D51" i="4"/>
  <c r="D73" i="4"/>
  <c r="D72" i="4"/>
  <c r="E72" i="4" s="1"/>
  <c r="I72" i="4" s="1"/>
  <c r="S72" i="4" s="1"/>
  <c r="D67" i="4"/>
  <c r="D64" i="4"/>
  <c r="E64" i="4" s="1"/>
  <c r="I64" i="4" s="1"/>
  <c r="D56" i="4"/>
  <c r="D85" i="4"/>
  <c r="D80" i="4"/>
  <c r="E80" i="4" s="1"/>
  <c r="I80" i="4" s="1"/>
  <c r="S80" i="4" s="1"/>
  <c r="D77" i="4"/>
  <c r="E77" i="4" s="1"/>
  <c r="I77" i="4" s="1"/>
  <c r="S77" i="4" s="1"/>
  <c r="D61" i="4"/>
  <c r="D45" i="4"/>
  <c r="D40" i="4"/>
  <c r="D30" i="4"/>
  <c r="D50" i="4"/>
  <c r="D35" i="4"/>
  <c r="D27" i="4"/>
  <c r="D58" i="4"/>
  <c r="D42" i="4"/>
  <c r="D37" i="4"/>
  <c r="D32" i="4"/>
  <c r="D48" i="4"/>
  <c r="D44" i="4"/>
  <c r="D29" i="4"/>
  <c r="D49" i="4"/>
  <c r="D47" i="4"/>
  <c r="E47" i="4" s="1"/>
  <c r="I47" i="4" s="1"/>
  <c r="S47" i="4" s="1"/>
  <c r="D39" i="4"/>
  <c r="D34" i="4"/>
  <c r="E34" i="4" s="1"/>
  <c r="I34" i="4" s="1"/>
  <c r="D46" i="4"/>
  <c r="D41" i="4"/>
  <c r="E41" i="4" s="1"/>
  <c r="I41" i="4" s="1"/>
  <c r="D36" i="4"/>
  <c r="D54" i="4"/>
  <c r="D53" i="4"/>
  <c r="D28" i="4"/>
  <c r="D12" i="4"/>
  <c r="D43" i="4"/>
  <c r="D38" i="4"/>
  <c r="D22" i="4"/>
  <c r="D17" i="4"/>
  <c r="D7" i="4"/>
  <c r="N5" i="4"/>
  <c r="D24" i="4"/>
  <c r="D14" i="4"/>
  <c r="E14" i="4" s="1"/>
  <c r="I14" i="4" s="1"/>
  <c r="S14" i="4" s="1"/>
  <c r="D9" i="4"/>
  <c r="D4" i="4"/>
  <c r="E4" i="4" s="1"/>
  <c r="I4" i="4" s="1"/>
  <c r="S4" i="4" s="1"/>
  <c r="D23" i="4"/>
  <c r="E23" i="4" s="1"/>
  <c r="I23" i="4" s="1"/>
  <c r="S23" i="4" s="1"/>
  <c r="D31" i="4"/>
  <c r="D19" i="4"/>
  <c r="D26" i="4"/>
  <c r="D21" i="4"/>
  <c r="E21" i="4" s="1"/>
  <c r="I21" i="4" s="1"/>
  <c r="D16" i="4"/>
  <c r="D11" i="4"/>
  <c r="D6" i="4"/>
  <c r="E6" i="4" s="1"/>
  <c r="I6" i="4" s="1"/>
  <c r="D13" i="4"/>
  <c r="D8" i="4"/>
  <c r="E8" i="4" s="1"/>
  <c r="I8" i="4" s="1"/>
  <c r="S8" i="4" s="1"/>
  <c r="M4" i="4"/>
  <c r="D18" i="4"/>
  <c r="E18" i="4" s="1"/>
  <c r="I18" i="4" s="1"/>
  <c r="S18" i="4" s="1"/>
  <c r="D25" i="4"/>
  <c r="D15" i="4"/>
  <c r="M24" i="4"/>
  <c r="M7" i="4"/>
  <c r="M17" i="4"/>
  <c r="M22" i="4"/>
  <c r="N24" i="4"/>
  <c r="N7" i="4"/>
  <c r="M12" i="4"/>
  <c r="N17" i="4"/>
  <c r="N22" i="4"/>
  <c r="N27" i="4"/>
  <c r="N66" i="4"/>
  <c r="N67" i="4"/>
  <c r="M66" i="4"/>
  <c r="N25" i="4"/>
  <c r="B5" i="4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M29" i="4"/>
  <c r="N44" i="4"/>
  <c r="M44" i="4"/>
  <c r="N63" i="4"/>
  <c r="N62" i="4"/>
  <c r="M62" i="4"/>
  <c r="N69" i="4"/>
  <c r="M69" i="4"/>
  <c r="M35" i="4"/>
  <c r="N55" i="4"/>
  <c r="N54" i="4"/>
  <c r="M54" i="4"/>
  <c r="M30" i="4"/>
  <c r="N35" i="4"/>
  <c r="M40" i="4"/>
  <c r="M45" i="4"/>
  <c r="N30" i="4"/>
  <c r="N40" i="4"/>
  <c r="N45" i="4"/>
  <c r="M52" i="4"/>
  <c r="N53" i="4"/>
  <c r="M28" i="4"/>
  <c r="N52" i="4"/>
  <c r="N49" i="4"/>
  <c r="N95" i="4"/>
  <c r="M95" i="4"/>
  <c r="N96" i="4"/>
  <c r="N59" i="4"/>
  <c r="N57" i="4"/>
  <c r="M60" i="4"/>
  <c r="N65" i="4"/>
  <c r="N76" i="4"/>
  <c r="M76" i="4"/>
  <c r="N84" i="4"/>
  <c r="M84" i="4"/>
  <c r="N73" i="4"/>
  <c r="N81" i="4"/>
  <c r="M58" i="4"/>
  <c r="M73" i="4"/>
  <c r="I75" i="4"/>
  <c r="S75" i="4" s="1"/>
  <c r="M81" i="4"/>
  <c r="I83" i="4"/>
  <c r="N91" i="4"/>
  <c r="M91" i="4"/>
  <c r="M68" i="4"/>
  <c r="M82" i="4"/>
  <c r="N74" i="4"/>
  <c r="M77" i="4"/>
  <c r="N82" i="4"/>
  <c r="M85" i="4"/>
  <c r="N99" i="4"/>
  <c r="M99" i="4"/>
  <c r="M80" i="4"/>
  <c r="N104" i="4"/>
  <c r="N107" i="4"/>
  <c r="N109" i="4"/>
  <c r="N111" i="4"/>
  <c r="M113" i="4"/>
  <c r="N121" i="4"/>
  <c r="M121" i="4"/>
  <c r="N94" i="4"/>
  <c r="M97" i="4"/>
  <c r="N102" i="4"/>
  <c r="M105" i="4"/>
  <c r="N106" i="4"/>
  <c r="M111" i="4"/>
  <c r="N113" i="4"/>
  <c r="N114" i="4"/>
  <c r="M114" i="4"/>
  <c r="N115" i="4"/>
  <c r="N122" i="4"/>
  <c r="N92" i="4"/>
  <c r="N100" i="4"/>
  <c r="M103" i="4"/>
  <c r="M108" i="4"/>
  <c r="N127" i="4"/>
  <c r="M90" i="4"/>
  <c r="M98" i="4"/>
  <c r="M110" i="4"/>
  <c r="I112" i="4"/>
  <c r="N118" i="4"/>
  <c r="M127" i="4"/>
  <c r="M118" i="4"/>
  <c r="N128" i="4"/>
  <c r="M131" i="4"/>
  <c r="N132" i="4"/>
  <c r="M135" i="4"/>
  <c r="N126" i="4"/>
  <c r="N119" i="4"/>
  <c r="M122" i="4"/>
  <c r="M125" i="4"/>
  <c r="N129" i="4"/>
  <c r="N141" i="4"/>
  <c r="M141" i="4"/>
  <c r="N125" i="4"/>
  <c r="N136" i="4"/>
  <c r="N151" i="4"/>
  <c r="M137" i="4"/>
  <c r="M145" i="4"/>
  <c r="M148" i="4"/>
  <c r="M152" i="4"/>
  <c r="N140" i="4"/>
  <c r="M143" i="4"/>
  <c r="M149" i="4"/>
  <c r="M153" i="4"/>
  <c r="N153" i="4"/>
  <c r="N130" i="4"/>
  <c r="N138" i="4"/>
  <c r="N146" i="4"/>
  <c r="M150" i="4"/>
  <c r="E148" i="4" l="1"/>
  <c r="E39" i="4"/>
  <c r="I39" i="4" s="1"/>
  <c r="E26" i="4"/>
  <c r="I26" i="4" s="1"/>
  <c r="T84" i="4"/>
  <c r="T47" i="4"/>
  <c r="T23" i="4"/>
  <c r="T108" i="4"/>
  <c r="T125" i="4"/>
  <c r="T122" i="4"/>
  <c r="E67" i="4"/>
  <c r="I67" i="4" s="1"/>
  <c r="S67" i="4" s="1"/>
  <c r="T67" i="4" s="1"/>
  <c r="U67" i="4" s="1"/>
  <c r="V67" i="4" s="1"/>
  <c r="T4" i="4"/>
  <c r="T14" i="4"/>
  <c r="T98" i="4"/>
  <c r="T18" i="4"/>
  <c r="T77" i="4"/>
  <c r="Z77" i="4" s="1"/>
  <c r="AG77" i="4" s="1"/>
  <c r="T135" i="4"/>
  <c r="T72" i="4"/>
  <c r="T8" i="4"/>
  <c r="T75" i="4"/>
  <c r="U75" i="4" s="1"/>
  <c r="V75" i="4" s="1"/>
  <c r="T107" i="4"/>
  <c r="T80" i="4"/>
  <c r="E53" i="4"/>
  <c r="I53" i="4" s="1"/>
  <c r="S53" i="4" s="1"/>
  <c r="T53" i="4" s="1"/>
  <c r="E93" i="4"/>
  <c r="I93" i="4" s="1"/>
  <c r="S93" i="4" s="1"/>
  <c r="T93" i="4" s="1"/>
  <c r="E103" i="4"/>
  <c r="I103" i="4" s="1"/>
  <c r="S103" i="4" s="1"/>
  <c r="T103" i="4" s="1"/>
  <c r="E11" i="4"/>
  <c r="I11" i="4" s="1"/>
  <c r="S11" i="4" s="1"/>
  <c r="T11" i="4" s="1"/>
  <c r="E10" i="4"/>
  <c r="I10" i="4" s="1"/>
  <c r="S10" i="4" s="1"/>
  <c r="T10" i="4" s="1"/>
  <c r="E44" i="4"/>
  <c r="I44" i="4" s="1"/>
  <c r="S44" i="4" s="1"/>
  <c r="T44" i="4" s="1"/>
  <c r="E12" i="4"/>
  <c r="I12" i="4" s="1"/>
  <c r="S12" i="4" s="1"/>
  <c r="T12" i="4" s="1"/>
  <c r="E141" i="4"/>
  <c r="I141" i="4" s="1"/>
  <c r="S141" i="4" s="1"/>
  <c r="T141" i="4" s="1"/>
  <c r="E49" i="4"/>
  <c r="I49" i="4" s="1"/>
  <c r="S49" i="4" s="1"/>
  <c r="T49" i="4" s="1"/>
  <c r="E88" i="4"/>
  <c r="I88" i="4" s="1"/>
  <c r="S88" i="4" s="1"/>
  <c r="T88" i="4" s="1"/>
  <c r="E100" i="4"/>
  <c r="I100" i="4" s="1"/>
  <c r="S100" i="4" s="1"/>
  <c r="T100" i="4" s="1"/>
  <c r="E121" i="4"/>
  <c r="I121" i="4" s="1"/>
  <c r="S121" i="4" s="1"/>
  <c r="T121" i="4" s="1"/>
  <c r="E149" i="4"/>
  <c r="S110" i="4"/>
  <c r="T110" i="4" s="1"/>
  <c r="S64" i="4"/>
  <c r="T64" i="4" s="1"/>
  <c r="S83" i="4"/>
  <c r="T83" i="4" s="1"/>
  <c r="E7" i="4"/>
  <c r="I7" i="4" s="1"/>
  <c r="S7" i="4" s="1"/>
  <c r="T7" i="4" s="1"/>
  <c r="E54" i="4"/>
  <c r="I54" i="4" s="1"/>
  <c r="S54" i="4" s="1"/>
  <c r="T54" i="4" s="1"/>
  <c r="E29" i="4"/>
  <c r="I29" i="4" s="1"/>
  <c r="S29" i="4" s="1"/>
  <c r="E85" i="4"/>
  <c r="I85" i="4" s="1"/>
  <c r="S85" i="4" s="1"/>
  <c r="E70" i="4"/>
  <c r="I70" i="4" s="1"/>
  <c r="S70" i="4" s="1"/>
  <c r="T70" i="4" s="1"/>
  <c r="E68" i="4"/>
  <c r="I68" i="4" s="1"/>
  <c r="S68" i="4" s="1"/>
  <c r="E91" i="4"/>
  <c r="I91" i="4" s="1"/>
  <c r="S91" i="4" s="1"/>
  <c r="T91" i="4" s="1"/>
  <c r="E126" i="4"/>
  <c r="I126" i="4" s="1"/>
  <c r="S126" i="4" s="1"/>
  <c r="T126" i="4" s="1"/>
  <c r="E133" i="4"/>
  <c r="I133" i="4" s="1"/>
  <c r="S133" i="4" s="1"/>
  <c r="T133" i="4" s="1"/>
  <c r="Z133" i="4" s="1"/>
  <c r="AG133" i="4" s="1"/>
  <c r="E114" i="4"/>
  <c r="I114" i="4" s="1"/>
  <c r="S114" i="4" s="1"/>
  <c r="T114" i="4" s="1"/>
  <c r="E144" i="4"/>
  <c r="I144" i="4" s="1"/>
  <c r="S144" i="4" s="1"/>
  <c r="T144" i="4" s="1"/>
  <c r="E140" i="4"/>
  <c r="I140" i="4" s="1"/>
  <c r="S140" i="4" s="1"/>
  <c r="T140" i="4" s="1"/>
  <c r="E153" i="4"/>
  <c r="E13" i="4"/>
  <c r="I13" i="4" s="1"/>
  <c r="S13" i="4" s="1"/>
  <c r="T13" i="4" s="1"/>
  <c r="E31" i="4"/>
  <c r="I31" i="4" s="1"/>
  <c r="S31" i="4" s="1"/>
  <c r="T31" i="4" s="1"/>
  <c r="E17" i="4"/>
  <c r="I17" i="4" s="1"/>
  <c r="S17" i="4" s="1"/>
  <c r="T17" i="4" s="1"/>
  <c r="E150" i="4"/>
  <c r="S41" i="4"/>
  <c r="T41" i="4" s="1"/>
  <c r="S6" i="4"/>
  <c r="T6" i="4" s="1"/>
  <c r="E106" i="4"/>
  <c r="I106" i="4" s="1"/>
  <c r="S106" i="4" s="1"/>
  <c r="T106" i="4" s="1"/>
  <c r="S26" i="4"/>
  <c r="T26" i="4" s="1"/>
  <c r="S112" i="4"/>
  <c r="T112" i="4" s="1"/>
  <c r="S34" i="4"/>
  <c r="T34" i="4" s="1"/>
  <c r="E37" i="4"/>
  <c r="I37" i="4" s="1"/>
  <c r="E45" i="4"/>
  <c r="I45" i="4" s="1"/>
  <c r="S45" i="4" s="1"/>
  <c r="T45" i="4" s="1"/>
  <c r="E57" i="4"/>
  <c r="I57" i="4" s="1"/>
  <c r="S57" i="4" s="1"/>
  <c r="T57" i="4" s="1"/>
  <c r="E78" i="4"/>
  <c r="I78" i="4" s="1"/>
  <c r="E71" i="4"/>
  <c r="I71" i="4" s="1"/>
  <c r="E95" i="4"/>
  <c r="I95" i="4" s="1"/>
  <c r="S95" i="4" s="1"/>
  <c r="T95" i="4" s="1"/>
  <c r="E115" i="4"/>
  <c r="I115" i="4" s="1"/>
  <c r="S115" i="4" s="1"/>
  <c r="T115" i="4" s="1"/>
  <c r="E123" i="4"/>
  <c r="I123" i="4" s="1"/>
  <c r="S123" i="4" s="1"/>
  <c r="T123" i="4" s="1"/>
  <c r="E119" i="4"/>
  <c r="I119" i="4" s="1"/>
  <c r="S119" i="4" s="1"/>
  <c r="T119" i="4" s="1"/>
  <c r="E134" i="4"/>
  <c r="I134" i="4" s="1"/>
  <c r="E130" i="4"/>
  <c r="I130" i="4" s="1"/>
  <c r="S130" i="4" s="1"/>
  <c r="T130" i="4" s="1"/>
  <c r="E42" i="4"/>
  <c r="I42" i="4" s="1"/>
  <c r="S42" i="4" s="1"/>
  <c r="T42" i="4" s="1"/>
  <c r="E65" i="4"/>
  <c r="I65" i="4" s="1"/>
  <c r="S65" i="4" s="1"/>
  <c r="T65" i="4" s="1"/>
  <c r="E137" i="4"/>
  <c r="I137" i="4" s="1"/>
  <c r="S39" i="4"/>
  <c r="T39" i="4" s="1"/>
  <c r="Z39" i="4" s="1"/>
  <c r="AG39" i="4" s="1"/>
  <c r="S21" i="4"/>
  <c r="T21" i="4" s="1"/>
  <c r="E28" i="4"/>
  <c r="I28" i="4" s="1"/>
  <c r="E51" i="4"/>
  <c r="I51" i="4" s="1"/>
  <c r="S51" i="4" s="1"/>
  <c r="T51" i="4" s="1"/>
  <c r="E87" i="4"/>
  <c r="I87" i="4" s="1"/>
  <c r="S87" i="4" s="1"/>
  <c r="E102" i="4"/>
  <c r="I102" i="4" s="1"/>
  <c r="S102" i="4" s="1"/>
  <c r="T102" i="4" s="1"/>
  <c r="E113" i="4"/>
  <c r="I113" i="4" s="1"/>
  <c r="S113" i="4" s="1"/>
  <c r="T113" i="4" s="1"/>
  <c r="E128" i="4"/>
  <c r="I128" i="4" s="1"/>
  <c r="S128" i="4" s="1"/>
  <c r="T128" i="4" s="1"/>
  <c r="E151" i="4"/>
  <c r="U8" i="4"/>
  <c r="V8" i="4" s="1"/>
  <c r="Z8" i="4"/>
  <c r="AG8" i="4" s="1"/>
  <c r="U149" i="4"/>
  <c r="V149" i="4" s="1"/>
  <c r="Z149" i="4"/>
  <c r="AG149" i="4" s="1"/>
  <c r="U150" i="4"/>
  <c r="V150" i="4" s="1"/>
  <c r="Z150" i="4"/>
  <c r="AG150" i="4" s="1"/>
  <c r="U135" i="4"/>
  <c r="V135" i="4" s="1"/>
  <c r="Z135" i="4"/>
  <c r="AG135" i="4" s="1"/>
  <c r="U77" i="4"/>
  <c r="V77" i="4" s="1"/>
  <c r="U47" i="4"/>
  <c r="V47" i="4" s="1"/>
  <c r="Z47" i="4"/>
  <c r="AG47" i="4" s="1"/>
  <c r="E24" i="4"/>
  <c r="I24" i="4" s="1"/>
  <c r="S24" i="4" s="1"/>
  <c r="T24" i="4" s="1"/>
  <c r="E61" i="4"/>
  <c r="I61" i="4" s="1"/>
  <c r="S61" i="4" s="1"/>
  <c r="T61" i="4" s="1"/>
  <c r="E73" i="4"/>
  <c r="I73" i="4" s="1"/>
  <c r="S73" i="4" s="1"/>
  <c r="T73" i="4" s="1"/>
  <c r="E86" i="4"/>
  <c r="I86" i="4" s="1"/>
  <c r="E79" i="4"/>
  <c r="I79" i="4" s="1"/>
  <c r="E104" i="4"/>
  <c r="I104" i="4" s="1"/>
  <c r="E94" i="4"/>
  <c r="I94" i="4" s="1"/>
  <c r="S94" i="4" s="1"/>
  <c r="T94" i="4" s="1"/>
  <c r="E117" i="4"/>
  <c r="I117" i="4" s="1"/>
  <c r="E142" i="4"/>
  <c r="I142" i="4" s="1"/>
  <c r="E138" i="4"/>
  <c r="I138" i="4" s="1"/>
  <c r="S138" i="4" s="1"/>
  <c r="T138" i="4" s="1"/>
  <c r="Z148" i="4"/>
  <c r="AG148" i="4" s="1"/>
  <c r="U148" i="4"/>
  <c r="V148" i="4" s="1"/>
  <c r="E15" i="4"/>
  <c r="I15" i="4" s="1"/>
  <c r="S15" i="4" s="1"/>
  <c r="T15" i="4" s="1"/>
  <c r="E19" i="4"/>
  <c r="I19" i="4" s="1"/>
  <c r="E58" i="4"/>
  <c r="I58" i="4" s="1"/>
  <c r="E52" i="4"/>
  <c r="I52" i="4" s="1"/>
  <c r="E81" i="4"/>
  <c r="I81" i="4" s="1"/>
  <c r="S81" i="4" s="1"/>
  <c r="T81" i="4" s="1"/>
  <c r="E92" i="4"/>
  <c r="I92" i="4" s="1"/>
  <c r="S92" i="4" s="1"/>
  <c r="T92" i="4" s="1"/>
  <c r="E146" i="4"/>
  <c r="I146" i="4" s="1"/>
  <c r="Z84" i="4"/>
  <c r="AG84" i="4" s="1"/>
  <c r="U84" i="4"/>
  <c r="V84" i="4" s="1"/>
  <c r="U72" i="4"/>
  <c r="V72" i="4" s="1"/>
  <c r="Z72" i="4"/>
  <c r="AG72" i="4" s="1"/>
  <c r="U125" i="4"/>
  <c r="V125" i="4" s="1"/>
  <c r="Z125" i="4"/>
  <c r="AG125" i="4" s="1"/>
  <c r="A44" i="4"/>
  <c r="E27" i="4"/>
  <c r="I27" i="4" s="1"/>
  <c r="E59" i="4"/>
  <c r="I59" i="4" s="1"/>
  <c r="E60" i="4"/>
  <c r="I60" i="4" s="1"/>
  <c r="E109" i="4"/>
  <c r="I109" i="4" s="1"/>
  <c r="E136" i="4"/>
  <c r="I136" i="4" s="1"/>
  <c r="S136" i="4" s="1"/>
  <c r="T136" i="4" s="1"/>
  <c r="E132" i="4"/>
  <c r="I132" i="4" s="1"/>
  <c r="S132" i="4" s="1"/>
  <c r="T132" i="4" s="1"/>
  <c r="E33" i="4"/>
  <c r="I33" i="4" s="1"/>
  <c r="E96" i="4"/>
  <c r="I96" i="4" s="1"/>
  <c r="U98" i="4"/>
  <c r="V98" i="4" s="1"/>
  <c r="Z98" i="4"/>
  <c r="AG98" i="4" s="1"/>
  <c r="E35" i="4"/>
  <c r="I35" i="4" s="1"/>
  <c r="E55" i="4"/>
  <c r="I55" i="4" s="1"/>
  <c r="S55" i="4" s="1"/>
  <c r="T55" i="4" s="1"/>
  <c r="E89" i="4"/>
  <c r="I89" i="4" s="1"/>
  <c r="E116" i="4"/>
  <c r="I116" i="4" s="1"/>
  <c r="E22" i="4"/>
  <c r="I22" i="4" s="1"/>
  <c r="S22" i="4" s="1"/>
  <c r="T22" i="4" s="1"/>
  <c r="E36" i="4"/>
  <c r="I36" i="4" s="1"/>
  <c r="E50" i="4"/>
  <c r="I50" i="4" s="1"/>
  <c r="E56" i="4"/>
  <c r="I56" i="4" s="1"/>
  <c r="E63" i="4"/>
  <c r="I63" i="4" s="1"/>
  <c r="E76" i="4"/>
  <c r="I76" i="4" s="1"/>
  <c r="E66" i="4"/>
  <c r="I66" i="4" s="1"/>
  <c r="E101" i="4"/>
  <c r="I101" i="4" s="1"/>
  <c r="E99" i="4"/>
  <c r="I99" i="4" s="1"/>
  <c r="E97" i="4"/>
  <c r="I97" i="4" s="1"/>
  <c r="E120" i="4"/>
  <c r="I120" i="4" s="1"/>
  <c r="E124" i="4"/>
  <c r="I124" i="4" s="1"/>
  <c r="E20" i="4"/>
  <c r="I20" i="4" s="1"/>
  <c r="E5" i="4"/>
  <c r="I5" i="4" s="1"/>
  <c r="Z108" i="4"/>
  <c r="AG108" i="4" s="1"/>
  <c r="U108" i="4"/>
  <c r="V108" i="4" s="1"/>
  <c r="W3" i="4"/>
  <c r="AC3" i="4"/>
  <c r="Z152" i="4"/>
  <c r="AG152" i="4" s="1"/>
  <c r="U152" i="4"/>
  <c r="V152" i="4" s="1"/>
  <c r="E25" i="4"/>
  <c r="I25" i="4" s="1"/>
  <c r="E38" i="4"/>
  <c r="I38" i="4" s="1"/>
  <c r="E48" i="4"/>
  <c r="I48" i="4" s="1"/>
  <c r="E30" i="4"/>
  <c r="I30" i="4" s="1"/>
  <c r="E62" i="4"/>
  <c r="I62" i="4" s="1"/>
  <c r="E74" i="4"/>
  <c r="I74" i="4" s="1"/>
  <c r="E105" i="4"/>
  <c r="I105" i="4" s="1"/>
  <c r="E129" i="4"/>
  <c r="I129" i="4" s="1"/>
  <c r="E127" i="4"/>
  <c r="I127" i="4" s="1"/>
  <c r="E139" i="4"/>
  <c r="I139" i="4" s="1"/>
  <c r="E152" i="4"/>
  <c r="Z107" i="4"/>
  <c r="AG107" i="4" s="1"/>
  <c r="U107" i="4"/>
  <c r="V107" i="4" s="1"/>
  <c r="U122" i="4"/>
  <c r="V122" i="4" s="1"/>
  <c r="Z122" i="4"/>
  <c r="AG122" i="4" s="1"/>
  <c r="U80" i="4"/>
  <c r="V80" i="4" s="1"/>
  <c r="Z80" i="4"/>
  <c r="AG80" i="4" s="1"/>
  <c r="U153" i="4"/>
  <c r="V153" i="4" s="1"/>
  <c r="Z153" i="4"/>
  <c r="AG153" i="4" s="1"/>
  <c r="E16" i="4"/>
  <c r="I16" i="4" s="1"/>
  <c r="E9" i="4"/>
  <c r="I9" i="4" s="1"/>
  <c r="E43" i="4"/>
  <c r="I43" i="4" s="1"/>
  <c r="E46" i="4"/>
  <c r="I46" i="4" s="1"/>
  <c r="E32" i="4"/>
  <c r="I32" i="4" s="1"/>
  <c r="E40" i="4"/>
  <c r="I40" i="4" s="1"/>
  <c r="E69" i="4"/>
  <c r="I69" i="4" s="1"/>
  <c r="E90" i="4"/>
  <c r="I90" i="4" s="1"/>
  <c r="E82" i="4"/>
  <c r="I82" i="4" s="1"/>
  <c r="E131" i="4"/>
  <c r="I131" i="4" s="1"/>
  <c r="E118" i="4"/>
  <c r="I118" i="4" s="1"/>
  <c r="E145" i="4"/>
  <c r="I145" i="4" s="1"/>
  <c r="E111" i="4"/>
  <c r="I111" i="4" s="1"/>
  <c r="E147" i="4"/>
  <c r="I147" i="4" s="1"/>
  <c r="E143" i="4"/>
  <c r="I143" i="4" s="1"/>
  <c r="Z75" i="4" l="1"/>
  <c r="AG75" i="4" s="1"/>
  <c r="Z51" i="4"/>
  <c r="AG51" i="4" s="1"/>
  <c r="U51" i="4"/>
  <c r="V51" i="4" s="1"/>
  <c r="Z65" i="4"/>
  <c r="AG65" i="4" s="1"/>
  <c r="U65" i="4"/>
  <c r="V65" i="4" s="1"/>
  <c r="Z121" i="4"/>
  <c r="AG121" i="4" s="1"/>
  <c r="U121" i="4"/>
  <c r="V121" i="4" s="1"/>
  <c r="U103" i="4"/>
  <c r="V103" i="4" s="1"/>
  <c r="Z103" i="4"/>
  <c r="AG103" i="4" s="1"/>
  <c r="U70" i="4"/>
  <c r="V70" i="4" s="1"/>
  <c r="Z70" i="4"/>
  <c r="AG70" i="4" s="1"/>
  <c r="Z88" i="4"/>
  <c r="AG88" i="4" s="1"/>
  <c r="U88" i="4"/>
  <c r="V88" i="4" s="1"/>
  <c r="Z42" i="4"/>
  <c r="AG42" i="4" s="1"/>
  <c r="U85" i="4"/>
  <c r="V85" i="4" s="1"/>
  <c r="Z11" i="4"/>
  <c r="AG11" i="4" s="1"/>
  <c r="T85" i="4"/>
  <c r="U144" i="4"/>
  <c r="V144" i="4" s="1"/>
  <c r="Z29" i="4"/>
  <c r="AG29" i="4" s="1"/>
  <c r="U21" i="4"/>
  <c r="V21" i="4" s="1"/>
  <c r="U133" i="4"/>
  <c r="V133" i="4" s="1"/>
  <c r="Z123" i="4"/>
  <c r="AG123" i="4" s="1"/>
  <c r="Z34" i="4"/>
  <c r="AG34" i="4" s="1"/>
  <c r="U31" i="4"/>
  <c r="V31" i="4" s="1"/>
  <c r="T29" i="4"/>
  <c r="U13" i="4"/>
  <c r="V13" i="4" s="1"/>
  <c r="T68" i="4"/>
  <c r="U68" i="4" s="1"/>
  <c r="V68" i="4" s="1"/>
  <c r="T87" i="4"/>
  <c r="U87" i="4" s="1"/>
  <c r="Z13" i="4"/>
  <c r="AG13" i="4" s="1"/>
  <c r="U100" i="4"/>
  <c r="V100" i="4" s="1"/>
  <c r="Z100" i="4"/>
  <c r="AG100" i="4" s="1"/>
  <c r="Z93" i="4"/>
  <c r="AG93" i="4" s="1"/>
  <c r="U93" i="4"/>
  <c r="V93" i="4" s="1"/>
  <c r="X3" i="4"/>
  <c r="Y3" i="4" s="1"/>
  <c r="U123" i="4"/>
  <c r="V123" i="4" s="1"/>
  <c r="Z144" i="4"/>
  <c r="AG144" i="4" s="1"/>
  <c r="U11" i="4"/>
  <c r="V11" i="4" s="1"/>
  <c r="U29" i="4"/>
  <c r="V29" i="4" s="1"/>
  <c r="Z49" i="4"/>
  <c r="AG49" i="4" s="1"/>
  <c r="U49" i="4"/>
  <c r="V49" i="4" s="1"/>
  <c r="Z83" i="4"/>
  <c r="AG83" i="4" s="1"/>
  <c r="U83" i="4"/>
  <c r="V83" i="4" s="1"/>
  <c r="Z12" i="4"/>
  <c r="AG12" i="4" s="1"/>
  <c r="U12" i="4"/>
  <c r="V12" i="4" s="1"/>
  <c r="Z26" i="4"/>
  <c r="AG26" i="4" s="1"/>
  <c r="U26" i="4"/>
  <c r="V26" i="4" s="1"/>
  <c r="Z41" i="4"/>
  <c r="AG41" i="4" s="1"/>
  <c r="U41" i="4"/>
  <c r="V41" i="4" s="1"/>
  <c r="Z21" i="4"/>
  <c r="AG21" i="4" s="1"/>
  <c r="Z31" i="4"/>
  <c r="AG31" i="4" s="1"/>
  <c r="U39" i="4"/>
  <c r="V39" i="4" s="1"/>
  <c r="Z140" i="4"/>
  <c r="AG140" i="4" s="1"/>
  <c r="U140" i="4"/>
  <c r="V140" i="4" s="1"/>
  <c r="U112" i="4"/>
  <c r="V112" i="4" s="1"/>
  <c r="Z112" i="4"/>
  <c r="AG112" i="4" s="1"/>
  <c r="Z113" i="4"/>
  <c r="AG113" i="4" s="1"/>
  <c r="U113" i="4"/>
  <c r="V113" i="4" s="1"/>
  <c r="Z126" i="4"/>
  <c r="AG126" i="4" s="1"/>
  <c r="U126" i="4"/>
  <c r="V126" i="4" s="1"/>
  <c r="Z115" i="4"/>
  <c r="AG115" i="4" s="1"/>
  <c r="U115" i="4"/>
  <c r="V115" i="4" s="1"/>
  <c r="Z102" i="4"/>
  <c r="AG102" i="4" s="1"/>
  <c r="U102" i="4"/>
  <c r="V102" i="4" s="1"/>
  <c r="Z6" i="4"/>
  <c r="AG6" i="4" s="1"/>
  <c r="U6" i="4"/>
  <c r="V6" i="4" s="1"/>
  <c r="U128" i="4"/>
  <c r="V128" i="4" s="1"/>
  <c r="Z128" i="4"/>
  <c r="AG128" i="4" s="1"/>
  <c r="U64" i="4"/>
  <c r="V64" i="4" s="1"/>
  <c r="Z64" i="4"/>
  <c r="AG64" i="4" s="1"/>
  <c r="U110" i="4"/>
  <c r="V110" i="4" s="1"/>
  <c r="Z110" i="4"/>
  <c r="AG110" i="4" s="1"/>
  <c r="S131" i="4"/>
  <c r="T131" i="4" s="1"/>
  <c r="S9" i="4"/>
  <c r="T9" i="4" s="1"/>
  <c r="S127" i="4"/>
  <c r="T127" i="4" s="1"/>
  <c r="S25" i="4"/>
  <c r="T25" i="4" s="1"/>
  <c r="S124" i="4"/>
  <c r="T124" i="4" s="1"/>
  <c r="S56" i="4"/>
  <c r="T56" i="4" s="1"/>
  <c r="S89" i="4"/>
  <c r="T89" i="4" s="1"/>
  <c r="S96" i="4"/>
  <c r="T96" i="4" s="1"/>
  <c r="S59" i="4"/>
  <c r="T59" i="4" s="1"/>
  <c r="S142" i="4"/>
  <c r="T142" i="4" s="1"/>
  <c r="S38" i="4"/>
  <c r="T38" i="4" s="1"/>
  <c r="S82" i="4"/>
  <c r="T82" i="4" s="1"/>
  <c r="S16" i="4"/>
  <c r="T16" i="4" s="1"/>
  <c r="S129" i="4"/>
  <c r="T129" i="4" s="1"/>
  <c r="S120" i="4"/>
  <c r="T120" i="4" s="1"/>
  <c r="S50" i="4"/>
  <c r="T50" i="4" s="1"/>
  <c r="S27" i="4"/>
  <c r="T27" i="4" s="1"/>
  <c r="Z27" i="4" s="1"/>
  <c r="AG27" i="4" s="1"/>
  <c r="S117" i="4"/>
  <c r="T117" i="4" s="1"/>
  <c r="S71" i="4"/>
  <c r="T71" i="4" s="1"/>
  <c r="S139" i="4"/>
  <c r="T139" i="4" s="1"/>
  <c r="S19" i="4"/>
  <c r="T19" i="4" s="1"/>
  <c r="S35" i="4"/>
  <c r="T35" i="4" s="1"/>
  <c r="S146" i="4"/>
  <c r="T146" i="4" s="1"/>
  <c r="S78" i="4"/>
  <c r="T78" i="4" s="1"/>
  <c r="S97" i="4"/>
  <c r="S143" i="4"/>
  <c r="T143" i="4" s="1"/>
  <c r="S74" i="4"/>
  <c r="T74" i="4" s="1"/>
  <c r="S99" i="4"/>
  <c r="T99" i="4" s="1"/>
  <c r="S33" i="4"/>
  <c r="T33" i="4" s="1"/>
  <c r="S104" i="4"/>
  <c r="T104" i="4" s="1"/>
  <c r="Z85" i="4"/>
  <c r="AG85" i="4" s="1"/>
  <c r="S63" i="4"/>
  <c r="T63" i="4" s="1"/>
  <c r="S90" i="4"/>
  <c r="T90" i="4" s="1"/>
  <c r="S105" i="4"/>
  <c r="T105" i="4" s="1"/>
  <c r="S36" i="4"/>
  <c r="T36" i="4" s="1"/>
  <c r="S69" i="4"/>
  <c r="S147" i="4"/>
  <c r="T147" i="4" s="1"/>
  <c r="S40" i="4"/>
  <c r="T40" i="4" s="1"/>
  <c r="S62" i="4"/>
  <c r="T62" i="4" s="1"/>
  <c r="S101" i="4"/>
  <c r="T101" i="4" s="1"/>
  <c r="Z67" i="4"/>
  <c r="AG67" i="4" s="1"/>
  <c r="S79" i="4"/>
  <c r="T79" i="4" s="1"/>
  <c r="Z79" i="4" s="1"/>
  <c r="AG79" i="4" s="1"/>
  <c r="U34" i="4"/>
  <c r="V34" i="4" s="1"/>
  <c r="S134" i="4"/>
  <c r="T134" i="4" s="1"/>
  <c r="S43" i="4"/>
  <c r="T43" i="4" s="1"/>
  <c r="S116" i="4"/>
  <c r="T116" i="4" s="1"/>
  <c r="S32" i="4"/>
  <c r="T32" i="4" s="1"/>
  <c r="S5" i="4"/>
  <c r="S52" i="4"/>
  <c r="U42" i="4"/>
  <c r="V42" i="4" s="1"/>
  <c r="S86" i="4"/>
  <c r="T86" i="4" s="1"/>
  <c r="S28" i="4"/>
  <c r="T28" i="4" s="1"/>
  <c r="S137" i="4"/>
  <c r="T137" i="4" s="1"/>
  <c r="S37" i="4"/>
  <c r="T37" i="4" s="1"/>
  <c r="S118" i="4"/>
  <c r="T118" i="4" s="1"/>
  <c r="Z118" i="4" s="1"/>
  <c r="AG118" i="4" s="1"/>
  <c r="S60" i="4"/>
  <c r="T60" i="4" s="1"/>
  <c r="S111" i="4"/>
  <c r="T111" i="4" s="1"/>
  <c r="S30" i="4"/>
  <c r="T30" i="4" s="1"/>
  <c r="S66" i="4"/>
  <c r="T66" i="4" s="1"/>
  <c r="S145" i="4"/>
  <c r="T145" i="4" s="1"/>
  <c r="S46" i="4"/>
  <c r="T46" i="4" s="1"/>
  <c r="S48" i="4"/>
  <c r="T48" i="4" s="1"/>
  <c r="S20" i="4"/>
  <c r="T20" i="4" s="1"/>
  <c r="S76" i="4"/>
  <c r="T76" i="4" s="1"/>
  <c r="S109" i="4"/>
  <c r="T109" i="4" s="1"/>
  <c r="S58" i="4"/>
  <c r="T58" i="4" s="1"/>
  <c r="U151" i="4"/>
  <c r="V151" i="4" s="1"/>
  <c r="Z151" i="4"/>
  <c r="AG151" i="4" s="1"/>
  <c r="U17" i="4"/>
  <c r="V17" i="4" s="1"/>
  <c r="Z17" i="4"/>
  <c r="AG17" i="4" s="1"/>
  <c r="W93" i="4"/>
  <c r="X93" i="4" s="1"/>
  <c r="Y93" i="4" s="1"/>
  <c r="AC93" i="4" s="1"/>
  <c r="AE93" i="4" s="1"/>
  <c r="Z14" i="4"/>
  <c r="AG14" i="4" s="1"/>
  <c r="U14" i="4"/>
  <c r="V14" i="4" s="1"/>
  <c r="U22" i="4"/>
  <c r="V22" i="4" s="1"/>
  <c r="Z22" i="4"/>
  <c r="AG22" i="4" s="1"/>
  <c r="U45" i="4"/>
  <c r="V45" i="4" s="1"/>
  <c r="Z45" i="4"/>
  <c r="AG45" i="4" s="1"/>
  <c r="Z4" i="4"/>
  <c r="U4" i="4"/>
  <c r="V4" i="4" s="1"/>
  <c r="AC13" i="4"/>
  <c r="AE13" i="4" s="1"/>
  <c r="W13" i="4"/>
  <c r="X13" i="4" s="1"/>
  <c r="Y13" i="4" s="1"/>
  <c r="W125" i="4"/>
  <c r="X125" i="4" s="1"/>
  <c r="Y125" i="4" s="1"/>
  <c r="AC125" i="4" s="1"/>
  <c r="AE125" i="4" s="1"/>
  <c r="W70" i="4"/>
  <c r="X70" i="4" s="1"/>
  <c r="Y70" i="4" s="1"/>
  <c r="AC70" i="4" s="1"/>
  <c r="AE70" i="4" s="1"/>
  <c r="W77" i="4"/>
  <c r="X77" i="4" s="1"/>
  <c r="Y77" i="4" s="1"/>
  <c r="AC77" i="4"/>
  <c r="AE77" i="4" s="1"/>
  <c r="U61" i="4"/>
  <c r="V61" i="4" s="1"/>
  <c r="Z61" i="4"/>
  <c r="AG61" i="4" s="1"/>
  <c r="AC8" i="4"/>
  <c r="AE8" i="4" s="1"/>
  <c r="W8" i="4"/>
  <c r="X8" i="4" s="1"/>
  <c r="Y8" i="4" s="1"/>
  <c r="Z57" i="4"/>
  <c r="AG57" i="4" s="1"/>
  <c r="U57" i="4"/>
  <c r="V57" i="4" s="1"/>
  <c r="U119" i="4"/>
  <c r="V119" i="4" s="1"/>
  <c r="Z119" i="4"/>
  <c r="AG119" i="4" s="1"/>
  <c r="W122" i="4"/>
  <c r="X122" i="4" s="1"/>
  <c r="Y122" i="4" s="1"/>
  <c r="AC122" i="4" s="1"/>
  <c r="AE122" i="4" s="1"/>
  <c r="Z44" i="4"/>
  <c r="AG44" i="4" s="1"/>
  <c r="U44" i="4"/>
  <c r="V44" i="4" s="1"/>
  <c r="Z92" i="4"/>
  <c r="AG92" i="4" s="1"/>
  <c r="U92" i="4"/>
  <c r="V92" i="4" s="1"/>
  <c r="W102" i="4"/>
  <c r="X102" i="4" s="1"/>
  <c r="Y102" i="4" s="1"/>
  <c r="AC102" i="4" s="1"/>
  <c r="AE102" i="4" s="1"/>
  <c r="Z73" i="4"/>
  <c r="AG73" i="4" s="1"/>
  <c r="U73" i="4"/>
  <c r="V73" i="4" s="1"/>
  <c r="AC47" i="4"/>
  <c r="AE47" i="4" s="1"/>
  <c r="W47" i="4"/>
  <c r="X47" i="4" s="1"/>
  <c r="Y47" i="4" s="1"/>
  <c r="W150" i="4"/>
  <c r="X150" i="4" s="1"/>
  <c r="Y150" i="4" s="1"/>
  <c r="AC150" i="4"/>
  <c r="AE150" i="4" s="1"/>
  <c r="Z130" i="4"/>
  <c r="AG130" i="4" s="1"/>
  <c r="U130" i="4"/>
  <c r="V130" i="4" s="1"/>
  <c r="Z55" i="4"/>
  <c r="AG55" i="4" s="1"/>
  <c r="U55" i="4"/>
  <c r="V55" i="4" s="1"/>
  <c r="Z94" i="4"/>
  <c r="AG94" i="4" s="1"/>
  <c r="U94" i="4"/>
  <c r="V94" i="4" s="1"/>
  <c r="W72" i="4"/>
  <c r="X72" i="4" s="1"/>
  <c r="Y72" i="4" s="1"/>
  <c r="AC72" i="4" s="1"/>
  <c r="AE72" i="4" s="1"/>
  <c r="W148" i="4"/>
  <c r="X148" i="4" s="1"/>
  <c r="Y148" i="4" s="1"/>
  <c r="AC148" i="4" s="1"/>
  <c r="AE148" i="4" s="1"/>
  <c r="U79" i="4"/>
  <c r="V79" i="4" s="1"/>
  <c r="W115" i="4"/>
  <c r="X115" i="4" s="1"/>
  <c r="Y115" i="4" s="1"/>
  <c r="AC115" i="4" s="1"/>
  <c r="AE115" i="4" s="1"/>
  <c r="W41" i="4"/>
  <c r="X41" i="4" s="1"/>
  <c r="Y41" i="4" s="1"/>
  <c r="AC41" i="4" s="1"/>
  <c r="AE41" i="4" s="1"/>
  <c r="W83" i="4"/>
  <c r="X83" i="4" s="1"/>
  <c r="Y83" i="4" s="1"/>
  <c r="AC83" i="4" s="1"/>
  <c r="AE83" i="4" s="1"/>
  <c r="W64" i="4"/>
  <c r="X64" i="4" s="1"/>
  <c r="Y64" i="4" s="1"/>
  <c r="AC64" i="4" s="1"/>
  <c r="AE64" i="4" s="1"/>
  <c r="U141" i="4"/>
  <c r="V141" i="4" s="1"/>
  <c r="Z141" i="4"/>
  <c r="AG141" i="4" s="1"/>
  <c r="U7" i="4"/>
  <c r="V7" i="4" s="1"/>
  <c r="Z7" i="4"/>
  <c r="AG7" i="4" s="1"/>
  <c r="Z24" i="4"/>
  <c r="AG24" i="4" s="1"/>
  <c r="U24" i="4"/>
  <c r="V24" i="4" s="1"/>
  <c r="W135" i="4"/>
  <c r="X135" i="4" s="1"/>
  <c r="Y135" i="4" s="1"/>
  <c r="AC135" i="4" s="1"/>
  <c r="AE135" i="4" s="1"/>
  <c r="U53" i="4"/>
  <c r="V53" i="4" s="1"/>
  <c r="Z53" i="4"/>
  <c r="AG53" i="4" s="1"/>
  <c r="W144" i="4"/>
  <c r="X144" i="4" s="1"/>
  <c r="Y144" i="4" s="1"/>
  <c r="AC144" i="4" s="1"/>
  <c r="AE144" i="4" s="1"/>
  <c r="Z54" i="4"/>
  <c r="AG54" i="4" s="1"/>
  <c r="U54" i="4"/>
  <c r="V54" i="4" s="1"/>
  <c r="W103" i="4"/>
  <c r="X103" i="4" s="1"/>
  <c r="Y103" i="4" s="1"/>
  <c r="AC103" i="4" s="1"/>
  <c r="AE103" i="4" s="1"/>
  <c r="U114" i="4"/>
  <c r="V114" i="4" s="1"/>
  <c r="Z114" i="4"/>
  <c r="AG114" i="4" s="1"/>
  <c r="W84" i="4"/>
  <c r="X84" i="4" s="1"/>
  <c r="Y84" i="4" s="1"/>
  <c r="AC84" i="4" s="1"/>
  <c r="AE84" i="4" s="1"/>
  <c r="W67" i="4"/>
  <c r="X67" i="4" s="1"/>
  <c r="Y67" i="4" s="1"/>
  <c r="AC67" i="4" s="1"/>
  <c r="AE67" i="4" s="1"/>
  <c r="U23" i="4"/>
  <c r="V23" i="4" s="1"/>
  <c r="Z23" i="4"/>
  <c r="AG23" i="4" s="1"/>
  <c r="W31" i="4"/>
  <c r="X31" i="4" s="1"/>
  <c r="Y31" i="4" s="1"/>
  <c r="AC31" i="4" s="1"/>
  <c r="AE31" i="4" s="1"/>
  <c r="W65" i="4"/>
  <c r="X65" i="4" s="1"/>
  <c r="Y65" i="4" s="1"/>
  <c r="AC65" i="4" s="1"/>
  <c r="AE65" i="4" s="1"/>
  <c r="Z91" i="4"/>
  <c r="AG91" i="4" s="1"/>
  <c r="U91" i="4"/>
  <c r="V91" i="4" s="1"/>
  <c r="U10" i="4"/>
  <c r="V10" i="4" s="1"/>
  <c r="Z10" i="4"/>
  <c r="AG10" i="4" s="1"/>
  <c r="U95" i="4"/>
  <c r="V95" i="4" s="1"/>
  <c r="Z95" i="4"/>
  <c r="AG95" i="4" s="1"/>
  <c r="W152" i="4"/>
  <c r="X152" i="4" s="1"/>
  <c r="Y152" i="4" s="1"/>
  <c r="AC152" i="4" s="1"/>
  <c r="AE152" i="4" s="1"/>
  <c r="W108" i="4"/>
  <c r="X108" i="4" s="1"/>
  <c r="Y108" i="4" s="1"/>
  <c r="AC108" i="4" s="1"/>
  <c r="AE108" i="4" s="1"/>
  <c r="W121" i="4"/>
  <c r="X121" i="4" s="1"/>
  <c r="Y121" i="4" s="1"/>
  <c r="AC121" i="4"/>
  <c r="AE121" i="4" s="1"/>
  <c r="W49" i="4"/>
  <c r="X49" i="4" s="1"/>
  <c r="Y49" i="4" s="1"/>
  <c r="AC49" i="4" s="1"/>
  <c r="AE49" i="4" s="1"/>
  <c r="W140" i="4"/>
  <c r="X140" i="4" s="1"/>
  <c r="Y140" i="4" s="1"/>
  <c r="AC140" i="4" s="1"/>
  <c r="AE140" i="4" s="1"/>
  <c r="U18" i="4"/>
  <c r="V18" i="4" s="1"/>
  <c r="Z18" i="4"/>
  <c r="AG18" i="4" s="1"/>
  <c r="AC85" i="4"/>
  <c r="AE85" i="4" s="1"/>
  <c r="W68" i="4"/>
  <c r="X68" i="4" s="1"/>
  <c r="Y68" i="4" s="1"/>
  <c r="AC68" i="4" s="1"/>
  <c r="AE68" i="4" s="1"/>
  <c r="U15" i="4"/>
  <c r="V15" i="4" s="1"/>
  <c r="Z15" i="4"/>
  <c r="AG15" i="4" s="1"/>
  <c r="AC107" i="4"/>
  <c r="AE107" i="4" s="1"/>
  <c r="W107" i="4"/>
  <c r="X107" i="4" s="1"/>
  <c r="Y107" i="4" s="1"/>
  <c r="U106" i="4"/>
  <c r="V106" i="4" s="1"/>
  <c r="Z106" i="4"/>
  <c r="AG106" i="4" s="1"/>
  <c r="W153" i="4"/>
  <c r="X153" i="4" s="1"/>
  <c r="Y153" i="4" s="1"/>
  <c r="AC153" i="4"/>
  <c r="AE153" i="4" s="1"/>
  <c r="W98" i="4"/>
  <c r="X98" i="4" s="1"/>
  <c r="Y98" i="4" s="1"/>
  <c r="AC98" i="4" s="1"/>
  <c r="AE98" i="4" s="1"/>
  <c r="AC75" i="4"/>
  <c r="AE75" i="4" s="1"/>
  <c r="W75" i="4"/>
  <c r="X75" i="4" s="1"/>
  <c r="Y75" i="4" s="1"/>
  <c r="W123" i="4"/>
  <c r="X123" i="4" s="1"/>
  <c r="Y123" i="4" s="1"/>
  <c r="AC123" i="4" s="1"/>
  <c r="AE123" i="4" s="1"/>
  <c r="AC80" i="4"/>
  <c r="AE80" i="4" s="1"/>
  <c r="W80" i="4"/>
  <c r="X80" i="4" s="1"/>
  <c r="Y80" i="4" s="1"/>
  <c r="AC128" i="4"/>
  <c r="AE128" i="4" s="1"/>
  <c r="W128" i="4"/>
  <c r="X128" i="4" s="1"/>
  <c r="Y128" i="4" s="1"/>
  <c r="W149" i="4"/>
  <c r="X149" i="4" s="1"/>
  <c r="Y149" i="4" s="1"/>
  <c r="AC149" i="4" s="1"/>
  <c r="AE149" i="4" s="1"/>
  <c r="Z132" i="4"/>
  <c r="AG132" i="4" s="1"/>
  <c r="U132" i="4"/>
  <c r="V132" i="4" s="1"/>
  <c r="Z81" i="4"/>
  <c r="AG81" i="4" s="1"/>
  <c r="U81" i="4"/>
  <c r="V81" i="4" s="1"/>
  <c r="W51" i="4"/>
  <c r="X51" i="4" s="1"/>
  <c r="Y51" i="4" s="1"/>
  <c r="AC51" i="4" s="1"/>
  <c r="AE51" i="4" s="1"/>
  <c r="U136" i="4"/>
  <c r="V136" i="4" s="1"/>
  <c r="Z136" i="4"/>
  <c r="AG136" i="4" s="1"/>
  <c r="W88" i="4"/>
  <c r="X88" i="4" s="1"/>
  <c r="Y88" i="4" s="1"/>
  <c r="AC88" i="4"/>
  <c r="AE88" i="4" s="1"/>
  <c r="Z138" i="4"/>
  <c r="AG138" i="4" s="1"/>
  <c r="U138" i="4"/>
  <c r="V138" i="4" s="1"/>
  <c r="W21" i="4"/>
  <c r="X21" i="4" s="1"/>
  <c r="Y21" i="4" s="1"/>
  <c r="AC21" i="4"/>
  <c r="AE21" i="4" s="1"/>
  <c r="W133" i="4"/>
  <c r="X133" i="4" s="1"/>
  <c r="Y133" i="4" s="1"/>
  <c r="AC133" i="4" s="1"/>
  <c r="AE133" i="4" s="1"/>
  <c r="V87" i="4" l="1"/>
  <c r="W87" i="4"/>
  <c r="X87" i="4" s="1"/>
  <c r="Y87" i="4" s="1"/>
  <c r="AC87" i="4"/>
  <c r="AE87" i="4" s="1"/>
  <c r="Z87" i="4"/>
  <c r="AG87" i="4" s="1"/>
  <c r="W11" i="4"/>
  <c r="X11" i="4" s="1"/>
  <c r="Y11" i="4" s="1"/>
  <c r="AC11" i="4" s="1"/>
  <c r="AE11" i="4" s="1"/>
  <c r="Z68" i="4"/>
  <c r="AG68" i="4" s="1"/>
  <c r="W100" i="4"/>
  <c r="X100" i="4" s="1"/>
  <c r="Y100" i="4" s="1"/>
  <c r="AC100" i="4" s="1"/>
  <c r="AE100" i="4" s="1"/>
  <c r="T69" i="4"/>
  <c r="U69" i="4" s="1"/>
  <c r="T52" i="4"/>
  <c r="U52" i="4" s="1"/>
  <c r="T5" i="4"/>
  <c r="U5" i="4" s="1"/>
  <c r="T97" i="4"/>
  <c r="U97" i="4" s="1"/>
  <c r="W26" i="4"/>
  <c r="X26" i="4" s="1"/>
  <c r="Y26" i="4" s="1"/>
  <c r="AC26" i="4" s="1"/>
  <c r="AE26" i="4" s="1"/>
  <c r="W85" i="4"/>
  <c r="X85" i="4" s="1"/>
  <c r="Y85" i="4" s="1"/>
  <c r="W29" i="4"/>
  <c r="X29" i="4" s="1"/>
  <c r="Y29" i="4" s="1"/>
  <c r="AC29" i="4" s="1"/>
  <c r="AE29" i="4" s="1"/>
  <c r="W34" i="4"/>
  <c r="X34" i="4" s="1"/>
  <c r="Y34" i="4" s="1"/>
  <c r="AC34" i="4" s="1"/>
  <c r="AE34" i="4" s="1"/>
  <c r="W12" i="4"/>
  <c r="X12" i="4" s="1"/>
  <c r="Y12" i="4" s="1"/>
  <c r="AC12" i="4" s="1"/>
  <c r="AE12" i="4" s="1"/>
  <c r="U36" i="4"/>
  <c r="V36" i="4" s="1"/>
  <c r="Z36" i="4"/>
  <c r="AG36" i="4" s="1"/>
  <c r="Z20" i="4"/>
  <c r="AG20" i="4" s="1"/>
  <c r="U20" i="4"/>
  <c r="V20" i="4" s="1"/>
  <c r="U32" i="4"/>
  <c r="V32" i="4" s="1"/>
  <c r="Z32" i="4"/>
  <c r="AG32" i="4" s="1"/>
  <c r="U131" i="4"/>
  <c r="V131" i="4" s="1"/>
  <c r="Z131" i="4"/>
  <c r="AG131" i="4" s="1"/>
  <c r="W113" i="4"/>
  <c r="X113" i="4" s="1"/>
  <c r="Y113" i="4" s="1"/>
  <c r="AC113" i="4" s="1"/>
  <c r="AE113" i="4" s="1"/>
  <c r="AC39" i="4"/>
  <c r="AE39" i="4" s="1"/>
  <c r="W39" i="4"/>
  <c r="X39" i="4" s="1"/>
  <c r="Y39" i="4" s="1"/>
  <c r="W6" i="4"/>
  <c r="X6" i="4" s="1"/>
  <c r="Y6" i="4" s="1"/>
  <c r="AC6" i="4" s="1"/>
  <c r="AE6" i="4" s="1"/>
  <c r="U27" i="4"/>
  <c r="V27" i="4" s="1"/>
  <c r="Z16" i="4"/>
  <c r="AG16" i="4" s="1"/>
  <c r="U16" i="4"/>
  <c r="V16" i="4" s="1"/>
  <c r="U124" i="4"/>
  <c r="V124" i="4" s="1"/>
  <c r="Z124" i="4"/>
  <c r="AG124" i="4" s="1"/>
  <c r="U101" i="4"/>
  <c r="V101" i="4" s="1"/>
  <c r="Z101" i="4"/>
  <c r="AG101" i="4" s="1"/>
  <c r="Z105" i="4"/>
  <c r="AG105" i="4" s="1"/>
  <c r="U105" i="4"/>
  <c r="V105" i="4" s="1"/>
  <c r="U66" i="4"/>
  <c r="V66" i="4" s="1"/>
  <c r="Z66" i="4"/>
  <c r="AG66" i="4" s="1"/>
  <c r="Z62" i="4"/>
  <c r="AG62" i="4" s="1"/>
  <c r="U62" i="4"/>
  <c r="V62" i="4" s="1"/>
  <c r="Z86" i="4"/>
  <c r="AG86" i="4" s="1"/>
  <c r="U86" i="4"/>
  <c r="V86" i="4" s="1"/>
  <c r="U40" i="4"/>
  <c r="V40" i="4" s="1"/>
  <c r="Z40" i="4"/>
  <c r="AG40" i="4" s="1"/>
  <c r="Z63" i="4"/>
  <c r="AG63" i="4" s="1"/>
  <c r="U63" i="4"/>
  <c r="V63" i="4" s="1"/>
  <c r="U43" i="4"/>
  <c r="V43" i="4" s="1"/>
  <c r="Z43" i="4"/>
  <c r="AG43" i="4" s="1"/>
  <c r="U59" i="4"/>
  <c r="V59" i="4" s="1"/>
  <c r="Z59" i="4"/>
  <c r="AG59" i="4" s="1"/>
  <c r="Z19" i="4"/>
  <c r="AG19" i="4" s="1"/>
  <c r="U19" i="4"/>
  <c r="V19" i="4" s="1"/>
  <c r="U33" i="4"/>
  <c r="V33" i="4" s="1"/>
  <c r="Z33" i="4"/>
  <c r="AG33" i="4" s="1"/>
  <c r="AC110" i="4"/>
  <c r="AE110" i="4" s="1"/>
  <c r="Z97" i="4"/>
  <c r="AG97" i="4" s="1"/>
  <c r="Z52" i="4"/>
  <c r="AG52" i="4" s="1"/>
  <c r="U118" i="4"/>
  <c r="V118" i="4" s="1"/>
  <c r="W112" i="4"/>
  <c r="X112" i="4" s="1"/>
  <c r="Y112" i="4" s="1"/>
  <c r="AC112" i="4" s="1"/>
  <c r="AE112" i="4" s="1"/>
  <c r="W110" i="4"/>
  <c r="X110" i="4" s="1"/>
  <c r="Y110" i="4" s="1"/>
  <c r="AC42" i="4"/>
  <c r="AE42" i="4" s="1"/>
  <c r="W42" i="4"/>
  <c r="X42" i="4" s="1"/>
  <c r="Y42" i="4" s="1"/>
  <c r="Z50" i="4"/>
  <c r="AG50" i="4" s="1"/>
  <c r="U50" i="4"/>
  <c r="V50" i="4" s="1"/>
  <c r="Z58" i="4"/>
  <c r="AG58" i="4" s="1"/>
  <c r="U58" i="4"/>
  <c r="V58" i="4" s="1"/>
  <c r="Z137" i="4"/>
  <c r="AG137" i="4" s="1"/>
  <c r="U137" i="4"/>
  <c r="V137" i="4" s="1"/>
  <c r="Z99" i="4"/>
  <c r="AG99" i="4" s="1"/>
  <c r="U99" i="4"/>
  <c r="V99" i="4" s="1"/>
  <c r="U120" i="4"/>
  <c r="V120" i="4" s="1"/>
  <c r="Z120" i="4"/>
  <c r="AG120" i="4" s="1"/>
  <c r="Z9" i="4"/>
  <c r="AG9" i="4" s="1"/>
  <c r="U9" i="4"/>
  <c r="V9" i="4" s="1"/>
  <c r="Z46" i="4"/>
  <c r="AG46" i="4" s="1"/>
  <c r="U46" i="4"/>
  <c r="V46" i="4" s="1"/>
  <c r="Z145" i="4"/>
  <c r="AG145" i="4" s="1"/>
  <c r="U145" i="4"/>
  <c r="V145" i="4" s="1"/>
  <c r="Z28" i="4"/>
  <c r="AG28" i="4" s="1"/>
  <c r="U28" i="4"/>
  <c r="V28" i="4" s="1"/>
  <c r="Z90" i="4"/>
  <c r="AG90" i="4" s="1"/>
  <c r="U90" i="4"/>
  <c r="V90" i="4" s="1"/>
  <c r="U74" i="4"/>
  <c r="V74" i="4" s="1"/>
  <c r="Z74" i="4"/>
  <c r="AG74" i="4" s="1"/>
  <c r="Z129" i="4"/>
  <c r="AG129" i="4" s="1"/>
  <c r="U129" i="4"/>
  <c r="V129" i="4" s="1"/>
  <c r="Z96" i="4"/>
  <c r="AG96" i="4" s="1"/>
  <c r="U96" i="4"/>
  <c r="V96" i="4" s="1"/>
  <c r="Z146" i="4"/>
  <c r="AG146" i="4" s="1"/>
  <c r="U146" i="4"/>
  <c r="V146" i="4" s="1"/>
  <c r="U35" i="4"/>
  <c r="V35" i="4" s="1"/>
  <c r="Z35" i="4"/>
  <c r="AG35" i="4" s="1"/>
  <c r="U147" i="4"/>
  <c r="V147" i="4" s="1"/>
  <c r="Z147" i="4"/>
  <c r="AG147" i="4" s="1"/>
  <c r="U139" i="4"/>
  <c r="V139" i="4" s="1"/>
  <c r="Z139" i="4"/>
  <c r="AG139" i="4" s="1"/>
  <c r="Z89" i="4"/>
  <c r="AG89" i="4" s="1"/>
  <c r="U89" i="4"/>
  <c r="V89" i="4" s="1"/>
  <c r="Z111" i="4"/>
  <c r="AG111" i="4" s="1"/>
  <c r="U111" i="4"/>
  <c r="V111" i="4" s="1"/>
  <c r="U116" i="4"/>
  <c r="V116" i="4" s="1"/>
  <c r="Z116" i="4"/>
  <c r="AG116" i="4" s="1"/>
  <c r="U71" i="4"/>
  <c r="V71" i="4" s="1"/>
  <c r="Z71" i="4"/>
  <c r="AG71" i="4" s="1"/>
  <c r="U56" i="4"/>
  <c r="V56" i="4" s="1"/>
  <c r="Z56" i="4"/>
  <c r="AG56" i="4" s="1"/>
  <c r="U127" i="4"/>
  <c r="V127" i="4" s="1"/>
  <c r="Z127" i="4"/>
  <c r="AG127" i="4" s="1"/>
  <c r="U76" i="4"/>
  <c r="V76" i="4" s="1"/>
  <c r="Z76" i="4"/>
  <c r="AG76" i="4" s="1"/>
  <c r="U60" i="4"/>
  <c r="V60" i="4" s="1"/>
  <c r="Z60" i="4"/>
  <c r="AG60" i="4" s="1"/>
  <c r="U117" i="4"/>
  <c r="V117" i="4" s="1"/>
  <c r="Z117" i="4"/>
  <c r="AG117" i="4" s="1"/>
  <c r="U82" i="4"/>
  <c r="V82" i="4" s="1"/>
  <c r="Z82" i="4"/>
  <c r="AG82" i="4" s="1"/>
  <c r="Z37" i="4"/>
  <c r="AG37" i="4" s="1"/>
  <c r="U37" i="4"/>
  <c r="V37" i="4" s="1"/>
  <c r="Z109" i="4"/>
  <c r="AG109" i="4" s="1"/>
  <c r="U109" i="4"/>
  <c r="V109" i="4" s="1"/>
  <c r="U30" i="4"/>
  <c r="V30" i="4" s="1"/>
  <c r="Z30" i="4"/>
  <c r="AG30" i="4" s="1"/>
  <c r="U143" i="4"/>
  <c r="V143" i="4" s="1"/>
  <c r="Z143" i="4"/>
  <c r="AG143" i="4" s="1"/>
  <c r="U48" i="4"/>
  <c r="V48" i="4" s="1"/>
  <c r="Z48" i="4"/>
  <c r="AG48" i="4" s="1"/>
  <c r="U104" i="4"/>
  <c r="V104" i="4" s="1"/>
  <c r="Z104" i="4"/>
  <c r="AG104" i="4" s="1"/>
  <c r="Z78" i="4"/>
  <c r="AG78" i="4" s="1"/>
  <c r="U78" i="4"/>
  <c r="V78" i="4" s="1"/>
  <c r="U38" i="4"/>
  <c r="V38" i="4" s="1"/>
  <c r="Z38" i="4"/>
  <c r="AG38" i="4" s="1"/>
  <c r="U142" i="4"/>
  <c r="V142" i="4" s="1"/>
  <c r="Z142" i="4"/>
  <c r="AG142" i="4" s="1"/>
  <c r="Z25" i="4"/>
  <c r="AG25" i="4" s="1"/>
  <c r="U25" i="4"/>
  <c r="V25" i="4" s="1"/>
  <c r="Z134" i="4"/>
  <c r="AG134" i="4" s="1"/>
  <c r="U134" i="4"/>
  <c r="V134" i="4" s="1"/>
  <c r="AC126" i="4"/>
  <c r="AE126" i="4" s="1"/>
  <c r="Z5" i="4"/>
  <c r="AG5" i="4" s="1"/>
  <c r="W126" i="4"/>
  <c r="X126" i="4" s="1"/>
  <c r="Y126" i="4" s="1"/>
  <c r="W57" i="4"/>
  <c r="X57" i="4" s="1"/>
  <c r="Y57" i="4" s="1"/>
  <c r="AC57" i="4" s="1"/>
  <c r="AE57" i="4" s="1"/>
  <c r="AC9" i="4"/>
  <c r="AE9" i="4" s="1"/>
  <c r="W136" i="4"/>
  <c r="X136" i="4" s="1"/>
  <c r="Y136" i="4" s="1"/>
  <c r="AC136" i="4" s="1"/>
  <c r="AE136" i="4" s="1"/>
  <c r="W106" i="4"/>
  <c r="X106" i="4" s="1"/>
  <c r="Y106" i="4" s="1"/>
  <c r="AC106" i="4" s="1"/>
  <c r="AE106" i="4" s="1"/>
  <c r="W18" i="4"/>
  <c r="X18" i="4" s="1"/>
  <c r="Y18" i="4" s="1"/>
  <c r="AC18" i="4" s="1"/>
  <c r="AE18" i="4" s="1"/>
  <c r="AC116" i="4"/>
  <c r="AE116" i="4" s="1"/>
  <c r="AC23" i="4"/>
  <c r="AE23" i="4" s="1"/>
  <c r="W23" i="4"/>
  <c r="X23" i="4" s="1"/>
  <c r="Y23" i="4" s="1"/>
  <c r="W120" i="4"/>
  <c r="X120" i="4" s="1"/>
  <c r="Y120" i="4" s="1"/>
  <c r="AC120" i="4" s="1"/>
  <c r="AE120" i="4" s="1"/>
  <c r="W24" i="4"/>
  <c r="X24" i="4" s="1"/>
  <c r="Y24" i="4" s="1"/>
  <c r="AC24" i="4" s="1"/>
  <c r="AE24" i="4" s="1"/>
  <c r="W94" i="4"/>
  <c r="X94" i="4" s="1"/>
  <c r="Y94" i="4" s="1"/>
  <c r="AC94" i="4" s="1"/>
  <c r="AE94" i="4" s="1"/>
  <c r="W32" i="4"/>
  <c r="X32" i="4" s="1"/>
  <c r="Y32" i="4" s="1"/>
  <c r="AC32" i="4" s="1"/>
  <c r="AE32" i="4" s="1"/>
  <c r="W73" i="4"/>
  <c r="X73" i="4" s="1"/>
  <c r="Y73" i="4" s="1"/>
  <c r="AC73" i="4" s="1"/>
  <c r="AE73" i="4" s="1"/>
  <c r="W4" i="4"/>
  <c r="W10" i="4"/>
  <c r="X10" i="4" s="1"/>
  <c r="Y10" i="4" s="1"/>
  <c r="AC10" i="4"/>
  <c r="AE10" i="4" s="1"/>
  <c r="AG4" i="4"/>
  <c r="AA4" i="4"/>
  <c r="W109" i="4"/>
  <c r="X109" i="4" s="1"/>
  <c r="Y109" i="4" s="1"/>
  <c r="AC109" i="4" s="1"/>
  <c r="AE109" i="4" s="1"/>
  <c r="AC25" i="4"/>
  <c r="AE25" i="4" s="1"/>
  <c r="AC96" i="4"/>
  <c r="AE96" i="4" s="1"/>
  <c r="W96" i="4"/>
  <c r="X96" i="4" s="1"/>
  <c r="Y96" i="4" s="1"/>
  <c r="W95" i="4"/>
  <c r="X95" i="4" s="1"/>
  <c r="Y95" i="4" s="1"/>
  <c r="AC95" i="4" s="1"/>
  <c r="AE95" i="4" s="1"/>
  <c r="W15" i="4"/>
  <c r="X15" i="4" s="1"/>
  <c r="Y15" i="4" s="1"/>
  <c r="AC15" i="4" s="1"/>
  <c r="AE15" i="4" s="1"/>
  <c r="W58" i="4"/>
  <c r="X58" i="4" s="1"/>
  <c r="Y58" i="4" s="1"/>
  <c r="AC58" i="4" s="1"/>
  <c r="AE58" i="4" s="1"/>
  <c r="W130" i="4"/>
  <c r="X130" i="4" s="1"/>
  <c r="Y130" i="4" s="1"/>
  <c r="AC130" i="4" s="1"/>
  <c r="AE130" i="4" s="1"/>
  <c r="W147" i="4"/>
  <c r="X147" i="4" s="1"/>
  <c r="Y147" i="4" s="1"/>
  <c r="AC147" i="4" s="1"/>
  <c r="AE147" i="4" s="1"/>
  <c r="W138" i="4"/>
  <c r="X138" i="4" s="1"/>
  <c r="Y138" i="4" s="1"/>
  <c r="AC138" i="4" s="1"/>
  <c r="AE138" i="4" s="1"/>
  <c r="AC131" i="4"/>
  <c r="AE131" i="4" s="1"/>
  <c r="W131" i="4"/>
  <c r="X131" i="4" s="1"/>
  <c r="Y131" i="4" s="1"/>
  <c r="W139" i="4"/>
  <c r="X139" i="4" s="1"/>
  <c r="Y139" i="4" s="1"/>
  <c r="AC139" i="4" s="1"/>
  <c r="AE139" i="4" s="1"/>
  <c r="W48" i="4"/>
  <c r="X48" i="4" s="1"/>
  <c r="Y48" i="4" s="1"/>
  <c r="AC48" i="4" s="1"/>
  <c r="AE48" i="4" s="1"/>
  <c r="W54" i="4"/>
  <c r="X54" i="4" s="1"/>
  <c r="Y54" i="4" s="1"/>
  <c r="AC54" i="4" s="1"/>
  <c r="AE54" i="4" s="1"/>
  <c r="W7" i="4"/>
  <c r="X7" i="4" s="1"/>
  <c r="Y7" i="4" s="1"/>
  <c r="AC7" i="4" s="1"/>
  <c r="AE7" i="4" s="1"/>
  <c r="W56" i="4"/>
  <c r="X56" i="4" s="1"/>
  <c r="Y56" i="4" s="1"/>
  <c r="W61" i="4"/>
  <c r="X61" i="4" s="1"/>
  <c r="Y61" i="4" s="1"/>
  <c r="AC61" i="4" s="1"/>
  <c r="AE61" i="4" s="1"/>
  <c r="W45" i="4"/>
  <c r="X45" i="4" s="1"/>
  <c r="Y45" i="4" s="1"/>
  <c r="AC45" i="4"/>
  <c r="AE45" i="4" s="1"/>
  <c r="W76" i="4"/>
  <c r="X76" i="4" s="1"/>
  <c r="Y76" i="4" s="1"/>
  <c r="AC76" i="4" s="1"/>
  <c r="AE76" i="4" s="1"/>
  <c r="W62" i="4"/>
  <c r="X62" i="4" s="1"/>
  <c r="Y62" i="4" s="1"/>
  <c r="AC62" i="4" s="1"/>
  <c r="AE62" i="4" s="1"/>
  <c r="W104" i="4"/>
  <c r="X104" i="4" s="1"/>
  <c r="Y104" i="4" s="1"/>
  <c r="AC104" i="4" s="1"/>
  <c r="AE104" i="4" s="1"/>
  <c r="W27" i="4"/>
  <c r="X27" i="4" s="1"/>
  <c r="Y27" i="4" s="1"/>
  <c r="AC27" i="4" s="1"/>
  <c r="AE27" i="4" s="1"/>
  <c r="W132" i="4"/>
  <c r="X132" i="4" s="1"/>
  <c r="Y132" i="4" s="1"/>
  <c r="AC132" i="4" s="1"/>
  <c r="AE132" i="4" s="1"/>
  <c r="W91" i="4"/>
  <c r="X91" i="4" s="1"/>
  <c r="Y91" i="4" s="1"/>
  <c r="AC91" i="4"/>
  <c r="AE91" i="4" s="1"/>
  <c r="W86" i="4"/>
  <c r="X86" i="4" s="1"/>
  <c r="Y86" i="4" s="1"/>
  <c r="AC86" i="4"/>
  <c r="AE86" i="4" s="1"/>
  <c r="W92" i="4"/>
  <c r="X92" i="4" s="1"/>
  <c r="Y92" i="4" s="1"/>
  <c r="AC92" i="4" s="1"/>
  <c r="AE92" i="4" s="1"/>
  <c r="W60" i="4"/>
  <c r="X60" i="4" s="1"/>
  <c r="Y60" i="4" s="1"/>
  <c r="AC60" i="4" s="1"/>
  <c r="AE60" i="4" s="1"/>
  <c r="W17" i="4"/>
  <c r="X17" i="4" s="1"/>
  <c r="Y17" i="4" s="1"/>
  <c r="AC17" i="4" s="1"/>
  <c r="AE17" i="4" s="1"/>
  <c r="W114" i="4"/>
  <c r="X114" i="4" s="1"/>
  <c r="Y114" i="4" s="1"/>
  <c r="AC114" i="4"/>
  <c r="AE114" i="4" s="1"/>
  <c r="W36" i="4"/>
  <c r="X36" i="4" s="1"/>
  <c r="Y36" i="4" s="1"/>
  <c r="AC36" i="4" s="1"/>
  <c r="AE36" i="4" s="1"/>
  <c r="AC53" i="4"/>
  <c r="AE53" i="4" s="1"/>
  <c r="W53" i="4"/>
  <c r="X53" i="4" s="1"/>
  <c r="Y53" i="4" s="1"/>
  <c r="W141" i="4"/>
  <c r="X141" i="4" s="1"/>
  <c r="Y141" i="4" s="1"/>
  <c r="AC141" i="4"/>
  <c r="AE141" i="4" s="1"/>
  <c r="W22" i="4"/>
  <c r="X22" i="4" s="1"/>
  <c r="Y22" i="4" s="1"/>
  <c r="AC22" i="4" s="1"/>
  <c r="AE22" i="4" s="1"/>
  <c r="W59" i="4"/>
  <c r="X59" i="4" s="1"/>
  <c r="Y59" i="4" s="1"/>
  <c r="AC59" i="4"/>
  <c r="AE59" i="4" s="1"/>
  <c r="W101" i="4"/>
  <c r="X101" i="4" s="1"/>
  <c r="Y101" i="4" s="1"/>
  <c r="AC101" i="4" s="1"/>
  <c r="AE101" i="4" s="1"/>
  <c r="W81" i="4"/>
  <c r="X81" i="4" s="1"/>
  <c r="Y81" i="4" s="1"/>
  <c r="AC81" i="4" s="1"/>
  <c r="AE81" i="4" s="1"/>
  <c r="W16" i="4"/>
  <c r="X16" i="4" s="1"/>
  <c r="Y16" i="4" s="1"/>
  <c r="AC16" i="4" s="1"/>
  <c r="AE16" i="4" s="1"/>
  <c r="W50" i="4"/>
  <c r="X50" i="4" s="1"/>
  <c r="Y50" i="4" s="1"/>
  <c r="AC50" i="4"/>
  <c r="AE50" i="4" s="1"/>
  <c r="W79" i="4"/>
  <c r="X79" i="4" s="1"/>
  <c r="Y79" i="4" s="1"/>
  <c r="AC79" i="4" s="1"/>
  <c r="AE79" i="4" s="1"/>
  <c r="W55" i="4"/>
  <c r="X55" i="4" s="1"/>
  <c r="Y55" i="4" s="1"/>
  <c r="AC55" i="4"/>
  <c r="AE55" i="4" s="1"/>
  <c r="W44" i="4"/>
  <c r="X44" i="4" s="1"/>
  <c r="Y44" i="4" s="1"/>
  <c r="AC44" i="4"/>
  <c r="AE44" i="4" s="1"/>
  <c r="W119" i="4"/>
  <c r="X119" i="4" s="1"/>
  <c r="Y119" i="4" s="1"/>
  <c r="AC119" i="4"/>
  <c r="AE119" i="4" s="1"/>
  <c r="W90" i="4"/>
  <c r="X90" i="4" s="1"/>
  <c r="Y90" i="4" s="1"/>
  <c r="AC90" i="4" s="1"/>
  <c r="AE90" i="4" s="1"/>
  <c r="W14" i="4"/>
  <c r="X14" i="4" s="1"/>
  <c r="Y14" i="4" s="1"/>
  <c r="AC14" i="4" s="1"/>
  <c r="AE14" i="4" s="1"/>
  <c r="W151" i="4"/>
  <c r="X151" i="4" s="1"/>
  <c r="Y151" i="4" s="1"/>
  <c r="AC151" i="4" s="1"/>
  <c r="AE151" i="4" s="1"/>
  <c r="W20" i="4"/>
  <c r="X20" i="4" s="1"/>
  <c r="Y20" i="4" s="1"/>
  <c r="AC20" i="4" s="1"/>
  <c r="AE20" i="4" s="1"/>
  <c r="W40" i="4"/>
  <c r="X40" i="4" s="1"/>
  <c r="Y40" i="4" s="1"/>
  <c r="AC40" i="4"/>
  <c r="AE40" i="4" s="1"/>
  <c r="W63" i="4"/>
  <c r="X63" i="4" s="1"/>
  <c r="Y63" i="4" s="1"/>
  <c r="AC63" i="4"/>
  <c r="AE63" i="4" s="1"/>
  <c r="V97" i="4" l="1"/>
  <c r="W97" i="4"/>
  <c r="X97" i="4" s="1"/>
  <c r="Y97" i="4" s="1"/>
  <c r="AC97" i="4" s="1"/>
  <c r="AE97" i="4" s="1"/>
  <c r="V5" i="4"/>
  <c r="W5" i="4"/>
  <c r="X5" i="4" s="1"/>
  <c r="Y5" i="4" s="1"/>
  <c r="AC5" i="4" s="1"/>
  <c r="AE5" i="4" s="1"/>
  <c r="W66" i="4"/>
  <c r="X66" i="4" s="1"/>
  <c r="Y66" i="4" s="1"/>
  <c r="AC66" i="4" s="1"/>
  <c r="AE66" i="4" s="1"/>
  <c r="Z69" i="4"/>
  <c r="AG69" i="4" s="1"/>
  <c r="AC143" i="4"/>
  <c r="AE143" i="4" s="1"/>
  <c r="V69" i="4"/>
  <c r="W69" i="4"/>
  <c r="X69" i="4" s="1"/>
  <c r="Y69" i="4" s="1"/>
  <c r="AC69" i="4" s="1"/>
  <c r="AE69" i="4" s="1"/>
  <c r="V52" i="4"/>
  <c r="W52" i="4"/>
  <c r="X52" i="4" s="1"/>
  <c r="Y52" i="4" s="1"/>
  <c r="AC52" i="4" s="1"/>
  <c r="AE52" i="4" s="1"/>
  <c r="W25" i="4"/>
  <c r="X25" i="4" s="1"/>
  <c r="Y25" i="4" s="1"/>
  <c r="W117" i="4"/>
  <c r="X117" i="4" s="1"/>
  <c r="Y117" i="4" s="1"/>
  <c r="AC56" i="4"/>
  <c r="AE56" i="4" s="1"/>
  <c r="W118" i="4"/>
  <c r="X118" i="4" s="1"/>
  <c r="Y118" i="4" s="1"/>
  <c r="AC118" i="4" s="1"/>
  <c r="AE118" i="4" s="1"/>
  <c r="AC117" i="4"/>
  <c r="AE117" i="4" s="1"/>
  <c r="AC30" i="4"/>
  <c r="AE30" i="4" s="1"/>
  <c r="W30" i="4"/>
  <c r="X30" i="4" s="1"/>
  <c r="Y30" i="4" s="1"/>
  <c r="X4" i="4"/>
  <c r="Y4" i="4" s="1"/>
  <c r="AC4" i="4" s="1"/>
  <c r="W111" i="4"/>
  <c r="X111" i="4" s="1"/>
  <c r="Y111" i="4" s="1"/>
  <c r="AC111" i="4" s="1"/>
  <c r="AE111" i="4" s="1"/>
  <c r="AA5" i="4"/>
  <c r="AA6" i="4" s="1"/>
  <c r="AA7" i="4" s="1"/>
  <c r="AA8" i="4" s="1"/>
  <c r="AA9" i="4" s="1"/>
  <c r="AA10" i="4" s="1"/>
  <c r="AA11" i="4" s="1"/>
  <c r="AA12" i="4" s="1"/>
  <c r="AA13" i="4" s="1"/>
  <c r="AA14" i="4" s="1"/>
  <c r="AA15" i="4" s="1"/>
  <c r="AA16" i="4" s="1"/>
  <c r="AA17" i="4" s="1"/>
  <c r="AA18" i="4" s="1"/>
  <c r="AA19" i="4" s="1"/>
  <c r="AA20" i="4" s="1"/>
  <c r="AA21" i="4" s="1"/>
  <c r="AA22" i="4" s="1"/>
  <c r="AA23" i="4" s="1"/>
  <c r="AA24" i="4" s="1"/>
  <c r="AA25" i="4" s="1"/>
  <c r="AA26" i="4" s="1"/>
  <c r="AA27" i="4" s="1"/>
  <c r="AA28" i="4" s="1"/>
  <c r="AA29" i="4" s="1"/>
  <c r="AA30" i="4" s="1"/>
  <c r="AA31" i="4" s="1"/>
  <c r="AA32" i="4" s="1"/>
  <c r="AA33" i="4" s="1"/>
  <c r="AA34" i="4" s="1"/>
  <c r="AA35" i="4" s="1"/>
  <c r="AA36" i="4" s="1"/>
  <c r="AA37" i="4" s="1"/>
  <c r="AA38" i="4" s="1"/>
  <c r="AA39" i="4" s="1"/>
  <c r="AA40" i="4" s="1"/>
  <c r="AA41" i="4" s="1"/>
  <c r="AA42" i="4" s="1"/>
  <c r="AA43" i="4" s="1"/>
  <c r="AA44" i="4" s="1"/>
  <c r="AA45" i="4" s="1"/>
  <c r="AA46" i="4" s="1"/>
  <c r="AA47" i="4" s="1"/>
  <c r="AA48" i="4" s="1"/>
  <c r="AA49" i="4" s="1"/>
  <c r="AA50" i="4" s="1"/>
  <c r="AA51" i="4" s="1"/>
  <c r="AA52" i="4" s="1"/>
  <c r="AA53" i="4" s="1"/>
  <c r="AA54" i="4" s="1"/>
  <c r="AA55" i="4" s="1"/>
  <c r="AA56" i="4" s="1"/>
  <c r="AA57" i="4" s="1"/>
  <c r="AA58" i="4" s="1"/>
  <c r="AA59" i="4" s="1"/>
  <c r="AA60" i="4" s="1"/>
  <c r="AA61" i="4" s="1"/>
  <c r="AA62" i="4" s="1"/>
  <c r="AA63" i="4" s="1"/>
  <c r="AA64" i="4" s="1"/>
  <c r="AA65" i="4" s="1"/>
  <c r="AA66" i="4" s="1"/>
  <c r="AA67" i="4" s="1"/>
  <c r="AA68" i="4" s="1"/>
  <c r="AA69" i="4" s="1"/>
  <c r="AA70" i="4" s="1"/>
  <c r="AA71" i="4" s="1"/>
  <c r="AA72" i="4" s="1"/>
  <c r="AA73" i="4" s="1"/>
  <c r="AA74" i="4" s="1"/>
  <c r="AA75" i="4" s="1"/>
  <c r="AA76" i="4" s="1"/>
  <c r="AA77" i="4" s="1"/>
  <c r="AA78" i="4" s="1"/>
  <c r="AA79" i="4" s="1"/>
  <c r="AA80" i="4" s="1"/>
  <c r="AA81" i="4" s="1"/>
  <c r="AA82" i="4" s="1"/>
  <c r="AA83" i="4" s="1"/>
  <c r="AA84" i="4" s="1"/>
  <c r="AA85" i="4" s="1"/>
  <c r="AA86" i="4" s="1"/>
  <c r="AA87" i="4" s="1"/>
  <c r="AA88" i="4" s="1"/>
  <c r="AA89" i="4" s="1"/>
  <c r="AA90" i="4" s="1"/>
  <c r="AA91" i="4" s="1"/>
  <c r="AA92" i="4" s="1"/>
  <c r="AA93" i="4" s="1"/>
  <c r="AA94" i="4" s="1"/>
  <c r="AA95" i="4" s="1"/>
  <c r="AA96" i="4" s="1"/>
  <c r="AA97" i="4" s="1"/>
  <c r="AA98" i="4" s="1"/>
  <c r="AA99" i="4" s="1"/>
  <c r="AA100" i="4" s="1"/>
  <c r="AA101" i="4" s="1"/>
  <c r="AA102" i="4" s="1"/>
  <c r="AA103" i="4" s="1"/>
  <c r="AA104" i="4" s="1"/>
  <c r="AA105" i="4" s="1"/>
  <c r="AA106" i="4" s="1"/>
  <c r="AA107" i="4" s="1"/>
  <c r="AA108" i="4" s="1"/>
  <c r="AA109" i="4" s="1"/>
  <c r="AA110" i="4" s="1"/>
  <c r="AA111" i="4" s="1"/>
  <c r="AA112" i="4" s="1"/>
  <c r="AA113" i="4" s="1"/>
  <c r="AA114" i="4" s="1"/>
  <c r="AA115" i="4" s="1"/>
  <c r="AA116" i="4" s="1"/>
  <c r="AA117" i="4" s="1"/>
  <c r="AA118" i="4" s="1"/>
  <c r="AA119" i="4" s="1"/>
  <c r="AA120" i="4" s="1"/>
  <c r="AA121" i="4" s="1"/>
  <c r="AA122" i="4" s="1"/>
  <c r="AA123" i="4" s="1"/>
  <c r="AA124" i="4" s="1"/>
  <c r="AA125" i="4" s="1"/>
  <c r="AA126" i="4" s="1"/>
  <c r="AA127" i="4" s="1"/>
  <c r="AA128" i="4" s="1"/>
  <c r="AA129" i="4" s="1"/>
  <c r="AA130" i="4" s="1"/>
  <c r="AA131" i="4" s="1"/>
  <c r="AA132" i="4" s="1"/>
  <c r="AA133" i="4" s="1"/>
  <c r="AA134" i="4" s="1"/>
  <c r="AA135" i="4" s="1"/>
  <c r="AA136" i="4" s="1"/>
  <c r="AA137" i="4" s="1"/>
  <c r="AA138" i="4" s="1"/>
  <c r="AA139" i="4" s="1"/>
  <c r="AA140" i="4" s="1"/>
  <c r="AA141" i="4" s="1"/>
  <c r="AA142" i="4" s="1"/>
  <c r="AA143" i="4" s="1"/>
  <c r="AA144" i="4" s="1"/>
  <c r="AA145" i="4" s="1"/>
  <c r="AA146" i="4" s="1"/>
  <c r="AA147" i="4" s="1"/>
  <c r="AA148" i="4" s="1"/>
  <c r="AA149" i="4" s="1"/>
  <c r="AA150" i="4" s="1"/>
  <c r="AA151" i="4" s="1"/>
  <c r="AA152" i="4" s="1"/>
  <c r="AA153" i="4" s="1"/>
  <c r="W124" i="4"/>
  <c r="X124" i="4" s="1"/>
  <c r="Y124" i="4" s="1"/>
  <c r="AC124" i="4" s="1"/>
  <c r="AE124" i="4" s="1"/>
  <c r="W43" i="4"/>
  <c r="X43" i="4" s="1"/>
  <c r="Y43" i="4" s="1"/>
  <c r="AC43" i="4"/>
  <c r="AE43" i="4" s="1"/>
  <c r="W33" i="4"/>
  <c r="X33" i="4" s="1"/>
  <c r="Y33" i="4" s="1"/>
  <c r="AC33" i="4" s="1"/>
  <c r="AE33" i="4" s="1"/>
  <c r="W89" i="4"/>
  <c r="X89" i="4" s="1"/>
  <c r="Y89" i="4" s="1"/>
  <c r="AC89" i="4" s="1"/>
  <c r="AE89" i="4" s="1"/>
  <c r="W9" i="4"/>
  <c r="X9" i="4" s="1"/>
  <c r="Y9" i="4" s="1"/>
  <c r="W146" i="4"/>
  <c r="X146" i="4" s="1"/>
  <c r="Y146" i="4" s="1"/>
  <c r="AC146" i="4" s="1"/>
  <c r="AE146" i="4" s="1"/>
  <c r="W46" i="4"/>
  <c r="X46" i="4" s="1"/>
  <c r="Y46" i="4" s="1"/>
  <c r="AC46" i="4" s="1"/>
  <c r="AE46" i="4" s="1"/>
  <c r="W143" i="4"/>
  <c r="X143" i="4" s="1"/>
  <c r="Y143" i="4" s="1"/>
  <c r="W19" i="4"/>
  <c r="X19" i="4" s="1"/>
  <c r="Y19" i="4" s="1"/>
  <c r="AC19" i="4" s="1"/>
  <c r="AE19" i="4" s="1"/>
  <c r="AC105" i="4"/>
  <c r="AE105" i="4" s="1"/>
  <c r="W35" i="4"/>
  <c r="X35" i="4" s="1"/>
  <c r="Y35" i="4" s="1"/>
  <c r="AC35" i="4" s="1"/>
  <c r="AE35" i="4" s="1"/>
  <c r="W127" i="4"/>
  <c r="X127" i="4" s="1"/>
  <c r="Y127" i="4" s="1"/>
  <c r="AC127" i="4" s="1"/>
  <c r="AE127" i="4" s="1"/>
  <c r="W105" i="4"/>
  <c r="X105" i="4" s="1"/>
  <c r="Y105" i="4" s="1"/>
  <c r="W74" i="4"/>
  <c r="X74" i="4" s="1"/>
  <c r="Y74" i="4" s="1"/>
  <c r="AC74" i="4" s="1"/>
  <c r="AE74" i="4" s="1"/>
  <c r="W116" i="4"/>
  <c r="X116" i="4" s="1"/>
  <c r="Y116" i="4" s="1"/>
  <c r="W38" i="4"/>
  <c r="X38" i="4" s="1"/>
  <c r="Y38" i="4" s="1"/>
  <c r="AC38" i="4" s="1"/>
  <c r="AE38" i="4" s="1"/>
  <c r="W82" i="4"/>
  <c r="X82" i="4" s="1"/>
  <c r="Y82" i="4" s="1"/>
  <c r="AC82" i="4" s="1"/>
  <c r="AE82" i="4" s="1"/>
  <c r="W37" i="4"/>
  <c r="X37" i="4" s="1"/>
  <c r="Y37" i="4" s="1"/>
  <c r="AC37" i="4"/>
  <c r="AE37" i="4" s="1"/>
  <c r="AC137" i="4"/>
  <c r="AE137" i="4" s="1"/>
  <c r="W137" i="4"/>
  <c r="X137" i="4" s="1"/>
  <c r="Y137" i="4" s="1"/>
  <c r="AC99" i="4"/>
  <c r="AE99" i="4" s="1"/>
  <c r="W142" i="4"/>
  <c r="X142" i="4" s="1"/>
  <c r="Y142" i="4" s="1"/>
  <c r="AC142" i="4" s="1"/>
  <c r="AE142" i="4" s="1"/>
  <c r="W134" i="4"/>
  <c r="X134" i="4" s="1"/>
  <c r="Y134" i="4" s="1"/>
  <c r="AC134" i="4" s="1"/>
  <c r="AE134" i="4" s="1"/>
  <c r="W78" i="4"/>
  <c r="X78" i="4" s="1"/>
  <c r="Y78" i="4" s="1"/>
  <c r="AC78" i="4" s="1"/>
  <c r="AE78" i="4" s="1"/>
  <c r="W99" i="4"/>
  <c r="X99" i="4" s="1"/>
  <c r="Y99" i="4" s="1"/>
  <c r="W145" i="4"/>
  <c r="X145" i="4" s="1"/>
  <c r="Y145" i="4" s="1"/>
  <c r="AC145" i="4" s="1"/>
  <c r="AE145" i="4" s="1"/>
  <c r="W28" i="4"/>
  <c r="X28" i="4" s="1"/>
  <c r="Y28" i="4" s="1"/>
  <c r="AC28" i="4" s="1"/>
  <c r="AE28" i="4" s="1"/>
  <c r="W129" i="4"/>
  <c r="X129" i="4" s="1"/>
  <c r="Y129" i="4" s="1"/>
  <c r="AC129" i="4" s="1"/>
  <c r="AE129" i="4" s="1"/>
  <c r="W71" i="4"/>
  <c r="X71" i="4" s="1"/>
  <c r="Y71" i="4" s="1"/>
  <c r="AC71" i="4" s="1"/>
  <c r="AE71" i="4" s="1"/>
  <c r="AE4" i="4"/>
  <c r="AD4" i="4"/>
  <c r="AD5" i="4" s="1"/>
  <c r="AD6" i="4" s="1"/>
  <c r="AD7" i="4" s="1"/>
  <c r="AD8" i="4" s="1"/>
  <c r="AD9" i="4" s="1"/>
  <c r="AD10" i="4" s="1"/>
  <c r="AD11" i="4" s="1"/>
  <c r="AD12" i="4" s="1"/>
  <c r="AD13" i="4" s="1"/>
  <c r="AD14" i="4" s="1"/>
  <c r="AD15" i="4" s="1"/>
  <c r="AD16" i="4" s="1"/>
  <c r="AD17" i="4" s="1"/>
  <c r="AD18" i="4" s="1"/>
  <c r="AD19" i="4" l="1"/>
  <c r="AD20" i="4" s="1"/>
  <c r="AD21" i="4" s="1"/>
  <c r="AD22" i="4" s="1"/>
  <c r="AD23" i="4" s="1"/>
  <c r="AD24" i="4" s="1"/>
  <c r="AD25" i="4" s="1"/>
  <c r="AD26" i="4" s="1"/>
  <c r="AD27" i="4" s="1"/>
  <c r="AD28" i="4" s="1"/>
  <c r="AD29" i="4" s="1"/>
  <c r="AD30" i="4" s="1"/>
  <c r="AD31" i="4" s="1"/>
  <c r="AD32" i="4" s="1"/>
  <c r="AD33" i="4" s="1"/>
  <c r="AD34" i="4" s="1"/>
  <c r="AD35" i="4" s="1"/>
  <c r="AD36" i="4" s="1"/>
  <c r="AD37" i="4" s="1"/>
  <c r="AD38" i="4" s="1"/>
  <c r="AD39" i="4" s="1"/>
  <c r="AD40" i="4" s="1"/>
  <c r="AD41" i="4" s="1"/>
  <c r="AD42" i="4" s="1"/>
  <c r="AD43" i="4" s="1"/>
  <c r="AD44" i="4" s="1"/>
  <c r="AD45" i="4" s="1"/>
  <c r="AD46" i="4" s="1"/>
  <c r="AD47" i="4" s="1"/>
  <c r="AD48" i="4" s="1"/>
  <c r="AD49" i="4" s="1"/>
  <c r="AD50" i="4" s="1"/>
  <c r="AD51" i="4" s="1"/>
  <c r="AD52" i="4" s="1"/>
  <c r="AD53" i="4" s="1"/>
  <c r="AD54" i="4" s="1"/>
  <c r="AD55" i="4" s="1"/>
  <c r="AD56" i="4" s="1"/>
  <c r="AD57" i="4" s="1"/>
  <c r="AD58" i="4" s="1"/>
  <c r="AD59" i="4" s="1"/>
  <c r="AD60" i="4" s="1"/>
  <c r="AD61" i="4" s="1"/>
  <c r="AD62" i="4" s="1"/>
  <c r="AD63" i="4" s="1"/>
  <c r="AD64" i="4" s="1"/>
  <c r="AD65" i="4" s="1"/>
  <c r="AD66" i="4" s="1"/>
  <c r="AD67" i="4" s="1"/>
  <c r="AD68" i="4" s="1"/>
  <c r="AD69" i="4" s="1"/>
  <c r="AD70" i="4" s="1"/>
  <c r="AD71" i="4" s="1"/>
  <c r="AD72" i="4" s="1"/>
  <c r="AD73" i="4" s="1"/>
  <c r="AD74" i="4" s="1"/>
  <c r="AD75" i="4" s="1"/>
  <c r="AD76" i="4" s="1"/>
  <c r="AD77" i="4" s="1"/>
  <c r="AD78" i="4" s="1"/>
  <c r="AD79" i="4" s="1"/>
  <c r="AD80" i="4" s="1"/>
  <c r="AD81" i="4" s="1"/>
  <c r="AD82" i="4" s="1"/>
  <c r="AD83" i="4" s="1"/>
  <c r="AD84" i="4" s="1"/>
  <c r="AD85" i="4" s="1"/>
  <c r="AD86" i="4" s="1"/>
  <c r="AD87" i="4" s="1"/>
  <c r="AD88" i="4" s="1"/>
  <c r="AD89" i="4" s="1"/>
  <c r="AD90" i="4" s="1"/>
  <c r="AD91" i="4" s="1"/>
  <c r="AD92" i="4" s="1"/>
  <c r="AD93" i="4" s="1"/>
  <c r="AD94" i="4" s="1"/>
  <c r="AD95" i="4" s="1"/>
  <c r="AD96" i="4" s="1"/>
  <c r="AD97" i="4" s="1"/>
  <c r="AD98" i="4" s="1"/>
  <c r="AD99" i="4" s="1"/>
  <c r="AD100" i="4" s="1"/>
  <c r="AD101" i="4" s="1"/>
  <c r="AD102" i="4" s="1"/>
  <c r="AD103" i="4" s="1"/>
  <c r="AD104" i="4" s="1"/>
  <c r="AD105" i="4" s="1"/>
  <c r="AD106" i="4" s="1"/>
  <c r="AD107" i="4" s="1"/>
  <c r="AD108" i="4" s="1"/>
  <c r="AD109" i="4" s="1"/>
  <c r="AD110" i="4" s="1"/>
  <c r="AD111" i="4" s="1"/>
  <c r="AD112" i="4" s="1"/>
  <c r="AD113" i="4" s="1"/>
  <c r="AD114" i="4" s="1"/>
  <c r="AD115" i="4" s="1"/>
  <c r="AD116" i="4" s="1"/>
  <c r="AD117" i="4" s="1"/>
  <c r="AD118" i="4" s="1"/>
  <c r="AD119" i="4" s="1"/>
  <c r="AD120" i="4" s="1"/>
  <c r="AD121" i="4" s="1"/>
  <c r="AD122" i="4" s="1"/>
  <c r="AD123" i="4" s="1"/>
  <c r="AD124" i="4" s="1"/>
  <c r="AD125" i="4" s="1"/>
  <c r="AD126" i="4" s="1"/>
  <c r="AD127" i="4" s="1"/>
  <c r="AD128" i="4" s="1"/>
  <c r="AD129" i="4" s="1"/>
  <c r="AD130" i="4" s="1"/>
  <c r="AD131" i="4" s="1"/>
  <c r="AD132" i="4" s="1"/>
  <c r="AD133" i="4" s="1"/>
  <c r="AD134" i="4" s="1"/>
  <c r="AD135" i="4" s="1"/>
  <c r="AD136" i="4" s="1"/>
  <c r="AD137" i="4" s="1"/>
  <c r="AD138" i="4" s="1"/>
  <c r="AD139" i="4" s="1"/>
  <c r="AD140" i="4" s="1"/>
  <c r="AD141" i="4" s="1"/>
  <c r="AD142" i="4" s="1"/>
  <c r="AD143" i="4" s="1"/>
  <c r="AD144" i="4" s="1"/>
  <c r="AD145" i="4" s="1"/>
  <c r="AD146" i="4" s="1"/>
  <c r="AD147" i="4" s="1"/>
  <c r="AD148" i="4" s="1"/>
  <c r="AD149" i="4" s="1"/>
  <c r="AD150" i="4" s="1"/>
  <c r="AD151" i="4" s="1"/>
  <c r="AD152" i="4" s="1"/>
  <c r="AD153" i="4" s="1"/>
  <c r="A52" i="4"/>
  <c r="A48" i="4"/>
  <c r="A4" i="4"/>
  <c r="A8" i="4" s="1"/>
  <c r="A12" i="4" s="1"/>
  <c r="A20" i="4" l="1"/>
  <c r="A40" i="4" s="1"/>
  <c r="A24" i="4" l="1"/>
</calcChain>
</file>

<file path=xl/sharedStrings.xml><?xml version="1.0" encoding="utf-8"?>
<sst xmlns="http://schemas.openxmlformats.org/spreadsheetml/2006/main" count="531" uniqueCount="171">
  <si>
    <t xml:space="preserve">Renegade DX10-C (Auto) Corporate 300cc </t>
  </si>
  <si>
    <t>Y</t>
  </si>
  <si>
    <t xml:space="preserve">Engine Specifications </t>
  </si>
  <si>
    <t>N</t>
  </si>
  <si>
    <t xml:space="preserve">Engine </t>
  </si>
  <si>
    <t xml:space="preserve">278cc Petrol Single Cylinder 4-Stroke ICE </t>
  </si>
  <si>
    <t>Power (BHP) (@6500)</t>
  </si>
  <si>
    <t>Power (KW)</t>
  </si>
  <si>
    <t>Torque (Nm) (@5500)</t>
  </si>
  <si>
    <t>Top Speed (mph)</t>
  </si>
  <si>
    <t>Top Speed (m/s)</t>
  </si>
  <si>
    <t xml:space="preserve">Vehicle Specifications </t>
  </si>
  <si>
    <t xml:space="preserve">Transmission </t>
  </si>
  <si>
    <t xml:space="preserve">Auto CVT with F/N/R </t>
  </si>
  <si>
    <t xml:space="preserve">Drive </t>
  </si>
  <si>
    <t xml:space="preserve">CVT Clutch </t>
  </si>
  <si>
    <t xml:space="preserve">Diff Lock </t>
  </si>
  <si>
    <t xml:space="preserve">Locked Rear Axle </t>
  </si>
  <si>
    <t>Tank Capacity (L)</t>
  </si>
  <si>
    <t xml:space="preserve">Vehicle Dimensions </t>
  </si>
  <si>
    <t>Length (m)</t>
  </si>
  <si>
    <t>Width (m)</t>
  </si>
  <si>
    <t>Height (m)</t>
  </si>
  <si>
    <t>Ground Clearance (m)</t>
  </si>
  <si>
    <r>
      <t>Frontal Area (m</t>
    </r>
    <r>
      <rPr>
        <sz val="14"/>
        <color theme="1"/>
        <rFont val="Calibri"/>
        <family val="2"/>
      </rPr>
      <t>²)</t>
    </r>
  </si>
  <si>
    <t>Frontal Aero Area  (m²)</t>
  </si>
  <si>
    <t>Vehicle Mass</t>
  </si>
  <si>
    <t>Curb Weight (Kg)</t>
  </si>
  <si>
    <t>Driver (Kg)</t>
  </si>
  <si>
    <t>Driver Kit (Kg)</t>
  </si>
  <si>
    <t>Passenger (Y/N)</t>
  </si>
  <si>
    <t>Passenger (Kg)</t>
  </si>
  <si>
    <t>Passenger Kit (Kg)</t>
  </si>
  <si>
    <t>Fuel (L)</t>
  </si>
  <si>
    <t>Fuel (Kg)</t>
  </si>
  <si>
    <t>Total (Kg)</t>
  </si>
  <si>
    <t xml:space="preserve">Wheel Dimensions </t>
  </si>
  <si>
    <t>Front Wheel Size (In)</t>
  </si>
  <si>
    <t>Front Wheel Size (m)</t>
  </si>
  <si>
    <t>Front Tyre Side Wall (m)</t>
  </si>
  <si>
    <t>Rear Wheel Size  (In)</t>
  </si>
  <si>
    <t>Rear Wheel Size (m)</t>
  </si>
  <si>
    <t>Rear Tyre Side Wall (m)</t>
  </si>
  <si>
    <t>Rolling Radius (m)</t>
  </si>
  <si>
    <t>Rolling Circumference (m)</t>
  </si>
  <si>
    <t xml:space="preserve">Assumptions </t>
  </si>
  <si>
    <t xml:space="preserve">Coefficient of Drag </t>
  </si>
  <si>
    <r>
      <t>Wheel Inertia (Kg.m</t>
    </r>
    <r>
      <rPr>
        <sz val="14"/>
        <color theme="1"/>
        <rFont val="Calibri"/>
        <family val="2"/>
      </rPr>
      <t>²)</t>
    </r>
  </si>
  <si>
    <t>Engine Inertia (Kg.m²)</t>
  </si>
  <si>
    <t>Engine RPM</t>
  </si>
  <si>
    <t>Torque (Nm)</t>
  </si>
  <si>
    <t>Brake Specific Fuel Consumption (g/Kwh)</t>
  </si>
  <si>
    <t xml:space="preserve">Mud </t>
  </si>
  <si>
    <t xml:space="preserve">Gravel </t>
  </si>
  <si>
    <t xml:space="preserve">Tarmac </t>
  </si>
  <si>
    <t xml:space="preserve">Gravity </t>
  </si>
  <si>
    <t>RR Coeficient Mud</t>
  </si>
  <si>
    <t>RR Coeficient Gravel</t>
  </si>
  <si>
    <t xml:space="preserve">RR Coeficient Tarmac </t>
  </si>
  <si>
    <t>Additional Information</t>
  </si>
  <si>
    <t>T10C</t>
  </si>
  <si>
    <t>T10B</t>
  </si>
  <si>
    <t>T10A</t>
  </si>
  <si>
    <t>T9</t>
  </si>
  <si>
    <t>T8B</t>
  </si>
  <si>
    <t>T8A</t>
  </si>
  <si>
    <t>T7</t>
  </si>
  <si>
    <t>T6</t>
  </si>
  <si>
    <t>T5</t>
  </si>
  <si>
    <t>T4</t>
  </si>
  <si>
    <t>T3</t>
  </si>
  <si>
    <t>T2</t>
  </si>
  <si>
    <t>T1</t>
  </si>
  <si>
    <t>Max Velocity (m/s)</t>
  </si>
  <si>
    <t>Radius</t>
  </si>
  <si>
    <t>Corner</t>
  </si>
  <si>
    <t>Corners</t>
  </si>
  <si>
    <t>Mud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</si>
  <si>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</si>
  <si>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</si>
  <si>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</si>
  <si>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</si>
  <si>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</si>
  <si>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</si>
  <si>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</si>
  <si>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</si>
  <si>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</si>
  <si>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</si>
  <si>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 xml:space="preserve">Distance m </t>
  </si>
  <si>
    <t xml:space="preserve">Surface Type </t>
  </si>
  <si>
    <t xml:space="preserve">Sector </t>
  </si>
  <si>
    <t xml:space="preserve">Sectors </t>
  </si>
  <si>
    <t>Track Length (m)</t>
  </si>
  <si>
    <t>U.S.A</t>
  </si>
  <si>
    <t xml:space="preserve">Location </t>
  </si>
  <si>
    <t xml:space="preserve">Willow Springs </t>
  </si>
  <si>
    <t xml:space="preserve">Track </t>
  </si>
  <si>
    <t xml:space="preserve">Circuit Details </t>
  </si>
  <si>
    <t>Fuel / Lap (g)</t>
  </si>
  <si>
    <t>Time (s)</t>
  </si>
  <si>
    <t>Sector</t>
  </si>
  <si>
    <t>Total Distance (m)</t>
  </si>
  <si>
    <t>Δ Distance (m)</t>
  </si>
  <si>
    <t>Elavation (m)</t>
  </si>
  <si>
    <r>
      <rPr>
        <b/>
        <sz val="14"/>
        <color theme="1"/>
        <rFont val="Calibri"/>
        <family val="2"/>
      </rPr>
      <t>Δ</t>
    </r>
    <r>
      <rPr>
        <b/>
        <sz val="14"/>
        <color theme="1"/>
        <rFont val="Calibri"/>
        <family val="2"/>
        <scheme val="minor"/>
      </rPr>
      <t xml:space="preserve"> Elevation (m)</t>
    </r>
  </si>
  <si>
    <r>
      <t>Gradient (</t>
    </r>
    <r>
      <rPr>
        <b/>
        <sz val="14"/>
        <color theme="1"/>
        <rFont val="Calibri"/>
        <family val="2"/>
      </rPr>
      <t>°)</t>
    </r>
  </si>
  <si>
    <t xml:space="preserve">Gear </t>
  </si>
  <si>
    <t>RPM</t>
  </si>
  <si>
    <t xml:space="preserve">Velocity (m/s) </t>
  </si>
  <si>
    <t>Velocity (mph)</t>
  </si>
  <si>
    <r>
      <t>Acceleration (m/s</t>
    </r>
    <r>
      <rPr>
        <b/>
        <sz val="14"/>
        <color theme="1"/>
        <rFont val="Calibri"/>
        <family val="2"/>
      </rPr>
      <t>²)</t>
    </r>
  </si>
  <si>
    <t>Acceleration Force (N)</t>
  </si>
  <si>
    <t xml:space="preserve">RR Coeficient </t>
  </si>
  <si>
    <t>Rolling Drag (N)</t>
  </si>
  <si>
    <t>Aero Drag (N)</t>
  </si>
  <si>
    <t xml:space="preserve">Forces due to Incline (N) </t>
  </si>
  <si>
    <t>Total Resistive Forces (N)</t>
  </si>
  <si>
    <t>Resistive Power (KW)</t>
  </si>
  <si>
    <t>Remaining Power Available (KW)</t>
  </si>
  <si>
    <t>Power Required per Second (KW)</t>
  </si>
  <si>
    <t xml:space="preserve">Torque (Nm) </t>
  </si>
  <si>
    <t>Workdone (J)</t>
  </si>
  <si>
    <t>Total Work Done (J)</t>
  </si>
  <si>
    <t>Fuel Consumption (g/KWh)</t>
  </si>
  <si>
    <t>Fuel Consumption (g/s)</t>
  </si>
  <si>
    <t>Total Fuel Consumption (g)</t>
  </si>
  <si>
    <t>CO2 Production (g/s)</t>
  </si>
  <si>
    <t>Kinetic Energy (KJ)</t>
  </si>
  <si>
    <t>Total Energy (KJ)</t>
  </si>
  <si>
    <t>Fuel / Lap (L)</t>
  </si>
  <si>
    <t xml:space="preserve">Laps / Tank </t>
  </si>
  <si>
    <t>Fuel Price (£/L)</t>
  </si>
  <si>
    <t>Fuel Cost / Lap (£)</t>
  </si>
  <si>
    <t>Fuel Cost / Tank (£)</t>
  </si>
  <si>
    <t xml:space="preserve">Customers / Corporate Event </t>
  </si>
  <si>
    <t xml:space="preserve">Laps / Customer </t>
  </si>
  <si>
    <t xml:space="preserve">Laps / Corporate Event </t>
  </si>
  <si>
    <t>Fuel Cost / Event (£)</t>
  </si>
  <si>
    <t>Approximate Lap Time (s)</t>
  </si>
  <si>
    <r>
      <t>CO</t>
    </r>
    <r>
      <rPr>
        <b/>
        <sz val="10"/>
        <color theme="1"/>
        <rFont val="Calibri"/>
        <family val="2"/>
        <scheme val="minor"/>
      </rPr>
      <t xml:space="preserve">2 </t>
    </r>
    <r>
      <rPr>
        <b/>
        <sz val="16"/>
        <color theme="1"/>
        <rFont val="Calibri"/>
        <family val="2"/>
        <scheme val="minor"/>
      </rPr>
      <t>Produced per Lap (Kg)</t>
    </r>
  </si>
  <si>
    <t>T8</t>
  </si>
  <si>
    <t>T10</t>
  </si>
  <si>
    <t>Rolling Resistance (N)</t>
  </si>
  <si>
    <t>Net Driving Force (N)</t>
  </si>
  <si>
    <t>Hybrid System (Kg)</t>
  </si>
  <si>
    <r>
      <t>Air Density (Kg/m</t>
    </r>
    <r>
      <rPr>
        <sz val="11"/>
        <color theme="1"/>
        <rFont val="Calibri"/>
        <family val="2"/>
      </rPr>
      <t>³)</t>
    </r>
  </si>
  <si>
    <t xml:space="preserve">Friction Coefficient </t>
  </si>
  <si>
    <t>Tractive Effort (N)</t>
  </si>
  <si>
    <t>Centre of Gravity (X)</t>
  </si>
  <si>
    <t>Centre of Gravity (Y)</t>
  </si>
  <si>
    <r>
      <t>Traction Limited Acceleration (m/s</t>
    </r>
    <r>
      <rPr>
        <b/>
        <sz val="11"/>
        <color theme="1"/>
        <rFont val="Calibri"/>
        <family val="2"/>
      </rPr>
      <t>²)</t>
    </r>
  </si>
  <si>
    <r>
      <t>Max Acceleration (m/s</t>
    </r>
    <r>
      <rPr>
        <b/>
        <sz val="11"/>
        <color theme="1"/>
        <rFont val="Calibri"/>
        <family val="2"/>
      </rPr>
      <t>²</t>
    </r>
    <r>
      <rPr>
        <b/>
        <sz val="9.35"/>
        <color theme="1"/>
        <rFont val="Calibri"/>
        <family val="2"/>
      </rPr>
      <t>)</t>
    </r>
  </si>
  <si>
    <r>
      <t>Traction Limited Decceleration (m/s</t>
    </r>
    <r>
      <rPr>
        <b/>
        <sz val="11"/>
        <color theme="1"/>
        <rFont val="Calibri"/>
        <family val="2"/>
      </rPr>
      <t>²)</t>
    </r>
  </si>
  <si>
    <t>Maximum Power Required (KW)</t>
  </si>
  <si>
    <t>Average Power Required (KW)</t>
  </si>
  <si>
    <t>HPEVS AC-20 Motor</t>
  </si>
  <si>
    <t>Voltage (V)</t>
  </si>
  <si>
    <t>Current (Amps)</t>
  </si>
  <si>
    <t>Peak Power Output (KW)</t>
  </si>
  <si>
    <t>Peak Torque (Nm)</t>
  </si>
  <si>
    <t>ICE</t>
  </si>
  <si>
    <t xml:space="preserve">Series Hybrid </t>
  </si>
  <si>
    <t xml:space="preserve">ICE </t>
  </si>
  <si>
    <t>Fuel Usage Per Lap (g)</t>
  </si>
  <si>
    <r>
      <t>CO</t>
    </r>
    <r>
      <rPr>
        <sz val="8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Emissions Per Lap (Kg)</t>
    </r>
  </si>
  <si>
    <t xml:space="preserve">Motor &amp; Controller </t>
  </si>
  <si>
    <t xml:space="preserve">Generator </t>
  </si>
  <si>
    <t xml:space="preserve">Energy Storage &amp; Management </t>
  </si>
  <si>
    <t xml:space="preserve">Other </t>
  </si>
  <si>
    <t>Outline of Costs (£)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</si>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</sst>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color rgb="FF006100"/>
      <name val="Calibri"/>
      <family val="2"/>
      <scheme val="minor"/>
    </font>
    <font>
      <b/>
      <sz val="18"/>
      <color rgb="FFFA7D00"/>
      <name val="Calibri"/>
      <family val="2"/>
      <scheme val="minor"/>
    </font>
    <font>
      <b/>
      <sz val="18"/>
      <color rgb="FF3F3F7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.35"/>
      <color theme="1"/>
      <name val="Calibri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1" applyNumberFormat="0" applyAlignment="0" applyProtection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6" borderId="2" xfId="1" applyFont="1" applyFill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0" fillId="0" borderId="0" xfId="0" applyBorder="1"/>
    <xf numFmtId="0" fontId="7" fillId="0" borderId="2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7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4" borderId="1" xfId="3" applyFont="1" applyAlignment="1">
      <alignment horizontal="center" vertical="center"/>
    </xf>
    <xf numFmtId="0" fontId="14" fillId="3" borderId="1" xfId="2" applyFont="1" applyAlignment="1">
      <alignment horizontal="center" vertical="center"/>
    </xf>
  </cellXfs>
  <cellStyles count="4">
    <cellStyle name="Calculation" xfId="3" builtinId="22"/>
    <cellStyle name="Good" xfId="1" builtinId="26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solidFill>
                  <a:schemeClr val="tx1"/>
                </a:solidFill>
                <a:effectLst/>
              </a:rPr>
              <a:t>Brake Specific Fuel Consumption (g/Kwh) Against RPM &amp; Torque (Nm)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25"/>
      <c:rotY val="3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6331140449455205E-2"/>
          <c:y val="3.9931429645988482E-2"/>
          <c:w val="0.96679335418649381"/>
          <c:h val="0.88177882199131619"/>
        </c:manualLayout>
      </c:layout>
      <c:surface3DChart>
        <c:wireframe val="0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3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62-4BCD-9780-3813AF5B766A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62-4BCD-9780-3813AF5B766A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62-4BCD-9780-3813AF5B766A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D62-4BCD-9780-3813AF5B766A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D62-4BCD-9780-3813AF5B766A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0000"/>
                  <a:shade val="95000"/>
                </a:schemeClr>
              </a:contourClr>
            </a:sp3d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D62-4BCD-9780-3813AF5B766A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5000"/>
                  <a:shade val="95000"/>
                </a:schemeClr>
              </a:contourClr>
            </a:sp3d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D62-4BCD-9780-3813AF5B766A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0000"/>
                  <a:shade val="95000"/>
                </a:schemeClr>
              </a:contourClr>
            </a:sp3d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D62-4BCD-9780-3813AF5B766A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5000"/>
                  <a:shade val="95000"/>
                </a:schemeClr>
              </a:contourClr>
            </a:sp3d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D62-4BCD-9780-3813AF5B766A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0000"/>
                  <a:shade val="95000"/>
                </a:schemeClr>
              </a:contourClr>
            </a:sp3d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D62-4BCD-9780-3813AF5B766A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5000"/>
                  <a:shade val="95000"/>
                </a:schemeClr>
              </a:contourClr>
            </a:sp3d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D62-4BCD-9780-3813AF5B766A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0000"/>
                  <a:shade val="95000"/>
                </a:schemeClr>
              </a:contourClr>
            </a:sp3d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D62-4BCD-9780-3813AF5B766A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5000"/>
                  <a:shade val="95000"/>
                </a:schemeClr>
              </a:contourClr>
            </a:sp3d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D62-4BCD-9780-3813AF5B766A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</a:schemeClr>
              </a:contourClr>
            </a:sp3d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D62-4BCD-9780-3813AF5B766A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  <a:shade val="95000"/>
                </a:schemeClr>
              </a:contourClr>
            </a:sp3d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D62-4BCD-9780-3813AF5B766A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0000"/>
                  <a:shade val="95000"/>
                </a:schemeClr>
              </a:contourClr>
            </a:sp3d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8D62-4BCD-9780-3813AF5B766A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5000"/>
                  <a:shade val="95000"/>
                </a:schemeClr>
              </a:contourClr>
            </a:sp3d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D62-4BCD-9780-3813AF5B766A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0000"/>
                  <a:shade val="95000"/>
                </a:schemeClr>
              </a:contourClr>
            </a:sp3d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D62-4BCD-9780-3813AF5B766A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5000"/>
                  <a:shade val="95000"/>
                </a:schemeClr>
              </a:contourClr>
            </a:sp3d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D62-4BCD-9780-3813AF5B766A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0000"/>
                  <a:shade val="95000"/>
                </a:schemeClr>
              </a:contourClr>
            </a:sp3d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D62-4BCD-9780-3813AF5B766A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5000"/>
                  <a:shade val="95000"/>
                </a:schemeClr>
              </a:contourClr>
            </a:sp3d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D62-4BCD-9780-3813AF5B766A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0000"/>
                  <a:shade val="95000"/>
                </a:schemeClr>
              </a:contourClr>
            </a:sp3d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D62-4BCD-9780-3813AF5B766A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5000"/>
                  <a:shade val="95000"/>
                </a:schemeClr>
              </a:contourClr>
            </a:sp3d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8D62-4BCD-9780-3813AF5B766A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0000"/>
                  <a:shade val="95000"/>
                </a:schemeClr>
              </a:contourClr>
            </a:sp3d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8D62-4BCD-9780-3813AF5B766A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5000"/>
                  <a:shade val="95000"/>
                </a:schemeClr>
              </a:contourClr>
            </a:sp3d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8D62-4BCD-9780-3813AF5B766A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0000"/>
                  <a:shade val="95000"/>
                </a:schemeClr>
              </a:contourClr>
            </a:sp3d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8D62-4BCD-9780-3813AF5B766A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35000"/>
                  <a:shade val="95000"/>
                </a:schemeClr>
              </a:contourClr>
            </a:sp3d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8D62-4BCD-9780-3813AF5B766A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tint val="54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54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54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54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54000"/>
                    <a:shade val="95000"/>
                  </a:schemeClr>
                </a:contourClr>
              </a:sp3d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tint val="77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77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77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77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77000"/>
                    <a:shade val="95000"/>
                  </a:schemeClr>
                </a:contourClr>
              </a:sp3d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95000"/>
                  </a:schemeClr>
                </a:contourClr>
              </a:sp3d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hade val="76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76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76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76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76000"/>
                    <a:shade val="95000"/>
                  </a:schemeClr>
                </a:contourClr>
              </a:sp3d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</c:bandFmts>
        <c:axId val="316358152"/>
        <c:axId val="316358480"/>
        <c:axId val="583224064"/>
      </c:surface3DChart>
      <c:catAx>
        <c:axId val="316358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TORQUE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(N/M)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BRAKE SPECIFIC FUEL CONSUMPTION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(G/KWH)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9.0192667442070565E-2"/>
              <c:y val="0.5231125461014986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ENGINE RPM </a:t>
                </a:r>
              </a:p>
            </c:rich>
          </c:tx>
          <c:overlay val="0"/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cene3d>
      <a:camera prst="orthographicFront"/>
      <a:lightRig rig="threePt" dir="t"/>
    </a:scene3d>
    <a:sp3d prstMaterial="matte"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>
                <a:solidFill>
                  <a:schemeClr val="tx1"/>
                </a:solidFill>
              </a:rPr>
              <a:t>Brake Specific Fuel Consumption (g/Kwh) Against</a:t>
            </a:r>
            <a:r>
              <a:rPr lang="en-GB" sz="1800" baseline="0">
                <a:solidFill>
                  <a:schemeClr val="tx1"/>
                </a:solidFill>
              </a:rPr>
              <a:t> RPM &amp; Torque (Nm)</a:t>
            </a:r>
          </a:p>
        </c:rich>
      </c:tx>
      <c:layout>
        <c:manualLayout>
          <c:xMode val="edge"/>
          <c:yMode val="edge"/>
          <c:x val="0.19505717795527527"/>
          <c:y val="1.279397888265917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4561582924079129E-2"/>
          <c:y val="5.2725408528647655E-2"/>
          <c:w val="0.88830017885230683"/>
          <c:h val="0.88177882199131619"/>
        </c:manualLayout>
      </c:layout>
      <c:surfaceChart>
        <c:wireframe val="0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3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12-4B8E-B804-5A2D44154E32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12-4B8E-B804-5A2D44154E32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4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12-4B8E-B804-5A2D44154E32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0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12-4B8E-B804-5A2D44154E32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55000"/>
                  <a:shade val="95000"/>
                </a:schemeClr>
              </a:contourClr>
            </a:sp3d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412-4B8E-B804-5A2D44154E32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0000"/>
                  <a:shade val="95000"/>
                </a:schemeClr>
              </a:contourClr>
            </a:sp3d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412-4B8E-B804-5A2D44154E32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65000"/>
                  <a:shade val="95000"/>
                </a:schemeClr>
              </a:contourClr>
            </a:sp3d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412-4B8E-B804-5A2D44154E32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0000"/>
                  <a:shade val="95000"/>
                </a:schemeClr>
              </a:contourClr>
            </a:sp3d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412-4B8E-B804-5A2D44154E32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75000"/>
                  <a:shade val="95000"/>
                </a:schemeClr>
              </a:contourClr>
            </a:sp3d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412-4B8E-B804-5A2D44154E32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0000"/>
                  <a:shade val="95000"/>
                </a:schemeClr>
              </a:contourClr>
            </a:sp3d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412-4B8E-B804-5A2D44154E32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85000"/>
                  <a:shade val="95000"/>
                </a:schemeClr>
              </a:contourClr>
            </a:sp3d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412-4B8E-B804-5A2D44154E32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0000"/>
                  <a:shade val="95000"/>
                </a:schemeClr>
              </a:contourClr>
            </a:sp3d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412-4B8E-B804-5A2D44154E32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tint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tint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tint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tint val="95000"/>
                  <a:shade val="95000"/>
                </a:schemeClr>
              </a:contourClr>
            </a:sp3d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412-4B8E-B804-5A2D44154E32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</a:schemeClr>
              </a:contourClr>
            </a:sp3d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412-4B8E-B804-5A2D44154E32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5000"/>
                  <a:shade val="95000"/>
                </a:schemeClr>
              </a:contourClr>
            </a:sp3d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412-4B8E-B804-5A2D44154E32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9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9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90000"/>
                  <a:shade val="95000"/>
                </a:schemeClr>
              </a:contourClr>
            </a:sp3d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412-4B8E-B804-5A2D44154E32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5000"/>
                  <a:shade val="95000"/>
                </a:schemeClr>
              </a:contourClr>
            </a:sp3d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412-4B8E-B804-5A2D44154E32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8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8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8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80000"/>
                  <a:shade val="95000"/>
                </a:schemeClr>
              </a:contourClr>
            </a:sp3d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412-4B8E-B804-5A2D44154E32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5000"/>
                  <a:shade val="95000"/>
                </a:schemeClr>
              </a:contourClr>
            </a:sp3d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412-4B8E-B804-5A2D44154E32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7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7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7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70000"/>
                  <a:shade val="95000"/>
                </a:schemeClr>
              </a:contourClr>
            </a:sp3d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412-4B8E-B804-5A2D44154E32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5000"/>
                  <a:shade val="95000"/>
                </a:schemeClr>
              </a:contourClr>
            </a:sp3d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412-4B8E-B804-5A2D44154E32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6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6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6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60000"/>
                  <a:shade val="95000"/>
                </a:schemeClr>
              </a:contourClr>
            </a:sp3d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412-4B8E-B804-5A2D44154E32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5000"/>
                  <a:shade val="95000"/>
                </a:schemeClr>
              </a:contourClr>
            </a:sp3d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412-4B8E-B804-5A2D44154E32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5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5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5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50000"/>
                  <a:shade val="95000"/>
                </a:schemeClr>
              </a:contourClr>
            </a:sp3d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412-4B8E-B804-5A2D44154E32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5000"/>
                  <a:shade val="95000"/>
                </a:schemeClr>
              </a:contourClr>
            </a:sp3d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412-4B8E-B804-5A2D44154E32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40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40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40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40000"/>
                  <a:shade val="95000"/>
                </a:schemeClr>
              </a:contourClr>
            </a:sp3d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412-4B8E-B804-5A2D44154E32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35000"/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shade val="35000"/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shade val="35000"/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35000"/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6">
                  <a:shade val="35000"/>
                  <a:shade val="95000"/>
                </a:schemeClr>
              </a:contourClr>
            </a:sp3d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412-4B8E-B804-5A2D44154E32}"/>
            </c:ext>
          </c:extLst>
        </c:ser>
        <c:bandFmts>
          <c:bandFmt>
            <c:idx val="0"/>
            <c:spPr>
              <a:gradFill rotWithShape="1">
                <a:gsLst>
                  <a:gs pos="0">
                    <a:schemeClr val="accent6">
                      <a:tint val="54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54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54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54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54000"/>
                    <a:shade val="95000"/>
                  </a:schemeClr>
                </a:contourClr>
              </a:sp3d>
            </c:spPr>
          </c:bandFmt>
          <c:bandFmt>
            <c:idx val="1"/>
            <c:spPr>
              <a:gradFill rotWithShape="1">
                <a:gsLst>
                  <a:gs pos="0">
                    <a:schemeClr val="accent6">
                      <a:tint val="77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tint val="77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tint val="77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tint val="77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tint val="77000"/>
                    <a:shade val="95000"/>
                  </a:schemeClr>
                </a:contourClr>
              </a:sp3d>
            </c:spPr>
          </c:bandFmt>
          <c:bandFmt>
            <c:idx val="2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95000"/>
                  </a:schemeClr>
                </a:contourClr>
              </a:sp3d>
            </c:spPr>
          </c:bandFmt>
          <c:bandFmt>
            <c:idx val="3"/>
            <c:spPr>
              <a:gradFill rotWithShape="1">
                <a:gsLst>
                  <a:gs pos="0">
                    <a:schemeClr val="accent6">
                      <a:shade val="76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76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76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76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76000"/>
                    <a:shade val="95000"/>
                  </a:schemeClr>
                </a:contourClr>
              </a:sp3d>
            </c:spPr>
          </c:bandFmt>
          <c:bandFmt>
            <c:idx val="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5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6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7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8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9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0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1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2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3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  <c:bandFmt>
            <c:idx val="14"/>
            <c:spPr>
              <a:gradFill rotWithShape="1">
                <a:gsLst>
                  <a:gs pos="0">
                    <a:schemeClr val="accent6">
                      <a:shade val="53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shade val="53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shade val="53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shade val="53000"/>
                    <a:shade val="95000"/>
                  </a:schemeClr>
                </a:contourClr>
              </a:sp3d>
            </c:spPr>
          </c:bandFmt>
        </c:bandFmts>
        <c:axId val="316358152"/>
        <c:axId val="316358480"/>
        <c:axId val="583224064"/>
      </c:surfaceChart>
      <c:catAx>
        <c:axId val="316358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Specific fuel consumption (g/Kwh)</a:t>
                </a:r>
              </a:p>
            </c:rich>
          </c:tx>
          <c:layout>
            <c:manualLayout>
              <c:xMode val="edge"/>
              <c:yMode val="edge"/>
              <c:x val="0.18623349978889608"/>
              <c:y val="0.6688230994561159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 sz="1000" b="1"/>
              </a:p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/>
                  <a:t>eNGINE</a:t>
                </a:r>
                <a:r>
                  <a:rPr lang="en-GB" b="0"/>
                  <a:t> </a:t>
                </a:r>
                <a:r>
                  <a:rPr lang="en-GB" sz="1000" b="0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solidFill>
                  <a:schemeClr val="tx1"/>
                </a:solidFill>
                <a:effectLst/>
              </a:rPr>
              <a:t>Brake Specific Fuel Consumption (g/Kwh) Against RPM &amp; Torque (Nm)</a:t>
            </a:r>
            <a:endParaRPr lang="en-GB">
              <a:solidFill>
                <a:schemeClr val="tx1"/>
              </a:solidFill>
              <a:effectLst/>
            </a:endParaRPr>
          </a:p>
        </c:rich>
      </c:tx>
      <c:layout>
        <c:manualLayout>
          <c:xMode val="edge"/>
          <c:yMode val="edge"/>
          <c:x val="0.23530775854795827"/>
          <c:y val="9.3114238706782527E-3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25"/>
      <c:rotY val="3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6331140449455205E-2"/>
          <c:y val="3.9931429645988482E-2"/>
          <c:w val="0.96679335418649381"/>
          <c:h val="0.88177882199131619"/>
        </c:manualLayout>
      </c:layout>
      <c:surface3DChart>
        <c:wireframe val="1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35000"/>
                  <a:shade val="95000"/>
                </a:schemeClr>
              </a:solidFill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F8-4920-889C-C7ACF89E9269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40000"/>
                  <a:shade val="95000"/>
                </a:schemeClr>
              </a:solidFill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F8-4920-889C-C7ACF89E9269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45000"/>
                  <a:shade val="95000"/>
                </a:schemeClr>
              </a:solidFill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F8-4920-889C-C7ACF89E9269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50000"/>
                  <a:shade val="95000"/>
                </a:schemeClr>
              </a:solidFill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6F8-4920-889C-C7ACF89E9269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55000"/>
                  <a:shade val="95000"/>
                </a:schemeClr>
              </a:solidFill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F8-4920-889C-C7ACF89E9269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60000"/>
                  <a:shade val="95000"/>
                </a:schemeClr>
              </a:solidFill>
              <a:round/>
            </a:ln>
            <a:effectLst/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F8-4920-889C-C7ACF89E9269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65000"/>
                  <a:shade val="95000"/>
                </a:schemeClr>
              </a:solidFill>
              <a:round/>
            </a:ln>
            <a:effectLst/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F8-4920-889C-C7ACF89E9269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70000"/>
                  <a:shade val="95000"/>
                </a:schemeClr>
              </a:solidFill>
              <a:round/>
            </a:ln>
            <a:effectLst/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F8-4920-889C-C7ACF89E9269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75000"/>
                  <a:shade val="95000"/>
                </a:schemeClr>
              </a:solidFill>
              <a:round/>
            </a:ln>
            <a:effectLst/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F8-4920-889C-C7ACF89E9269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80000"/>
                  <a:shade val="95000"/>
                </a:schemeClr>
              </a:solidFill>
              <a:round/>
            </a:ln>
            <a:effectLst/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6F8-4920-889C-C7ACF89E9269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85000"/>
                  <a:shade val="95000"/>
                </a:schemeClr>
              </a:solidFill>
              <a:round/>
            </a:ln>
            <a:effectLst/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6F8-4920-889C-C7ACF89E9269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90000"/>
                  <a:shade val="95000"/>
                </a:schemeClr>
              </a:solidFill>
              <a:round/>
            </a:ln>
            <a:effectLst/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6F8-4920-889C-C7ACF89E9269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ln w="9525" cap="flat" cmpd="sng" algn="ctr">
              <a:solidFill>
                <a:schemeClr val="accent6">
                  <a:tint val="95000"/>
                  <a:shade val="95000"/>
                </a:schemeClr>
              </a:solidFill>
              <a:round/>
            </a:ln>
            <a:effectLst/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6F8-4920-889C-C7ACF89E9269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6F8-4920-889C-C7ACF89E9269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95000"/>
                  <a:shade val="95000"/>
                </a:schemeClr>
              </a:solidFill>
              <a:round/>
            </a:ln>
            <a:effectLst/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6F8-4920-889C-C7ACF89E9269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90000"/>
                  <a:shade val="95000"/>
                </a:schemeClr>
              </a:solidFill>
              <a:round/>
            </a:ln>
            <a:effectLst/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6F8-4920-889C-C7ACF89E9269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85000"/>
                  <a:shade val="95000"/>
                </a:schemeClr>
              </a:solidFill>
              <a:round/>
            </a:ln>
            <a:effectLst/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16F8-4920-889C-C7ACF89E9269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80000"/>
                  <a:shade val="95000"/>
                </a:schemeClr>
              </a:solidFill>
              <a:round/>
            </a:ln>
            <a:effectLst/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6F8-4920-889C-C7ACF89E9269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75000"/>
                  <a:shade val="95000"/>
                </a:schemeClr>
              </a:solidFill>
              <a:round/>
            </a:ln>
            <a:effectLst/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16F8-4920-889C-C7ACF89E9269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70000"/>
                  <a:shade val="95000"/>
                </a:schemeClr>
              </a:solidFill>
              <a:round/>
            </a:ln>
            <a:effectLst/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16F8-4920-889C-C7ACF89E9269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65000"/>
                  <a:shade val="95000"/>
                </a:schemeClr>
              </a:solidFill>
              <a:round/>
            </a:ln>
            <a:effectLst/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16F8-4920-889C-C7ACF89E9269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60000"/>
                  <a:shade val="95000"/>
                </a:schemeClr>
              </a:solidFill>
              <a:round/>
            </a:ln>
            <a:effectLst/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16F8-4920-889C-C7ACF89E9269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55000"/>
                  <a:shade val="95000"/>
                </a:schemeClr>
              </a:solidFill>
              <a:round/>
            </a:ln>
            <a:effectLst/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16F8-4920-889C-C7ACF89E9269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50000"/>
                  <a:shade val="95000"/>
                </a:schemeClr>
              </a:solidFill>
              <a:round/>
            </a:ln>
            <a:effectLst/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16F8-4920-889C-C7ACF89E9269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45000"/>
                  <a:shade val="95000"/>
                </a:schemeClr>
              </a:solidFill>
              <a:round/>
            </a:ln>
            <a:effectLst/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16F8-4920-889C-C7ACF89E9269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40000"/>
                  <a:shade val="95000"/>
                </a:schemeClr>
              </a:solidFill>
              <a:round/>
            </a:ln>
            <a:effectLst/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16F8-4920-889C-C7ACF89E9269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ln w="9525" cap="flat" cmpd="sng" algn="ctr">
              <a:solidFill>
                <a:schemeClr val="accent6">
                  <a:shade val="35000"/>
                  <a:shade val="95000"/>
                </a:schemeClr>
              </a:solidFill>
              <a:round/>
            </a:ln>
            <a:effectLst/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16F8-4920-889C-C7ACF89E9269}"/>
            </c:ext>
          </c:extLst>
        </c:ser>
        <c:bandFmts>
          <c:bandFmt>
            <c:idx val="0"/>
            <c:spPr>
              <a:ln w="9525" cap="flat" cmpd="sng" algn="ctr">
                <a:solidFill>
                  <a:schemeClr val="accent6">
                    <a:tint val="54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1"/>
            <c:spPr>
              <a:ln w="9525" cap="flat" cmpd="sng" algn="ctr">
                <a:solidFill>
                  <a:schemeClr val="accent6">
                    <a:tint val="77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2"/>
            <c:spPr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</c:spPr>
          </c:bandFmt>
          <c:bandFmt>
            <c:idx val="3"/>
            <c:spPr>
              <a:ln w="9525" cap="flat" cmpd="sng" algn="ctr">
                <a:solidFill>
                  <a:schemeClr val="accent6">
                    <a:shade val="76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4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5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6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7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8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9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10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11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12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13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  <c:bandFmt>
            <c:idx val="14"/>
            <c:spPr>
              <a:ln w="9525" cap="flat" cmpd="sng" algn="ctr">
                <a:solidFill>
                  <a:schemeClr val="accent6">
                    <a:shade val="53000"/>
                    <a:shade val="95000"/>
                  </a:schemeClr>
                </a:solidFill>
                <a:round/>
              </a:ln>
              <a:effectLst/>
            </c:spPr>
          </c:bandFmt>
        </c:bandFmts>
        <c:axId val="316358152"/>
        <c:axId val="316358480"/>
        <c:axId val="583224064"/>
      </c:surface3DChart>
      <c:catAx>
        <c:axId val="3163581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TORQU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E (N/M)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BRAKE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SPECIFIC FUEL CONSUMPTION (G/KWH)</a:t>
                </a:r>
                <a:endParaRPr lang="en-GB" sz="900" b="0">
                  <a:solidFill>
                    <a:schemeClr val="bg2">
                      <a:lumMod val="50000"/>
                    </a:schemeClr>
                  </a:solidFill>
                </a:endParaRPr>
              </a:p>
            </c:rich>
          </c:tx>
          <c:layout>
            <c:manualLayout>
              <c:xMode val="edge"/>
              <c:yMode val="edge"/>
              <c:x val="8.9343090532968017E-2"/>
              <c:y val="0.5299666548379812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ENEGINE</a:t>
                </a:r>
                <a:r>
                  <a:rPr lang="en-GB" sz="900" b="0" baseline="0">
                    <a:solidFill>
                      <a:schemeClr val="bg2">
                        <a:lumMod val="50000"/>
                      </a:schemeClr>
                    </a:solidFill>
                  </a:rPr>
                  <a:t> RPM</a:t>
                </a:r>
              </a:p>
            </c:rich>
          </c:tx>
          <c:overlay val="0"/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cene3d>
      <a:camera prst="orthographicFront"/>
      <a:lightRig rig="threePt" dir="t"/>
    </a:scene3d>
    <a:sp3d prstMaterial="matte"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solidFill>
                  <a:schemeClr val="tx1"/>
                </a:solidFill>
                <a:effectLst/>
              </a:rPr>
              <a:t>Brake Specific Fuel Consumption (g/Kwh) Against RPM &amp; Torque (Nm)</a:t>
            </a:r>
            <a:endParaRPr lang="en-GB">
              <a:solidFill>
                <a:schemeClr val="tx1"/>
              </a:solidFill>
              <a:effectLst/>
            </a:endParaRPr>
          </a:p>
        </c:rich>
      </c:tx>
      <c:layout>
        <c:manualLayout>
          <c:xMode val="edge"/>
          <c:yMode val="edge"/>
          <c:x val="0.21535476798961939"/>
          <c:y val="1.279397888265917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90"/>
      <c:rotY val="0"/>
      <c:rAngAx val="0"/>
      <c:perspective val="0"/>
    </c:view3D>
    <c:floor>
      <c:thickness val="0"/>
      <c:spPr>
        <a:noFill/>
        <a:ln w="6350" cap="flat" cmpd="sng" algn="ctr">
          <a:noFill/>
          <a:prstDash val="solid"/>
          <a:round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218225065616798E-2"/>
          <c:y val="5.2725408528647655E-2"/>
          <c:w val="0.92788353018372705"/>
          <c:h val="0.88177882199131619"/>
        </c:manualLayout>
      </c:layout>
      <c:surfaceChart>
        <c:wireframe val="1"/>
        <c:ser>
          <c:idx val="0"/>
          <c:order val="0"/>
          <c:tx>
            <c:strRef>
              <c:f>'BSFC '!$AD$28</c:f>
              <c:strCache>
                <c:ptCount val="1"/>
                <c:pt idx="0">
                  <c:v>7000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'!$AD$10:$AD$27</c:f>
              <c:numCache>
                <c:formatCode>General</c:formatCode>
                <c:ptCount val="18"/>
                <c:pt idx="0">
                  <c:v>586.83989036579999</c:v>
                </c:pt>
                <c:pt idx="1">
                  <c:v>575.17292792579997</c:v>
                </c:pt>
                <c:pt idx="2">
                  <c:v>523.03139252879998</c:v>
                </c:pt>
                <c:pt idx="3">
                  <c:v>515.36511272580003</c:v>
                </c:pt>
                <c:pt idx="4">
                  <c:v>563.87428112580005</c:v>
                </c:pt>
                <c:pt idx="5">
                  <c:v>580.24524944580003</c:v>
                </c:pt>
                <c:pt idx="6">
                  <c:v>585.73753904580008</c:v>
                </c:pt>
                <c:pt idx="7">
                  <c:v>581.11737104579902</c:v>
                </c:pt>
                <c:pt idx="8">
                  <c:v>599.62192256579897</c:v>
                </c:pt>
                <c:pt idx="9">
                  <c:v>681.81471128579994</c:v>
                </c:pt>
                <c:pt idx="10">
                  <c:v>720.49174688580001</c:v>
                </c:pt>
                <c:pt idx="11">
                  <c:v>734.33044784579999</c:v>
                </c:pt>
                <c:pt idx="12">
                  <c:v>794.89721648579996</c:v>
                </c:pt>
                <c:pt idx="13">
                  <c:v>843.55796792579997</c:v>
                </c:pt>
                <c:pt idx="14">
                  <c:v>880.7266138458001</c:v>
                </c:pt>
                <c:pt idx="15">
                  <c:v>910.47253592579989</c:v>
                </c:pt>
                <c:pt idx="16">
                  <c:v>918.99285248579997</c:v>
                </c:pt>
                <c:pt idx="17">
                  <c:v>941.35636904580099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72-4596-9AFF-CBCEB1611802}"/>
            </c:ext>
          </c:extLst>
        </c:ser>
        <c:ser>
          <c:idx val="1"/>
          <c:order val="1"/>
          <c:tx>
            <c:strRef>
              <c:f>'BSFC '!$AC$28</c:f>
              <c:strCache>
                <c:ptCount val="1"/>
                <c:pt idx="0">
                  <c:v>6750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'!$AC$9:$AC$27</c:f>
              <c:numCache>
                <c:formatCode>General</c:formatCode>
                <c:ptCount val="19"/>
                <c:pt idx="0">
                  <c:v>552.97609008580002</c:v>
                </c:pt>
                <c:pt idx="1">
                  <c:v>545.02420992579994</c:v>
                </c:pt>
                <c:pt idx="2">
                  <c:v>540.1652467258001</c:v>
                </c:pt>
                <c:pt idx="3">
                  <c:v>497.07932496580008</c:v>
                </c:pt>
                <c:pt idx="4">
                  <c:v>482.2688313658</c:v>
                </c:pt>
                <c:pt idx="5">
                  <c:v>508.14748248579991</c:v>
                </c:pt>
                <c:pt idx="6">
                  <c:v>534.02613360579983</c:v>
                </c:pt>
                <c:pt idx="7">
                  <c:v>559.9047847257998</c:v>
                </c:pt>
                <c:pt idx="8">
                  <c:v>566.51344188579969</c:v>
                </c:pt>
                <c:pt idx="9">
                  <c:v>573.1220990457997</c:v>
                </c:pt>
                <c:pt idx="10">
                  <c:v>630.11213088580007</c:v>
                </c:pt>
                <c:pt idx="11">
                  <c:v>665.69469216580001</c:v>
                </c:pt>
                <c:pt idx="12">
                  <c:v>675.8144174457999</c:v>
                </c:pt>
                <c:pt idx="13">
                  <c:v>755.89698336579988</c:v>
                </c:pt>
                <c:pt idx="14">
                  <c:v>818.83301568579998</c:v>
                </c:pt>
                <c:pt idx="15">
                  <c:v>865.84984386580004</c:v>
                </c:pt>
                <c:pt idx="16">
                  <c:v>912.86667204579999</c:v>
                </c:pt>
                <c:pt idx="17">
                  <c:v>943.96429608580013</c:v>
                </c:pt>
                <c:pt idx="18">
                  <c:v>975.06192012580038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72-4596-9AFF-CBCEB1611802}"/>
            </c:ext>
          </c:extLst>
        </c:ser>
        <c:ser>
          <c:idx val="2"/>
          <c:order val="2"/>
          <c:tx>
            <c:strRef>
              <c:f>'BSFC '!$AB$28</c:f>
              <c:strCache>
                <c:ptCount val="1"/>
                <c:pt idx="0">
                  <c:v>6500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'!$AB$8:$AB$27</c:f>
              <c:numCache>
                <c:formatCode>General</c:formatCode>
                <c:ptCount val="20"/>
                <c:pt idx="0">
                  <c:v>546.90840128579998</c:v>
                </c:pt>
                <c:pt idx="1">
                  <c:v>533.40609008579997</c:v>
                </c:pt>
                <c:pt idx="2">
                  <c:v>525.45420992579989</c:v>
                </c:pt>
                <c:pt idx="3">
                  <c:v>520.59524672580005</c:v>
                </c:pt>
                <c:pt idx="4">
                  <c:v>477.50932496580009</c:v>
                </c:pt>
                <c:pt idx="5">
                  <c:v>462.6988313658</c:v>
                </c:pt>
                <c:pt idx="6">
                  <c:v>488.57748248579992</c:v>
                </c:pt>
                <c:pt idx="7">
                  <c:v>514.45613360579978</c:v>
                </c:pt>
                <c:pt idx="8">
                  <c:v>540.33478472579975</c:v>
                </c:pt>
                <c:pt idx="9">
                  <c:v>546.94344188579976</c:v>
                </c:pt>
                <c:pt idx="10">
                  <c:v>553.55209904579965</c:v>
                </c:pt>
                <c:pt idx="11">
                  <c:v>610.54213088580013</c:v>
                </c:pt>
                <c:pt idx="12">
                  <c:v>646.12469216580007</c:v>
                </c:pt>
                <c:pt idx="13">
                  <c:v>656.24441744579997</c:v>
                </c:pt>
                <c:pt idx="14">
                  <c:v>736.32698336579983</c:v>
                </c:pt>
                <c:pt idx="15">
                  <c:v>799.26301568579993</c:v>
                </c:pt>
                <c:pt idx="16">
                  <c:v>846.27984386579999</c:v>
                </c:pt>
                <c:pt idx="17">
                  <c:v>893.29667204579994</c:v>
                </c:pt>
                <c:pt idx="18">
                  <c:v>924.39429608580019</c:v>
                </c:pt>
                <c:pt idx="19">
                  <c:v>955.49192012580045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72-4596-9AFF-CBCEB1611802}"/>
            </c:ext>
          </c:extLst>
        </c:ser>
        <c:ser>
          <c:idx val="3"/>
          <c:order val="3"/>
          <c:tx>
            <c:strRef>
              <c:f>'BSFC '!$AA$28</c:f>
              <c:strCache>
                <c:ptCount val="1"/>
                <c:pt idx="0">
                  <c:v>6250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'!$AA$8:$AA$27</c:f>
              <c:numCache>
                <c:formatCode>General</c:formatCode>
                <c:ptCount val="20"/>
                <c:pt idx="0">
                  <c:v>525.75212712580003</c:v>
                </c:pt>
                <c:pt idx="1">
                  <c:v>507.29741112579995</c:v>
                </c:pt>
                <c:pt idx="2">
                  <c:v>468.07062744580008</c:v>
                </c:pt>
                <c:pt idx="3">
                  <c:v>428.84384376580005</c:v>
                </c:pt>
                <c:pt idx="4">
                  <c:v>393.39340501480001</c:v>
                </c:pt>
                <c:pt idx="5">
                  <c:v>386.35906296580015</c:v>
                </c:pt>
                <c:pt idx="6">
                  <c:v>381.04846536580015</c:v>
                </c:pt>
                <c:pt idx="7">
                  <c:v>375.73786776580022</c:v>
                </c:pt>
                <c:pt idx="8">
                  <c:v>370.42727016580017</c:v>
                </c:pt>
                <c:pt idx="9">
                  <c:v>365.11667256580029</c:v>
                </c:pt>
                <c:pt idx="10">
                  <c:v>484.60979064579999</c:v>
                </c:pt>
                <c:pt idx="11">
                  <c:v>565.9273430457996</c:v>
                </c:pt>
                <c:pt idx="12">
                  <c:v>614.82066024580013</c:v>
                </c:pt>
                <c:pt idx="13">
                  <c:v>667.7272941658</c:v>
                </c:pt>
                <c:pt idx="14">
                  <c:v>709.37421528580001</c:v>
                </c:pt>
                <c:pt idx="15">
                  <c:v>783.88921920579992</c:v>
                </c:pt>
                <c:pt idx="16">
                  <c:v>858.40422312580006</c:v>
                </c:pt>
                <c:pt idx="17">
                  <c:v>910.65105552580019</c:v>
                </c:pt>
                <c:pt idx="18">
                  <c:v>962.89788792580055</c:v>
                </c:pt>
                <c:pt idx="19">
                  <c:v>1015.1447203258006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72-4596-9AFF-CBCEB1611802}"/>
            </c:ext>
          </c:extLst>
        </c:ser>
        <c:ser>
          <c:idx val="4"/>
          <c:order val="4"/>
          <c:tx>
            <c:strRef>
              <c:f>'BSFC '!$Z$28</c:f>
              <c:strCache>
                <c:ptCount val="1"/>
                <c:pt idx="0">
                  <c:v>6000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cat>
            <c:numRef>
              <c:f>'BSFC '!$B$30:$B$52</c:f>
              <c:numCache>
                <c:formatCode>General</c:formatCode>
                <c:ptCount val="23"/>
                <c:pt idx="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</c:numCache>
            </c:numRef>
          </c:cat>
          <c:val>
            <c:numRef>
              <c:f>'BSFC '!$Z$7:$Z$27</c:f>
              <c:numCache>
                <c:formatCode>General</c:formatCode>
                <c:ptCount val="21"/>
                <c:pt idx="0">
                  <c:v>508.57865696580006</c:v>
                </c:pt>
                <c:pt idx="1">
                  <c:v>495.50617712580004</c:v>
                </c:pt>
                <c:pt idx="2">
                  <c:v>477.05146112579996</c:v>
                </c:pt>
                <c:pt idx="3">
                  <c:v>437.82467744580009</c:v>
                </c:pt>
                <c:pt idx="4">
                  <c:v>398.59789376580005</c:v>
                </c:pt>
                <c:pt idx="5">
                  <c:v>363.14745501479996</c:v>
                </c:pt>
                <c:pt idx="6">
                  <c:v>356.11311296580016</c:v>
                </c:pt>
                <c:pt idx="7">
                  <c:v>350.8025153658001</c:v>
                </c:pt>
                <c:pt idx="8">
                  <c:v>345.49191776580017</c:v>
                </c:pt>
                <c:pt idx="9">
                  <c:v>340.18132016580017</c:v>
                </c:pt>
                <c:pt idx="10">
                  <c:v>334.87072256580029</c:v>
                </c:pt>
                <c:pt idx="11">
                  <c:v>454.36384064579994</c:v>
                </c:pt>
                <c:pt idx="12">
                  <c:v>535.68139304579961</c:v>
                </c:pt>
                <c:pt idx="13">
                  <c:v>584.57471024580013</c:v>
                </c:pt>
                <c:pt idx="14">
                  <c:v>637.48134416580001</c:v>
                </c:pt>
                <c:pt idx="15">
                  <c:v>679.12826528580001</c:v>
                </c:pt>
                <c:pt idx="16">
                  <c:v>753.64326920579992</c:v>
                </c:pt>
                <c:pt idx="17">
                  <c:v>828.15827312580006</c:v>
                </c:pt>
                <c:pt idx="18">
                  <c:v>880.4051055258002</c:v>
                </c:pt>
                <c:pt idx="19">
                  <c:v>932.65193792580044</c:v>
                </c:pt>
                <c:pt idx="20">
                  <c:v>984.89877032580057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72-4596-9AFF-CBCEB1611802}"/>
            </c:ext>
          </c:extLst>
        </c:ser>
        <c:ser>
          <c:idx val="5"/>
          <c:order val="5"/>
          <c:tx>
            <c:strRef>
              <c:f>'BSFC '!$Y$28</c:f>
              <c:strCache>
                <c:ptCount val="1"/>
                <c:pt idx="0">
                  <c:v>5750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'!$Y$6:$Y$27</c:f>
              <c:numCache>
                <c:formatCode>General</c:formatCode>
                <c:ptCount val="22"/>
                <c:pt idx="0">
                  <c:v>498.27742508580008</c:v>
                </c:pt>
                <c:pt idx="1">
                  <c:v>474.61567592580013</c:v>
                </c:pt>
                <c:pt idx="2">
                  <c:v>450.95392676580002</c:v>
                </c:pt>
                <c:pt idx="3">
                  <c:v>427.29217760580013</c:v>
                </c:pt>
                <c:pt idx="4">
                  <c:v>415.46130302580013</c:v>
                </c:pt>
                <c:pt idx="5">
                  <c:v>403.63042844580013</c:v>
                </c:pt>
                <c:pt idx="6">
                  <c:v>377.94566864580003</c:v>
                </c:pt>
                <c:pt idx="7">
                  <c:v>356.30693012580002</c:v>
                </c:pt>
                <c:pt idx="8">
                  <c:v>332.64518096579997</c:v>
                </c:pt>
                <c:pt idx="9">
                  <c:v>357.19073192580009</c:v>
                </c:pt>
                <c:pt idx="10">
                  <c:v>398.05430096580005</c:v>
                </c:pt>
                <c:pt idx="11">
                  <c:v>415.54656848580015</c:v>
                </c:pt>
                <c:pt idx="12">
                  <c:v>460.75361456580009</c:v>
                </c:pt>
                <c:pt idx="13">
                  <c:v>492.10327136580003</c:v>
                </c:pt>
                <c:pt idx="14">
                  <c:v>529.69949912579978</c:v>
                </c:pt>
                <c:pt idx="15">
                  <c:v>555.63421520579993</c:v>
                </c:pt>
                <c:pt idx="16">
                  <c:v>645.7726546458</c:v>
                </c:pt>
                <c:pt idx="17">
                  <c:v>735.91109408579985</c:v>
                </c:pt>
                <c:pt idx="18">
                  <c:v>811.44928352579996</c:v>
                </c:pt>
                <c:pt idx="19">
                  <c:v>886.98747296580007</c:v>
                </c:pt>
                <c:pt idx="20">
                  <c:v>962.52566240579995</c:v>
                </c:pt>
                <c:pt idx="21">
                  <c:v>1017.2990518458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E72-4596-9AFF-CBCEB1611802}"/>
            </c:ext>
          </c:extLst>
        </c:ser>
        <c:ser>
          <c:idx val="6"/>
          <c:order val="6"/>
          <c:tx>
            <c:strRef>
              <c:f>'BSFC '!$X$28</c:f>
              <c:strCache>
                <c:ptCount val="1"/>
                <c:pt idx="0">
                  <c:v>5500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0000"/>
                </a:schemeClr>
              </a:solidFill>
              <a:prstDash val="solid"/>
              <a:round/>
            </a:ln>
            <a:effectLst/>
          </c:spPr>
          <c:val>
            <c:numRef>
              <c:f>'BSFC '!$X$5:$X$27</c:f>
              <c:numCache>
                <c:formatCode>General</c:formatCode>
                <c:ptCount val="23"/>
                <c:pt idx="0">
                  <c:v>496.03879424580009</c:v>
                </c:pt>
                <c:pt idx="1">
                  <c:v>472.37704508580003</c:v>
                </c:pt>
                <c:pt idx="2">
                  <c:v>448.71529592580009</c:v>
                </c:pt>
                <c:pt idx="3">
                  <c:v>425.05354676580004</c:v>
                </c:pt>
                <c:pt idx="4">
                  <c:v>401.39179760580015</c:v>
                </c:pt>
                <c:pt idx="5">
                  <c:v>389.56092302580015</c:v>
                </c:pt>
                <c:pt idx="6">
                  <c:v>377.73004844580009</c:v>
                </c:pt>
                <c:pt idx="7">
                  <c:v>352.04528864579999</c:v>
                </c:pt>
                <c:pt idx="8">
                  <c:v>330.40655012580004</c:v>
                </c:pt>
                <c:pt idx="9">
                  <c:v>306.74480096579998</c:v>
                </c:pt>
                <c:pt idx="10">
                  <c:v>331.29035192580005</c:v>
                </c:pt>
                <c:pt idx="11">
                  <c:v>372.15392096580001</c:v>
                </c:pt>
                <c:pt idx="12">
                  <c:v>389.64618848580011</c:v>
                </c:pt>
                <c:pt idx="13">
                  <c:v>434.85323456580005</c:v>
                </c:pt>
                <c:pt idx="14">
                  <c:v>466.20289136579999</c:v>
                </c:pt>
                <c:pt idx="15">
                  <c:v>503.79911912579979</c:v>
                </c:pt>
                <c:pt idx="16">
                  <c:v>529.73383520580001</c:v>
                </c:pt>
                <c:pt idx="17">
                  <c:v>619.87227464579996</c:v>
                </c:pt>
                <c:pt idx="18">
                  <c:v>710.01071408579992</c:v>
                </c:pt>
                <c:pt idx="19">
                  <c:v>785.54890352580003</c:v>
                </c:pt>
                <c:pt idx="20">
                  <c:v>861.08709296580003</c:v>
                </c:pt>
                <c:pt idx="21">
                  <c:v>936.62528240580002</c:v>
                </c:pt>
                <c:pt idx="22">
                  <c:v>991.39867184579998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E72-4596-9AFF-CBCEB1611802}"/>
            </c:ext>
          </c:extLst>
        </c:ser>
        <c:ser>
          <c:idx val="7"/>
          <c:order val="7"/>
          <c:tx>
            <c:strRef>
              <c:f>'BSFC '!$W$28</c:f>
              <c:strCache>
                <c:ptCount val="1"/>
                <c:pt idx="0">
                  <c:v>5250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val>
            <c:numRef>
              <c:f>'BSFC '!$W$6:$W$27</c:f>
              <c:numCache>
                <c:formatCode>General</c:formatCode>
                <c:ptCount val="22"/>
                <c:pt idx="0">
                  <c:v>502.51704928580006</c:v>
                </c:pt>
                <c:pt idx="1">
                  <c:v>492.96731776579998</c:v>
                </c:pt>
                <c:pt idx="2">
                  <c:v>472.68114640580006</c:v>
                </c:pt>
                <c:pt idx="3">
                  <c:v>455.60002192579998</c:v>
                </c:pt>
                <c:pt idx="4">
                  <c:v>422.07161848580006</c:v>
                </c:pt>
                <c:pt idx="5">
                  <c:v>392.14383136579994</c:v>
                </c:pt>
                <c:pt idx="6">
                  <c:v>371.08209472579995</c:v>
                </c:pt>
                <c:pt idx="7">
                  <c:v>350.02035808580001</c:v>
                </c:pt>
                <c:pt idx="8">
                  <c:v>328.95862144579996</c:v>
                </c:pt>
                <c:pt idx="9">
                  <c:v>309.60686608579999</c:v>
                </c:pt>
                <c:pt idx="10">
                  <c:v>373.27330024579999</c:v>
                </c:pt>
                <c:pt idx="11">
                  <c:v>396.80345248580005</c:v>
                </c:pt>
                <c:pt idx="12">
                  <c:v>420.33360472580006</c:v>
                </c:pt>
                <c:pt idx="13">
                  <c:v>443.86375696580012</c:v>
                </c:pt>
                <c:pt idx="14">
                  <c:v>490.23882304580002</c:v>
                </c:pt>
                <c:pt idx="15">
                  <c:v>536.61388912580014</c:v>
                </c:pt>
                <c:pt idx="16">
                  <c:v>631.19547664579989</c:v>
                </c:pt>
                <c:pt idx="17">
                  <c:v>708.77069296579998</c:v>
                </c:pt>
                <c:pt idx="18">
                  <c:v>786.34590928579996</c:v>
                </c:pt>
                <c:pt idx="19">
                  <c:v>872.45338192580004</c:v>
                </c:pt>
                <c:pt idx="20">
                  <c:v>958.56085456579979</c:v>
                </c:pt>
                <c:pt idx="21">
                  <c:v>1023.9035272057997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E72-4596-9AFF-CBCEB1611802}"/>
            </c:ext>
          </c:extLst>
        </c:ser>
        <c:ser>
          <c:idx val="8"/>
          <c:order val="8"/>
          <c:tx>
            <c:strRef>
              <c:f>'BSFC '!$V$28</c:f>
              <c:strCache>
                <c:ptCount val="1"/>
                <c:pt idx="0">
                  <c:v>5000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val>
            <c:numRef>
              <c:f>'BSFC '!$V$6:$V$27</c:f>
              <c:numCache>
                <c:formatCode>General</c:formatCode>
                <c:ptCount val="22"/>
                <c:pt idx="0">
                  <c:v>509.99896928580006</c:v>
                </c:pt>
                <c:pt idx="1">
                  <c:v>500.44923776579998</c:v>
                </c:pt>
                <c:pt idx="2">
                  <c:v>480.16306640580012</c:v>
                </c:pt>
                <c:pt idx="3">
                  <c:v>463.08194192579998</c:v>
                </c:pt>
                <c:pt idx="4">
                  <c:v>429.55353848580006</c:v>
                </c:pt>
                <c:pt idx="5">
                  <c:v>399.62575136579994</c:v>
                </c:pt>
                <c:pt idx="6">
                  <c:v>378.56401472579995</c:v>
                </c:pt>
                <c:pt idx="7">
                  <c:v>357.50227808580001</c:v>
                </c:pt>
                <c:pt idx="8">
                  <c:v>336.44054144579997</c:v>
                </c:pt>
                <c:pt idx="9">
                  <c:v>317.08878608580005</c:v>
                </c:pt>
                <c:pt idx="10">
                  <c:v>380.75522024579999</c:v>
                </c:pt>
                <c:pt idx="11">
                  <c:v>404.28537248580005</c:v>
                </c:pt>
                <c:pt idx="12">
                  <c:v>427.81552472580012</c:v>
                </c:pt>
                <c:pt idx="13">
                  <c:v>451.34567696580018</c:v>
                </c:pt>
                <c:pt idx="14">
                  <c:v>497.72074304580002</c:v>
                </c:pt>
                <c:pt idx="15">
                  <c:v>544.09580912580009</c:v>
                </c:pt>
                <c:pt idx="16">
                  <c:v>638.67739664579983</c:v>
                </c:pt>
                <c:pt idx="17">
                  <c:v>716.25261296579993</c:v>
                </c:pt>
                <c:pt idx="18">
                  <c:v>793.82782928579991</c:v>
                </c:pt>
                <c:pt idx="19">
                  <c:v>879.93530192579999</c:v>
                </c:pt>
                <c:pt idx="20">
                  <c:v>966.04277456579973</c:v>
                </c:pt>
                <c:pt idx="21">
                  <c:v>1031.3854472057997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E72-4596-9AFF-CBCEB1611802}"/>
            </c:ext>
          </c:extLst>
        </c:ser>
        <c:ser>
          <c:idx val="9"/>
          <c:order val="9"/>
          <c:tx>
            <c:strRef>
              <c:f>'BSFC '!$U$28</c:f>
              <c:strCache>
                <c:ptCount val="1"/>
                <c:pt idx="0">
                  <c:v>4750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val>
            <c:numRef>
              <c:f>'BSFC '!$U$7:$U$27</c:f>
              <c:numCache>
                <c:formatCode>General</c:formatCode>
                <c:ptCount val="21"/>
                <c:pt idx="0">
                  <c:v>514.46308816579995</c:v>
                </c:pt>
                <c:pt idx="1">
                  <c:v>508.91265712580002</c:v>
                </c:pt>
                <c:pt idx="2">
                  <c:v>499.12932160579993</c:v>
                </c:pt>
                <c:pt idx="3">
                  <c:v>483.3844120057999</c:v>
                </c:pt>
                <c:pt idx="4">
                  <c:v>473.75914852580001</c:v>
                </c:pt>
                <c:pt idx="5">
                  <c:v>468.63286448180003</c:v>
                </c:pt>
                <c:pt idx="6">
                  <c:v>432.31974562580001</c:v>
                </c:pt>
                <c:pt idx="7">
                  <c:v>407.80884592580009</c:v>
                </c:pt>
                <c:pt idx="8">
                  <c:v>457.08060160579998</c:v>
                </c:pt>
                <c:pt idx="9">
                  <c:v>463.57245676580004</c:v>
                </c:pt>
                <c:pt idx="10">
                  <c:v>502.17551776580001</c:v>
                </c:pt>
                <c:pt idx="11">
                  <c:v>525.20887216580013</c:v>
                </c:pt>
                <c:pt idx="12">
                  <c:v>522.98284504955018</c:v>
                </c:pt>
                <c:pt idx="13">
                  <c:v>561.71778280767512</c:v>
                </c:pt>
                <c:pt idx="14">
                  <c:v>600.45272056580006</c:v>
                </c:pt>
                <c:pt idx="15">
                  <c:v>665.13143872580008</c:v>
                </c:pt>
                <c:pt idx="16">
                  <c:v>729.8101568858001</c:v>
                </c:pt>
                <c:pt idx="17">
                  <c:v>794.48887504580011</c:v>
                </c:pt>
                <c:pt idx="18">
                  <c:v>891.16563088579994</c:v>
                </c:pt>
                <c:pt idx="19">
                  <c:v>987.84238672579977</c:v>
                </c:pt>
                <c:pt idx="20">
                  <c:v>1063.7543425657998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E72-4596-9AFF-CBCEB1611802}"/>
            </c:ext>
          </c:extLst>
        </c:ser>
        <c:ser>
          <c:idx val="10"/>
          <c:order val="10"/>
          <c:tx>
            <c:strRef>
              <c:f>'BSFC '!$T$28</c:f>
              <c:strCache>
                <c:ptCount val="1"/>
                <c:pt idx="0">
                  <c:v>4500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val>
            <c:numRef>
              <c:f>'BSFC '!$T$7:$T$27</c:f>
              <c:numCache>
                <c:formatCode>General</c:formatCode>
                <c:ptCount val="21"/>
                <c:pt idx="0">
                  <c:v>522.08096816579996</c:v>
                </c:pt>
                <c:pt idx="1">
                  <c:v>516.53053712580004</c:v>
                </c:pt>
                <c:pt idx="2">
                  <c:v>506.74720160579994</c:v>
                </c:pt>
                <c:pt idx="3">
                  <c:v>491.00229200579992</c:v>
                </c:pt>
                <c:pt idx="4">
                  <c:v>481.37702852580003</c:v>
                </c:pt>
                <c:pt idx="5">
                  <c:v>476.25074448180004</c:v>
                </c:pt>
                <c:pt idx="6">
                  <c:v>439.93762562580002</c:v>
                </c:pt>
                <c:pt idx="7">
                  <c:v>415.4267259258001</c:v>
                </c:pt>
                <c:pt idx="8">
                  <c:v>464.6984816058</c:v>
                </c:pt>
                <c:pt idx="9">
                  <c:v>471.19033676580005</c:v>
                </c:pt>
                <c:pt idx="10">
                  <c:v>509.79339776580002</c:v>
                </c:pt>
                <c:pt idx="11">
                  <c:v>532.82675216580014</c:v>
                </c:pt>
                <c:pt idx="12">
                  <c:v>530.60072504955019</c:v>
                </c:pt>
                <c:pt idx="13">
                  <c:v>569.33566280767502</c:v>
                </c:pt>
                <c:pt idx="14">
                  <c:v>608.07060056579996</c:v>
                </c:pt>
                <c:pt idx="15">
                  <c:v>672.74931872580009</c:v>
                </c:pt>
                <c:pt idx="16">
                  <c:v>737.42803688580011</c:v>
                </c:pt>
                <c:pt idx="17">
                  <c:v>802.10675504580001</c:v>
                </c:pt>
                <c:pt idx="18">
                  <c:v>898.78351088579984</c:v>
                </c:pt>
                <c:pt idx="19">
                  <c:v>995.46026672579967</c:v>
                </c:pt>
                <c:pt idx="20">
                  <c:v>1071.3722225657996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E72-4596-9AFF-CBCEB1611802}"/>
            </c:ext>
          </c:extLst>
        </c:ser>
        <c:ser>
          <c:idx val="11"/>
          <c:order val="11"/>
          <c:tx>
            <c:strRef>
              <c:f>'BSFC '!$S$28</c:f>
              <c:strCache>
                <c:ptCount val="1"/>
                <c:pt idx="0">
                  <c:v>4250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val>
            <c:numRef>
              <c:f>'BSFC '!$S$8:$S$27</c:f>
              <c:numCache>
                <c:formatCode>General</c:formatCode>
                <c:ptCount val="20"/>
                <c:pt idx="0">
                  <c:v>529.92053712580002</c:v>
                </c:pt>
                <c:pt idx="1">
                  <c:v>520.13720160579999</c:v>
                </c:pt>
                <c:pt idx="2">
                  <c:v>504.39229200579996</c:v>
                </c:pt>
                <c:pt idx="3">
                  <c:v>494.76702852580007</c:v>
                </c:pt>
                <c:pt idx="4">
                  <c:v>489.64074448180003</c:v>
                </c:pt>
                <c:pt idx="5">
                  <c:v>453.32762562580001</c:v>
                </c:pt>
                <c:pt idx="6">
                  <c:v>428.81672592580009</c:v>
                </c:pt>
                <c:pt idx="7">
                  <c:v>478.08848160579998</c:v>
                </c:pt>
                <c:pt idx="8">
                  <c:v>484.58033676580004</c:v>
                </c:pt>
                <c:pt idx="9">
                  <c:v>523.18339776580001</c:v>
                </c:pt>
                <c:pt idx="10">
                  <c:v>546.21675216580013</c:v>
                </c:pt>
                <c:pt idx="11">
                  <c:v>543.99072504955018</c:v>
                </c:pt>
                <c:pt idx="12">
                  <c:v>582.72566280767501</c:v>
                </c:pt>
                <c:pt idx="13">
                  <c:v>621.46060056579995</c:v>
                </c:pt>
                <c:pt idx="14">
                  <c:v>686.13931872580008</c:v>
                </c:pt>
                <c:pt idx="15">
                  <c:v>750.8180368858001</c:v>
                </c:pt>
                <c:pt idx="16">
                  <c:v>815.4967550458</c:v>
                </c:pt>
                <c:pt idx="17">
                  <c:v>912.17351088579983</c:v>
                </c:pt>
                <c:pt idx="18">
                  <c:v>1008.8502667257997</c:v>
                </c:pt>
                <c:pt idx="19">
                  <c:v>1084.7622225657997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E72-4596-9AFF-CBCEB1611802}"/>
            </c:ext>
          </c:extLst>
        </c:ser>
        <c:ser>
          <c:idx val="12"/>
          <c:order val="12"/>
          <c:tx>
            <c:strRef>
              <c:f>'BSFC '!$R$28</c:f>
              <c:strCache>
                <c:ptCount val="1"/>
                <c:pt idx="0">
                  <c:v>4000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'!$R$9:$R$27</c:f>
              <c:numCache>
                <c:formatCode>General</c:formatCode>
                <c:ptCount val="19"/>
                <c:pt idx="0">
                  <c:v>532.62718760579992</c:v>
                </c:pt>
                <c:pt idx="1">
                  <c:v>527.23520682180003</c:v>
                </c:pt>
                <c:pt idx="2">
                  <c:v>530.21786269379993</c:v>
                </c:pt>
                <c:pt idx="3">
                  <c:v>533.20051856580005</c:v>
                </c:pt>
                <c:pt idx="4">
                  <c:v>513.95184097080005</c:v>
                </c:pt>
                <c:pt idx="5">
                  <c:v>494.70316337580005</c:v>
                </c:pt>
                <c:pt idx="6">
                  <c:v>498.06180488579992</c:v>
                </c:pt>
                <c:pt idx="7">
                  <c:v>511.35737654579998</c:v>
                </c:pt>
                <c:pt idx="8">
                  <c:v>537.63899456580009</c:v>
                </c:pt>
                <c:pt idx="9">
                  <c:v>578.40654262830014</c:v>
                </c:pt>
                <c:pt idx="10">
                  <c:v>581.9206585504877</c:v>
                </c:pt>
                <c:pt idx="11">
                  <c:v>632.44739696954991</c:v>
                </c:pt>
                <c:pt idx="12">
                  <c:v>655.03902080579996</c:v>
                </c:pt>
                <c:pt idx="13">
                  <c:v>706.82124080580002</c:v>
                </c:pt>
                <c:pt idx="14">
                  <c:v>758.60346080579995</c:v>
                </c:pt>
                <c:pt idx="15">
                  <c:v>810.38568080580001</c:v>
                </c:pt>
                <c:pt idx="16">
                  <c:v>917.63171984579969</c:v>
                </c:pt>
                <c:pt idx="17">
                  <c:v>1024.8777588857997</c:v>
                </c:pt>
                <c:pt idx="18">
                  <c:v>1111.6310168058003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E72-4596-9AFF-CBCEB1611802}"/>
            </c:ext>
          </c:extLst>
        </c:ser>
        <c:ser>
          <c:idx val="13"/>
          <c:order val="13"/>
          <c:tx>
            <c:strRef>
              <c:f>'BSFC '!$Q$28</c:f>
              <c:strCache>
                <c:ptCount val="1"/>
                <c:pt idx="0">
                  <c:v>3750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0000"/>
                </a:schemeClr>
              </a:solidFill>
              <a:prstDash val="solid"/>
              <a:round/>
            </a:ln>
            <a:effectLst/>
          </c:spPr>
          <c:val>
            <c:numRef>
              <c:f>'BSFC '!$Q$9:$Q$27</c:f>
              <c:numCache>
                <c:formatCode>General</c:formatCode>
                <c:ptCount val="19"/>
                <c:pt idx="0">
                  <c:v>533.79035094979997</c:v>
                </c:pt>
                <c:pt idx="1">
                  <c:v>536.7730068218001</c:v>
                </c:pt>
                <c:pt idx="2">
                  <c:v>539.75566269379999</c:v>
                </c:pt>
                <c:pt idx="3">
                  <c:v>542.7383185658</c:v>
                </c:pt>
                <c:pt idx="4">
                  <c:v>523.4896409708</c:v>
                </c:pt>
                <c:pt idx="5">
                  <c:v>504.24096337580005</c:v>
                </c:pt>
                <c:pt idx="6">
                  <c:v>507.59960488579992</c:v>
                </c:pt>
                <c:pt idx="7">
                  <c:v>520.89517654580004</c:v>
                </c:pt>
                <c:pt idx="8">
                  <c:v>547.17679456580004</c:v>
                </c:pt>
                <c:pt idx="9">
                  <c:v>587.94434262830009</c:v>
                </c:pt>
                <c:pt idx="10">
                  <c:v>591.45845855048765</c:v>
                </c:pt>
                <c:pt idx="11">
                  <c:v>641.98519696954997</c:v>
                </c:pt>
                <c:pt idx="12">
                  <c:v>664.57682080580003</c:v>
                </c:pt>
                <c:pt idx="13">
                  <c:v>716.35904080579996</c:v>
                </c:pt>
                <c:pt idx="14">
                  <c:v>768.14126080580002</c:v>
                </c:pt>
                <c:pt idx="15">
                  <c:v>819.92348080579995</c:v>
                </c:pt>
                <c:pt idx="16">
                  <c:v>927.16951984579975</c:v>
                </c:pt>
                <c:pt idx="17">
                  <c:v>1034.4155588857996</c:v>
                </c:pt>
                <c:pt idx="18">
                  <c:v>1121.1688168058004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E72-4596-9AFF-CBCEB1611802}"/>
            </c:ext>
          </c:extLst>
        </c:ser>
        <c:ser>
          <c:idx val="14"/>
          <c:order val="14"/>
          <c:tx>
            <c:strRef>
              <c:f>'BSFC '!$P$28</c:f>
              <c:strCache>
                <c:ptCount val="1"/>
                <c:pt idx="0">
                  <c:v>3500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val>
            <c:numRef>
              <c:f>'BSFC '!$P$9:$P$27</c:f>
              <c:numCache>
                <c:formatCode>General</c:formatCode>
                <c:ptCount val="19"/>
                <c:pt idx="0">
                  <c:v>534.16371457859987</c:v>
                </c:pt>
                <c:pt idx="1">
                  <c:v>537.98996121539994</c:v>
                </c:pt>
                <c:pt idx="2">
                  <c:v>541.81620785220014</c:v>
                </c:pt>
                <c:pt idx="3">
                  <c:v>532.1293040633999</c:v>
                </c:pt>
                <c:pt idx="4">
                  <c:v>522.44240027459989</c:v>
                </c:pt>
                <c:pt idx="5">
                  <c:v>512.75549648579999</c:v>
                </c:pt>
                <c:pt idx="6">
                  <c:v>531.42512816579995</c:v>
                </c:pt>
                <c:pt idx="7">
                  <c:v>551.52441632580008</c:v>
                </c:pt>
                <c:pt idx="8">
                  <c:v>565.48459136579993</c:v>
                </c:pt>
                <c:pt idx="9">
                  <c:v>623.98633309079992</c:v>
                </c:pt>
                <c:pt idx="10">
                  <c:v>633.2405920514251</c:v>
                </c:pt>
                <c:pt idx="11">
                  <c:v>667.62401654861253</c:v>
                </c:pt>
                <c:pt idx="12">
                  <c:v>702.00744104579985</c:v>
                </c:pt>
                <c:pt idx="13">
                  <c:v>747.18178256580018</c:v>
                </c:pt>
                <c:pt idx="14">
                  <c:v>778.16701712579993</c:v>
                </c:pt>
                <c:pt idx="15">
                  <c:v>818.66460656580011</c:v>
                </c:pt>
                <c:pt idx="16">
                  <c:v>904.48137200579993</c:v>
                </c:pt>
                <c:pt idx="17">
                  <c:v>1032.9628798457995</c:v>
                </c:pt>
                <c:pt idx="18">
                  <c:v>1159.3796744058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E72-4596-9AFF-CBCEB1611802}"/>
            </c:ext>
          </c:extLst>
        </c:ser>
        <c:ser>
          <c:idx val="15"/>
          <c:order val="15"/>
          <c:tx>
            <c:strRef>
              <c:f>'BSFC '!$O$28</c:f>
              <c:strCache>
                <c:ptCount val="1"/>
                <c:pt idx="0">
                  <c:v>3250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val>
            <c:numRef>
              <c:f>'BSFC '!$O$10:$O$27</c:f>
              <c:numCache>
                <c:formatCode>General</c:formatCode>
                <c:ptCount val="18"/>
                <c:pt idx="0">
                  <c:v>547.86457121539991</c:v>
                </c:pt>
                <c:pt idx="1">
                  <c:v>551.6908178522001</c:v>
                </c:pt>
                <c:pt idx="2">
                  <c:v>542.00391406339986</c:v>
                </c:pt>
                <c:pt idx="3">
                  <c:v>532.31701027459997</c:v>
                </c:pt>
                <c:pt idx="4">
                  <c:v>522.63010648579996</c:v>
                </c:pt>
                <c:pt idx="5">
                  <c:v>541.29973816579991</c:v>
                </c:pt>
                <c:pt idx="6">
                  <c:v>561.39902632580004</c:v>
                </c:pt>
                <c:pt idx="7">
                  <c:v>575.3592013658</c:v>
                </c:pt>
                <c:pt idx="8">
                  <c:v>633.86094309079999</c:v>
                </c:pt>
                <c:pt idx="9">
                  <c:v>643.11520205142506</c:v>
                </c:pt>
                <c:pt idx="10">
                  <c:v>677.49862654861249</c:v>
                </c:pt>
                <c:pt idx="11">
                  <c:v>711.88205104579993</c:v>
                </c:pt>
                <c:pt idx="12">
                  <c:v>757.05639256580025</c:v>
                </c:pt>
                <c:pt idx="13">
                  <c:v>788.04162712579989</c:v>
                </c:pt>
                <c:pt idx="14">
                  <c:v>828.53921656580007</c:v>
                </c:pt>
                <c:pt idx="15">
                  <c:v>914.35598200579989</c:v>
                </c:pt>
                <c:pt idx="16">
                  <c:v>1042.8374898457996</c:v>
                </c:pt>
                <c:pt idx="17">
                  <c:v>1169.2542844058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E72-4596-9AFF-CBCEB1611802}"/>
            </c:ext>
          </c:extLst>
        </c:ser>
        <c:ser>
          <c:idx val="16"/>
          <c:order val="16"/>
          <c:tx>
            <c:strRef>
              <c:f>'BSFC '!$N$28</c:f>
              <c:strCache>
                <c:ptCount val="1"/>
                <c:pt idx="0">
                  <c:v>3000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val>
            <c:numRef>
              <c:f>'BSFC '!$N$11:$N$27</c:f>
              <c:numCache>
                <c:formatCode>General</c:formatCode>
                <c:ptCount val="17"/>
                <c:pt idx="0">
                  <c:v>549.78649320580007</c:v>
                </c:pt>
                <c:pt idx="1">
                  <c:v>549.01924702979989</c:v>
                </c:pt>
                <c:pt idx="2">
                  <c:v>553.21820106179996</c:v>
                </c:pt>
                <c:pt idx="3">
                  <c:v>557.41715509380003</c:v>
                </c:pt>
                <c:pt idx="4">
                  <c:v>564.28853888579999</c:v>
                </c:pt>
                <c:pt idx="5">
                  <c:v>594.28173512579997</c:v>
                </c:pt>
                <c:pt idx="6">
                  <c:v>626.94736112579994</c:v>
                </c:pt>
                <c:pt idx="7">
                  <c:v>640.0247077158001</c:v>
                </c:pt>
                <c:pt idx="8">
                  <c:v>656.62541096954999</c:v>
                </c:pt>
                <c:pt idx="9">
                  <c:v>679.85710976580003</c:v>
                </c:pt>
                <c:pt idx="10">
                  <c:v>689.65923094080006</c:v>
                </c:pt>
                <c:pt idx="11">
                  <c:v>767.66729600580015</c:v>
                </c:pt>
                <c:pt idx="12">
                  <c:v>821.12039024580008</c:v>
                </c:pt>
                <c:pt idx="13">
                  <c:v>874.57348448580001</c:v>
                </c:pt>
                <c:pt idx="14">
                  <c:v>928.02657872580016</c:v>
                </c:pt>
                <c:pt idx="15">
                  <c:v>1048.5740872058002</c:v>
                </c:pt>
                <c:pt idx="16">
                  <c:v>1207.1283320057998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E72-4596-9AFF-CBCEB1611802}"/>
            </c:ext>
          </c:extLst>
        </c:ser>
        <c:ser>
          <c:idx val="17"/>
          <c:order val="17"/>
          <c:tx>
            <c:strRef>
              <c:f>'BSFC '!$M$28</c:f>
              <c:strCache>
                <c:ptCount val="1"/>
                <c:pt idx="0">
                  <c:v>2750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val>
            <c:numRef>
              <c:f>'BSFC '!$M$11:$M$27</c:f>
              <c:numCache>
                <c:formatCode>General</c:formatCode>
                <c:ptCount val="17"/>
                <c:pt idx="0">
                  <c:v>549.63107856580018</c:v>
                </c:pt>
                <c:pt idx="1">
                  <c:v>553.87065744580002</c:v>
                </c:pt>
                <c:pt idx="2">
                  <c:v>558.11023632580009</c:v>
                </c:pt>
                <c:pt idx="3">
                  <c:v>577.55977164579997</c:v>
                </c:pt>
                <c:pt idx="4">
                  <c:v>597.00930696580019</c:v>
                </c:pt>
                <c:pt idx="5">
                  <c:v>617.7455553658001</c:v>
                </c:pt>
                <c:pt idx="6">
                  <c:v>638.48180376580024</c:v>
                </c:pt>
                <c:pt idx="7">
                  <c:v>650.46812234080005</c:v>
                </c:pt>
                <c:pt idx="8">
                  <c:v>674.41526988767509</c:v>
                </c:pt>
                <c:pt idx="9">
                  <c:v>712.1293581658</c:v>
                </c:pt>
                <c:pt idx="10">
                  <c:v>736.35409296580008</c:v>
                </c:pt>
                <c:pt idx="11">
                  <c:v>782.5578494458</c:v>
                </c:pt>
                <c:pt idx="12">
                  <c:v>837.03084144580021</c:v>
                </c:pt>
                <c:pt idx="13">
                  <c:v>891.5038334458003</c:v>
                </c:pt>
                <c:pt idx="14">
                  <c:v>945.9768254458005</c:v>
                </c:pt>
                <c:pt idx="15">
                  <c:v>1058.5903345658007</c:v>
                </c:pt>
                <c:pt idx="16">
                  <c:v>1249.2820296057998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E72-4596-9AFF-CBCEB1611802}"/>
            </c:ext>
          </c:extLst>
        </c:ser>
        <c:ser>
          <c:idx val="18"/>
          <c:order val="18"/>
          <c:tx>
            <c:strRef>
              <c:f>'BSFC '!$L$28</c:f>
              <c:strCache>
                <c:ptCount val="1"/>
                <c:pt idx="0">
                  <c:v>2500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val>
            <c:numRef>
              <c:f>'BSFC '!$L$12:$L$27</c:f>
              <c:numCache>
                <c:formatCode>General</c:formatCode>
                <c:ptCount val="16"/>
                <c:pt idx="0">
                  <c:v>559.46561744580004</c:v>
                </c:pt>
                <c:pt idx="1">
                  <c:v>563.7051963258001</c:v>
                </c:pt>
                <c:pt idx="2">
                  <c:v>583.15473164579998</c:v>
                </c:pt>
                <c:pt idx="3">
                  <c:v>602.60426696580021</c:v>
                </c:pt>
                <c:pt idx="4">
                  <c:v>623.34051536580012</c:v>
                </c:pt>
                <c:pt idx="5">
                  <c:v>644.07676376580025</c:v>
                </c:pt>
                <c:pt idx="6">
                  <c:v>656.06308234080007</c:v>
                </c:pt>
                <c:pt idx="7">
                  <c:v>680.01022988767511</c:v>
                </c:pt>
                <c:pt idx="8">
                  <c:v>717.72431816580001</c:v>
                </c:pt>
                <c:pt idx="9">
                  <c:v>741.94905296580009</c:v>
                </c:pt>
                <c:pt idx="10">
                  <c:v>788.15280944580002</c:v>
                </c:pt>
                <c:pt idx="11">
                  <c:v>842.62580144580022</c:v>
                </c:pt>
                <c:pt idx="12">
                  <c:v>897.09879344580031</c:v>
                </c:pt>
                <c:pt idx="13">
                  <c:v>951.57178544580051</c:v>
                </c:pt>
                <c:pt idx="14">
                  <c:v>1064.1852945658006</c:v>
                </c:pt>
                <c:pt idx="15">
                  <c:v>1254.8769896058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BE72-4596-9AFF-CBCEB1611802}"/>
            </c:ext>
          </c:extLst>
        </c:ser>
        <c:ser>
          <c:idx val="19"/>
          <c:order val="19"/>
          <c:tx>
            <c:strRef>
              <c:f>'BSFC '!$K$28</c:f>
              <c:strCache>
                <c:ptCount val="1"/>
                <c:pt idx="0">
                  <c:v>2250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'!$K$13:$K$27</c:f>
              <c:numCache>
                <c:formatCode>General</c:formatCode>
                <c:ptCount val="15"/>
                <c:pt idx="0">
                  <c:v>586.92963632580006</c:v>
                </c:pt>
                <c:pt idx="1">
                  <c:v>606.37917164580006</c:v>
                </c:pt>
                <c:pt idx="2">
                  <c:v>625.82870696580017</c:v>
                </c:pt>
                <c:pt idx="3">
                  <c:v>646.56495536580007</c:v>
                </c:pt>
                <c:pt idx="4">
                  <c:v>667.30120376580021</c:v>
                </c:pt>
                <c:pt idx="5">
                  <c:v>679.28752234080002</c:v>
                </c:pt>
                <c:pt idx="6">
                  <c:v>703.23466988767507</c:v>
                </c:pt>
                <c:pt idx="7">
                  <c:v>740.94875816579997</c:v>
                </c:pt>
                <c:pt idx="8">
                  <c:v>765.17349296580005</c:v>
                </c:pt>
                <c:pt idx="9">
                  <c:v>811.37724944579998</c:v>
                </c:pt>
                <c:pt idx="10">
                  <c:v>865.85024144580018</c:v>
                </c:pt>
                <c:pt idx="11">
                  <c:v>920.32323344580027</c:v>
                </c:pt>
                <c:pt idx="12">
                  <c:v>974.79622544580047</c:v>
                </c:pt>
                <c:pt idx="13">
                  <c:v>1087.4097345658006</c:v>
                </c:pt>
                <c:pt idx="14">
                  <c:v>1278.1014296057999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E72-4596-9AFF-CBCEB1611802}"/>
            </c:ext>
          </c:extLst>
        </c:ser>
        <c:ser>
          <c:idx val="20"/>
          <c:order val="20"/>
          <c:tx>
            <c:strRef>
              <c:f>'BSFC '!$J$28</c:f>
              <c:strCache>
                <c:ptCount val="1"/>
                <c:pt idx="0">
                  <c:v>2000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0000"/>
                </a:schemeClr>
              </a:solidFill>
              <a:prstDash val="solid"/>
              <a:round/>
            </a:ln>
            <a:effectLst/>
          </c:spPr>
          <c:val>
            <c:numRef>
              <c:f>'BSFC '!$J$14:$J$27</c:f>
              <c:numCache>
                <c:formatCode>General</c:formatCode>
                <c:ptCount val="14"/>
                <c:pt idx="0">
                  <c:v>624.12853952579997</c:v>
                </c:pt>
                <c:pt idx="1">
                  <c:v>640.91999504580008</c:v>
                </c:pt>
                <c:pt idx="2">
                  <c:v>652.25259229380015</c:v>
                </c:pt>
                <c:pt idx="3">
                  <c:v>661.2061664058001</c:v>
                </c:pt>
                <c:pt idx="4">
                  <c:v>672.10145696580003</c:v>
                </c:pt>
                <c:pt idx="5">
                  <c:v>703.39504880580012</c:v>
                </c:pt>
                <c:pt idx="6">
                  <c:v>745.86425600580014</c:v>
                </c:pt>
                <c:pt idx="7">
                  <c:v>789.18378176579995</c:v>
                </c:pt>
                <c:pt idx="8">
                  <c:v>808.63832288579999</c:v>
                </c:pt>
                <c:pt idx="9">
                  <c:v>840.02535632579998</c:v>
                </c:pt>
                <c:pt idx="10">
                  <c:v>870.43748240580044</c:v>
                </c:pt>
                <c:pt idx="11">
                  <c:v>975.11699216580075</c:v>
                </c:pt>
                <c:pt idx="12">
                  <c:v>1079.7965019258008</c:v>
                </c:pt>
                <c:pt idx="13">
                  <c:v>1343.1170072057998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E72-4596-9AFF-CBCEB1611802}"/>
            </c:ext>
          </c:extLst>
        </c:ser>
        <c:ser>
          <c:idx val="21"/>
          <c:order val="21"/>
          <c:tx>
            <c:strRef>
              <c:f>'BSFC '!$I$28</c:f>
              <c:strCache>
                <c:ptCount val="1"/>
                <c:pt idx="0">
                  <c:v>1750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88500"/>
                </a:schemeClr>
              </a:solidFill>
              <a:prstDash val="solid"/>
              <a:round/>
            </a:ln>
            <a:effectLst/>
          </c:spPr>
          <c:val>
            <c:numRef>
              <c:f>'BSFC '!$I$15:$I$27</c:f>
              <c:numCache>
                <c:formatCode>General</c:formatCode>
                <c:ptCount val="13"/>
                <c:pt idx="0">
                  <c:v>625.16099504580018</c:v>
                </c:pt>
                <c:pt idx="1">
                  <c:v>636.49359229380013</c:v>
                </c:pt>
                <c:pt idx="2">
                  <c:v>645.4471664058002</c:v>
                </c:pt>
                <c:pt idx="3">
                  <c:v>656.34245696580001</c:v>
                </c:pt>
                <c:pt idx="4">
                  <c:v>687.6360488058001</c:v>
                </c:pt>
                <c:pt idx="5">
                  <c:v>730.10525600580013</c:v>
                </c:pt>
                <c:pt idx="6">
                  <c:v>773.42478176580005</c:v>
                </c:pt>
                <c:pt idx="7">
                  <c:v>792.87932288580009</c:v>
                </c:pt>
                <c:pt idx="8">
                  <c:v>824.26635632580007</c:v>
                </c:pt>
                <c:pt idx="9">
                  <c:v>854.67848240580042</c:v>
                </c:pt>
                <c:pt idx="10">
                  <c:v>959.35799216580074</c:v>
                </c:pt>
                <c:pt idx="11">
                  <c:v>1064.0375019258011</c:v>
                </c:pt>
                <c:pt idx="12">
                  <c:v>1327.3580072058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E72-4596-9AFF-CBCEB1611802}"/>
            </c:ext>
          </c:extLst>
        </c:ser>
        <c:ser>
          <c:idx val="22"/>
          <c:order val="22"/>
          <c:tx>
            <c:strRef>
              <c:f>'BSFC '!$H$28</c:f>
              <c:strCache>
                <c:ptCount val="1"/>
                <c:pt idx="0">
                  <c:v>1500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55000"/>
                </a:schemeClr>
              </a:solidFill>
              <a:prstDash val="solid"/>
              <a:round/>
            </a:ln>
            <a:effectLst/>
          </c:spPr>
          <c:val>
            <c:numRef>
              <c:f>'BSFC '!$H$17:$H$27</c:f>
              <c:numCache>
                <c:formatCode>General</c:formatCode>
                <c:ptCount val="11"/>
                <c:pt idx="0">
                  <c:v>650.46972656579987</c:v>
                </c:pt>
                <c:pt idx="1">
                  <c:v>664.66662032579984</c:v>
                </c:pt>
                <c:pt idx="2">
                  <c:v>678.86351408579992</c:v>
                </c:pt>
                <c:pt idx="3">
                  <c:v>693.0604078458</c:v>
                </c:pt>
                <c:pt idx="4">
                  <c:v>735.65108912580001</c:v>
                </c:pt>
                <c:pt idx="5">
                  <c:v>749.05061456580006</c:v>
                </c:pt>
                <c:pt idx="6">
                  <c:v>770.2805460858001</c:v>
                </c:pt>
                <c:pt idx="7">
                  <c:v>910.86343328580006</c:v>
                </c:pt>
                <c:pt idx="8">
                  <c:v>991.35298928580016</c:v>
                </c:pt>
                <c:pt idx="9">
                  <c:v>1158.2853694458004</c:v>
                </c:pt>
                <c:pt idx="10">
                  <c:v>1431.3570248057999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BE72-4596-9AFF-CBCEB1611802}"/>
            </c:ext>
          </c:extLst>
        </c:ser>
        <c:ser>
          <c:idx val="23"/>
          <c:order val="23"/>
          <c:tx>
            <c:strRef>
              <c:f>'BSFC '!$G$28</c:f>
              <c:strCache>
                <c:ptCount val="1"/>
                <c:pt idx="0">
                  <c:v>1250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75000"/>
                </a:schemeClr>
              </a:solidFill>
              <a:prstDash val="solid"/>
              <a:round/>
            </a:ln>
            <a:effectLst/>
          </c:spPr>
          <c:val>
            <c:numRef>
              <c:f>'BSFC '!$G$19:$G$27</c:f>
              <c:numCache>
                <c:formatCode>General</c:formatCode>
                <c:ptCount val="9"/>
                <c:pt idx="0">
                  <c:v>703.27451408579998</c:v>
                </c:pt>
                <c:pt idx="1">
                  <c:v>717.47140784580006</c:v>
                </c:pt>
                <c:pt idx="2">
                  <c:v>723.20955020580004</c:v>
                </c:pt>
                <c:pt idx="3">
                  <c:v>773.46161456580012</c:v>
                </c:pt>
                <c:pt idx="4">
                  <c:v>794.69154608580016</c:v>
                </c:pt>
                <c:pt idx="5">
                  <c:v>935.27443328580011</c:v>
                </c:pt>
                <c:pt idx="6">
                  <c:v>1015.7639892858002</c:v>
                </c:pt>
                <c:pt idx="7">
                  <c:v>1182.6963694458004</c:v>
                </c:pt>
                <c:pt idx="8">
                  <c:v>1455.7680248058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BE72-4596-9AFF-CBCEB1611802}"/>
            </c:ext>
          </c:extLst>
        </c:ser>
        <c:ser>
          <c:idx val="24"/>
          <c:order val="24"/>
          <c:tx>
            <c:strRef>
              <c:f>'BSFC '!$F$28</c:f>
              <c:strCache>
                <c:ptCount val="1"/>
                <c:pt idx="0">
                  <c:v>1000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98500"/>
                </a:schemeClr>
              </a:solidFill>
              <a:prstDash val="solid"/>
              <a:round/>
            </a:ln>
            <a:effectLst/>
          </c:spPr>
          <c:val>
            <c:numRef>
              <c:f>'BSFC '!$F$21:$F$27</c:f>
              <c:numCache>
                <c:formatCode>General</c:formatCode>
                <c:ptCount val="7"/>
                <c:pt idx="0">
                  <c:v>664.33646000579995</c:v>
                </c:pt>
                <c:pt idx="1">
                  <c:v>737.51992112580001</c:v>
                </c:pt>
                <c:pt idx="2">
                  <c:v>772.30355672580004</c:v>
                </c:pt>
                <c:pt idx="3">
                  <c:v>926.38408304580003</c:v>
                </c:pt>
                <c:pt idx="4">
                  <c:v>1080.4646093658002</c:v>
                </c:pt>
                <c:pt idx="5">
                  <c:v>1234.5451356858005</c:v>
                </c:pt>
                <c:pt idx="6">
                  <c:v>1519.5970424058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BE72-4596-9AFF-CBCEB1611802}"/>
            </c:ext>
          </c:extLst>
        </c:ser>
        <c:ser>
          <c:idx val="25"/>
          <c:order val="25"/>
          <c:tx>
            <c:strRef>
              <c:f>'BSFC '!$E$28</c:f>
              <c:strCache>
                <c:ptCount val="1"/>
                <c:pt idx="0">
                  <c:v>750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30000"/>
                </a:schemeClr>
              </a:solidFill>
              <a:prstDash val="solid"/>
              <a:round/>
            </a:ln>
            <a:effectLst/>
          </c:spPr>
          <c:val>
            <c:numRef>
              <c:f>'BSFC '!$E$22:$E$27</c:f>
              <c:numCache>
                <c:formatCode>General</c:formatCode>
                <c:ptCount val="6"/>
                <c:pt idx="0">
                  <c:v>751.52792112580005</c:v>
                </c:pt>
                <c:pt idx="1">
                  <c:v>786.31155672580007</c:v>
                </c:pt>
                <c:pt idx="2">
                  <c:v>940.39208304580006</c:v>
                </c:pt>
                <c:pt idx="3">
                  <c:v>1094.4726093658003</c:v>
                </c:pt>
                <c:pt idx="4">
                  <c:v>1248.5531356858003</c:v>
                </c:pt>
                <c:pt idx="5">
                  <c:v>1533.6050424057998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BE72-4596-9AFF-CBCEB1611802}"/>
            </c:ext>
          </c:extLst>
        </c:ser>
        <c:ser>
          <c:idx val="26"/>
          <c:order val="26"/>
          <c:tx>
            <c:strRef>
              <c:f>'BSFC '!$D$28</c:f>
              <c:strCache>
                <c:ptCount val="1"/>
                <c:pt idx="0">
                  <c:v>500</c:v>
                </c:pt>
              </c:strCache>
            </c:strRef>
          </c:tx>
          <c:spPr>
            <a:ln w="6350" cap="flat" cmpd="sng" algn="ctr">
              <a:solidFill>
                <a:schemeClr val="dk1">
                  <a:tint val="60000"/>
                </a:schemeClr>
              </a:solidFill>
              <a:prstDash val="solid"/>
              <a:round/>
            </a:ln>
            <a:effectLst/>
          </c:spPr>
          <c:val>
            <c:numRef>
              <c:f>'BSFC '!$D$23:$D$27</c:f>
              <c:numCache>
                <c:formatCode>General</c:formatCode>
                <c:ptCount val="5"/>
                <c:pt idx="0">
                  <c:v>726.48135344579998</c:v>
                </c:pt>
                <c:pt idx="1">
                  <c:v>942.16883491567626</c:v>
                </c:pt>
                <c:pt idx="2">
                  <c:v>1177.5763024506016</c:v>
                </c:pt>
                <c:pt idx="3">
                  <c:v>1315.8203260743194</c:v>
                </c:pt>
                <c:pt idx="4">
                  <c:v>1607.8370600057999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BE72-4596-9AFF-CBCEB1611802}"/>
            </c:ext>
          </c:extLst>
        </c:ser>
        <c:bandFmts>
          <c:bandFmt>
            <c:idx val="0"/>
            <c:spPr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"/>
            <c:spPr>
              <a:ln w="6350" cap="flat" cmpd="sng" algn="ctr">
                <a:solidFill>
                  <a:schemeClr val="dk1">
                    <a:tint val="5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2"/>
            <c:spPr>
              <a:ln w="6350" cap="flat" cmpd="sng" algn="ctr">
                <a:solidFill>
                  <a:schemeClr val="dk1">
                    <a:tint val="7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3"/>
            <c:spPr>
              <a:ln w="6350" cap="flat" cmpd="sng" algn="ctr">
                <a:solidFill>
                  <a:schemeClr val="dk1">
                    <a:tint val="9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4"/>
            <c:spPr>
              <a:ln w="6350" cap="flat" cmpd="sng" algn="ctr">
                <a:solidFill>
                  <a:schemeClr val="dk1">
                    <a:tint val="3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5"/>
            <c:spPr>
              <a:ln w="6350" cap="flat" cmpd="sng" algn="ctr">
                <a:solidFill>
                  <a:schemeClr val="dk1">
                    <a:tint val="6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6"/>
            <c:spPr>
              <a:ln w="6350" cap="flat" cmpd="sng" algn="ctr">
                <a:solidFill>
                  <a:schemeClr val="dk1">
                    <a:tint val="8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7"/>
            <c:spPr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8"/>
            <c:spPr>
              <a:ln w="6350" cap="flat" cmpd="sng" algn="ctr">
                <a:solidFill>
                  <a:schemeClr val="dk1">
                    <a:tint val="5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9"/>
            <c:spPr>
              <a:ln w="6350" cap="flat" cmpd="sng" algn="ctr">
                <a:solidFill>
                  <a:schemeClr val="dk1">
                    <a:tint val="75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0"/>
            <c:spPr>
              <a:ln w="6350" cap="flat" cmpd="sng" algn="ctr">
                <a:solidFill>
                  <a:schemeClr val="dk1">
                    <a:tint val="985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1"/>
            <c:spPr>
              <a:ln w="6350" cap="flat" cmpd="sng" algn="ctr">
                <a:solidFill>
                  <a:schemeClr val="dk1">
                    <a:tint val="3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2"/>
            <c:spPr>
              <a:ln w="6350" cap="flat" cmpd="sng" algn="ctr">
                <a:solidFill>
                  <a:schemeClr val="dk1">
                    <a:tint val="6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3"/>
            <c:spPr>
              <a:ln w="6350" cap="flat" cmpd="sng" algn="ctr">
                <a:solidFill>
                  <a:schemeClr val="dk1">
                    <a:tint val="80000"/>
                  </a:schemeClr>
                </a:solidFill>
                <a:prstDash val="solid"/>
                <a:round/>
              </a:ln>
              <a:effectLst/>
            </c:spPr>
          </c:bandFmt>
          <c:bandFmt>
            <c:idx val="14"/>
            <c:spPr>
              <a:ln w="6350" cap="flat" cmpd="sng" algn="ctr">
                <a:solidFill>
                  <a:schemeClr val="dk1">
                    <a:tint val="88500"/>
                  </a:schemeClr>
                </a:solidFill>
                <a:prstDash val="solid"/>
                <a:round/>
              </a:ln>
              <a:effectLst/>
            </c:spPr>
          </c:bandFmt>
        </c:bandFmts>
        <c:axId val="316358152"/>
        <c:axId val="316358480"/>
        <c:axId val="583224064"/>
      </c:surfaceChart>
      <c:catAx>
        <c:axId val="316358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  <c:auto val="1"/>
        <c:lblAlgn val="ctr"/>
        <c:lblOffset val="100"/>
        <c:noMultiLvlLbl val="0"/>
      </c:catAx>
      <c:valAx>
        <c:axId val="31635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BRAKE SPECIFIC FUEL CONSUMPTION (G/KWH)</a:t>
                </a:r>
              </a:p>
            </c:rich>
          </c:tx>
          <c:layout>
            <c:manualLayout>
              <c:xMode val="edge"/>
              <c:yMode val="edge"/>
              <c:x val="0.20761267012430515"/>
              <c:y val="0.670244652665300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one"/>
        <c:spPr>
          <a:noFill/>
          <a:ln w="6350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152"/>
        <c:crosses val="autoZero"/>
        <c:crossBetween val="midCat"/>
      </c:valAx>
      <c:serAx>
        <c:axId val="583224064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900" b="0">
                    <a:solidFill>
                      <a:schemeClr val="bg2">
                        <a:lumMod val="50000"/>
                      </a:schemeClr>
                    </a:solidFill>
                  </a:rPr>
                  <a:t>ENGINE 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8480"/>
        <c:crosses val="autoZero"/>
      </c:ser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(m/s) </a:t>
            </a:r>
            <a:r>
              <a:rPr lang="en-GB" sz="1400" b="0" i="0" u="none" strike="noStrike" baseline="0">
                <a:effectLst/>
              </a:rPr>
              <a:t>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'!$M:$M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1.7979584450673736</c:v>
                </c:pt>
                <c:pt idx="4">
                  <c:v>2.9965974084456226</c:v>
                </c:pt>
                <c:pt idx="5">
                  <c:v>4.1952363718238717</c:v>
                </c:pt>
                <c:pt idx="6">
                  <c:v>5.9931948168912452</c:v>
                </c:pt>
                <c:pt idx="7">
                  <c:v>7.7911532619586188</c:v>
                </c:pt>
                <c:pt idx="8">
                  <c:v>10.188431188715118</c:v>
                </c:pt>
                <c:pt idx="9">
                  <c:v>11.98638963378249</c:v>
                </c:pt>
                <c:pt idx="10">
                  <c:v>14.383667560538989</c:v>
                </c:pt>
                <c:pt idx="11">
                  <c:v>15.806762082696562</c:v>
                </c:pt>
                <c:pt idx="12">
                  <c:v>19.31937587885135</c:v>
                </c:pt>
                <c:pt idx="13">
                  <c:v>21.075682776928751</c:v>
                </c:pt>
                <c:pt idx="14">
                  <c:v>22.831989675006152</c:v>
                </c:pt>
                <c:pt idx="15">
                  <c:v>22.908350844487774</c:v>
                </c:pt>
                <c:pt idx="16">
                  <c:v>25.199185928936547</c:v>
                </c:pt>
                <c:pt idx="17">
                  <c:v>27.490021013385324</c:v>
                </c:pt>
                <c:pt idx="18">
                  <c:v>29.780856097834103</c:v>
                </c:pt>
                <c:pt idx="19">
                  <c:v>27.490021013385324</c:v>
                </c:pt>
                <c:pt idx="20">
                  <c:v>26.344603471160941</c:v>
                </c:pt>
                <c:pt idx="21">
                  <c:v>26.344603471160941</c:v>
                </c:pt>
                <c:pt idx="22">
                  <c:v>25.199185928936547</c:v>
                </c:pt>
                <c:pt idx="23">
                  <c:v>24.053768386712161</c:v>
                </c:pt>
                <c:pt idx="24">
                  <c:v>21.95383622596745</c:v>
                </c:pt>
                <c:pt idx="25">
                  <c:v>21.95383622596745</c:v>
                </c:pt>
                <c:pt idx="26">
                  <c:v>22.831989675006152</c:v>
                </c:pt>
                <c:pt idx="27">
                  <c:v>25.199185928936547</c:v>
                </c:pt>
                <c:pt idx="28">
                  <c:v>27.490021013385324</c:v>
                </c:pt>
                <c:pt idx="29">
                  <c:v>29.780856097834103</c:v>
                </c:pt>
                <c:pt idx="30">
                  <c:v>29.780856097834103</c:v>
                </c:pt>
                <c:pt idx="31">
                  <c:v>29.780856097834103</c:v>
                </c:pt>
                <c:pt idx="32">
                  <c:v>29.780856097834103</c:v>
                </c:pt>
                <c:pt idx="33">
                  <c:v>29.780856097834103</c:v>
                </c:pt>
                <c:pt idx="34">
                  <c:v>29.780856097834103</c:v>
                </c:pt>
                <c:pt idx="35">
                  <c:v>29.780856097834103</c:v>
                </c:pt>
                <c:pt idx="36">
                  <c:v>29.780856097834103</c:v>
                </c:pt>
                <c:pt idx="37">
                  <c:v>29.780856097834103</c:v>
                </c:pt>
                <c:pt idx="38">
                  <c:v>29.780856097834103</c:v>
                </c:pt>
                <c:pt idx="39">
                  <c:v>29.780856097834103</c:v>
                </c:pt>
                <c:pt idx="40">
                  <c:v>29.780856097834103</c:v>
                </c:pt>
                <c:pt idx="41">
                  <c:v>29.780856097834103</c:v>
                </c:pt>
                <c:pt idx="42">
                  <c:v>28.635438555609714</c:v>
                </c:pt>
                <c:pt idx="43">
                  <c:v>27.490021013385324</c:v>
                </c:pt>
                <c:pt idx="44">
                  <c:v>25.199185928936547</c:v>
                </c:pt>
                <c:pt idx="45">
                  <c:v>22.908350844487774</c:v>
                </c:pt>
                <c:pt idx="46">
                  <c:v>20.197529327890056</c:v>
                </c:pt>
                <c:pt idx="47">
                  <c:v>20.197529327890056</c:v>
                </c:pt>
                <c:pt idx="48">
                  <c:v>20.197529327890056</c:v>
                </c:pt>
                <c:pt idx="49">
                  <c:v>20.197529327890056</c:v>
                </c:pt>
                <c:pt idx="50">
                  <c:v>20.197529327890056</c:v>
                </c:pt>
                <c:pt idx="51">
                  <c:v>20.197529327890056</c:v>
                </c:pt>
                <c:pt idx="52">
                  <c:v>20.197529327890056</c:v>
                </c:pt>
                <c:pt idx="53">
                  <c:v>21.075682776928751</c:v>
                </c:pt>
                <c:pt idx="54">
                  <c:v>22.831989675006152</c:v>
                </c:pt>
                <c:pt idx="55">
                  <c:v>24.053768386712161</c:v>
                </c:pt>
                <c:pt idx="56">
                  <c:v>26.344603471160941</c:v>
                </c:pt>
                <c:pt idx="57">
                  <c:v>28.635438555609714</c:v>
                </c:pt>
                <c:pt idx="58">
                  <c:v>29.780856097834103</c:v>
                </c:pt>
                <c:pt idx="59">
                  <c:v>29.780856097834103</c:v>
                </c:pt>
                <c:pt idx="60">
                  <c:v>29.780856097834103</c:v>
                </c:pt>
                <c:pt idx="61">
                  <c:v>29.780856097834103</c:v>
                </c:pt>
                <c:pt idx="62">
                  <c:v>27.490021013385324</c:v>
                </c:pt>
                <c:pt idx="63">
                  <c:v>24.053768386712161</c:v>
                </c:pt>
                <c:pt idx="64">
                  <c:v>21.762933302263384</c:v>
                </c:pt>
                <c:pt idx="65">
                  <c:v>20.197529327890056</c:v>
                </c:pt>
                <c:pt idx="66">
                  <c:v>20.197529327890056</c:v>
                </c:pt>
                <c:pt idx="67">
                  <c:v>20.197529327890056</c:v>
                </c:pt>
                <c:pt idx="68">
                  <c:v>20.197529327890056</c:v>
                </c:pt>
                <c:pt idx="69">
                  <c:v>18.441222429812658</c:v>
                </c:pt>
                <c:pt idx="70">
                  <c:v>19.31937587885135</c:v>
                </c:pt>
                <c:pt idx="71">
                  <c:v>21.075682776928751</c:v>
                </c:pt>
                <c:pt idx="72">
                  <c:v>24.053768386712161</c:v>
                </c:pt>
                <c:pt idx="73">
                  <c:v>26.344603471160941</c:v>
                </c:pt>
                <c:pt idx="74">
                  <c:v>27.490021013385324</c:v>
                </c:pt>
                <c:pt idx="75">
                  <c:v>26.344603471160941</c:v>
                </c:pt>
                <c:pt idx="76">
                  <c:v>24.053768386712161</c:v>
                </c:pt>
                <c:pt idx="77">
                  <c:v>21.762933302263384</c:v>
                </c:pt>
                <c:pt idx="78">
                  <c:v>20.617515760038998</c:v>
                </c:pt>
                <c:pt idx="79">
                  <c:v>19.31937587885135</c:v>
                </c:pt>
                <c:pt idx="80">
                  <c:v>19.31937587885135</c:v>
                </c:pt>
                <c:pt idx="81">
                  <c:v>19.31937587885135</c:v>
                </c:pt>
                <c:pt idx="82">
                  <c:v>19.31937587885135</c:v>
                </c:pt>
                <c:pt idx="83">
                  <c:v>19.31937587885135</c:v>
                </c:pt>
                <c:pt idx="84">
                  <c:v>19.31937587885135</c:v>
                </c:pt>
                <c:pt idx="85">
                  <c:v>20.197529327890056</c:v>
                </c:pt>
                <c:pt idx="86">
                  <c:v>21.95383622596745</c:v>
                </c:pt>
                <c:pt idx="87">
                  <c:v>22.908350844487774</c:v>
                </c:pt>
                <c:pt idx="88">
                  <c:v>22.908350844487774</c:v>
                </c:pt>
                <c:pt idx="89">
                  <c:v>21.95383622596745</c:v>
                </c:pt>
                <c:pt idx="90">
                  <c:v>20.197529327890056</c:v>
                </c:pt>
                <c:pt idx="91">
                  <c:v>19.31937587885135</c:v>
                </c:pt>
                <c:pt idx="92">
                  <c:v>18.441222429812658</c:v>
                </c:pt>
                <c:pt idx="93">
                  <c:v>18.441222429812658</c:v>
                </c:pt>
                <c:pt idx="94">
                  <c:v>18.441222429812658</c:v>
                </c:pt>
                <c:pt idx="95">
                  <c:v>18.441222429812658</c:v>
                </c:pt>
                <c:pt idx="96">
                  <c:v>18.441222429812658</c:v>
                </c:pt>
                <c:pt idx="97">
                  <c:v>20.197529327890056</c:v>
                </c:pt>
                <c:pt idx="98">
                  <c:v>22.831989675006152</c:v>
                </c:pt>
                <c:pt idx="99">
                  <c:v>24.053768386712161</c:v>
                </c:pt>
                <c:pt idx="100">
                  <c:v>26.344603471160941</c:v>
                </c:pt>
                <c:pt idx="101">
                  <c:v>28.635438555609714</c:v>
                </c:pt>
                <c:pt idx="102">
                  <c:v>29.780856097834103</c:v>
                </c:pt>
                <c:pt idx="103">
                  <c:v>26.344603471160941</c:v>
                </c:pt>
                <c:pt idx="104">
                  <c:v>24.053768386712161</c:v>
                </c:pt>
                <c:pt idx="105">
                  <c:v>24.053768386712161</c:v>
                </c:pt>
                <c:pt idx="106">
                  <c:v>24.053768386712161</c:v>
                </c:pt>
                <c:pt idx="107">
                  <c:v>24.053768386712161</c:v>
                </c:pt>
                <c:pt idx="108">
                  <c:v>25.199185928936547</c:v>
                </c:pt>
                <c:pt idx="109">
                  <c:v>26.344603471160941</c:v>
                </c:pt>
                <c:pt idx="110">
                  <c:v>27.490021013385324</c:v>
                </c:pt>
                <c:pt idx="111">
                  <c:v>29.780856097834103</c:v>
                </c:pt>
                <c:pt idx="112">
                  <c:v>29.780856097834103</c:v>
                </c:pt>
                <c:pt idx="113">
                  <c:v>29.780856097834103</c:v>
                </c:pt>
                <c:pt idx="114">
                  <c:v>26.344603471160941</c:v>
                </c:pt>
                <c:pt idx="115">
                  <c:v>24.053768386712161</c:v>
                </c:pt>
                <c:pt idx="116">
                  <c:v>22.908350844487774</c:v>
                </c:pt>
                <c:pt idx="117">
                  <c:v>22.908350844487774</c:v>
                </c:pt>
                <c:pt idx="118">
                  <c:v>25.199185928936547</c:v>
                </c:pt>
                <c:pt idx="119">
                  <c:v>27.490021013385324</c:v>
                </c:pt>
                <c:pt idx="120">
                  <c:v>29.780856097834103</c:v>
                </c:pt>
                <c:pt idx="121">
                  <c:v>29.780856097834103</c:v>
                </c:pt>
                <c:pt idx="122">
                  <c:v>28.635438555609714</c:v>
                </c:pt>
                <c:pt idx="123">
                  <c:v>27.490021013385324</c:v>
                </c:pt>
                <c:pt idx="124">
                  <c:v>27.490021013385324</c:v>
                </c:pt>
                <c:pt idx="125">
                  <c:v>27.490021013385324</c:v>
                </c:pt>
                <c:pt idx="126">
                  <c:v>27.490021013385324</c:v>
                </c:pt>
                <c:pt idx="127">
                  <c:v>27.490021013385324</c:v>
                </c:pt>
                <c:pt idx="128">
                  <c:v>27.490021013385324</c:v>
                </c:pt>
                <c:pt idx="129">
                  <c:v>28.635438555609714</c:v>
                </c:pt>
                <c:pt idx="130">
                  <c:v>29.780856097834103</c:v>
                </c:pt>
                <c:pt idx="131">
                  <c:v>29.780856097834103</c:v>
                </c:pt>
                <c:pt idx="132">
                  <c:v>29.780856097834103</c:v>
                </c:pt>
                <c:pt idx="133">
                  <c:v>29.780856097834103</c:v>
                </c:pt>
                <c:pt idx="134">
                  <c:v>27.490021013385324</c:v>
                </c:pt>
                <c:pt idx="135">
                  <c:v>24.053768386712161</c:v>
                </c:pt>
                <c:pt idx="136">
                  <c:v>21.762933302263384</c:v>
                </c:pt>
                <c:pt idx="137">
                  <c:v>21.762933302263384</c:v>
                </c:pt>
                <c:pt idx="138">
                  <c:v>21.762933302263384</c:v>
                </c:pt>
                <c:pt idx="139">
                  <c:v>21.762933302263384</c:v>
                </c:pt>
                <c:pt idx="140">
                  <c:v>21.762933302263384</c:v>
                </c:pt>
                <c:pt idx="141">
                  <c:v>21.762933302263384</c:v>
                </c:pt>
                <c:pt idx="142">
                  <c:v>21.762933302263384</c:v>
                </c:pt>
                <c:pt idx="143">
                  <c:v>21.762933302263384</c:v>
                </c:pt>
                <c:pt idx="144">
                  <c:v>21.762933302263384</c:v>
                </c:pt>
                <c:pt idx="145">
                  <c:v>21.762933302263384</c:v>
                </c:pt>
                <c:pt idx="146">
                  <c:v>21.762933302263384</c:v>
                </c:pt>
                <c:pt idx="147">
                  <c:v>22.908350844487774</c:v>
                </c:pt>
                <c:pt idx="148">
                  <c:v>25.199185928936547</c:v>
                </c:pt>
                <c:pt idx="149">
                  <c:v>26.344603471160941</c:v>
                </c:pt>
                <c:pt idx="150">
                  <c:v>27.490021013385324</c:v>
                </c:pt>
                <c:pt idx="151">
                  <c:v>28.635438555609714</c:v>
                </c:pt>
                <c:pt idx="152">
                  <c:v>28.635438555609714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44D-4304-A69D-930D7FFB5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'Duty Cycle '!$G$1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strRef>
                    <c:extLst>
                      <c:ext uri="{02D57815-91ED-43cb-92C2-25804820EDAC}">
                        <c15:formulaRef>
                          <c15:sqref>'Duty Cycle '!$B:$B</c15:sqref>
                        </c15:formulaRef>
                      </c:ext>
                    </c:extLst>
                    <c:strCache>
                      <c:ptCount val="153"/>
                      <c:pt idx="1">
                        <c:v>Time (s)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2</c:v>
                      </c:pt>
                      <c:pt idx="5">
                        <c:v>3</c:v>
                      </c:pt>
                      <c:pt idx="6">
                        <c:v>4</c:v>
                      </c:pt>
                      <c:pt idx="7">
                        <c:v>5</c:v>
                      </c:pt>
                      <c:pt idx="8">
                        <c:v>6</c:v>
                      </c:pt>
                      <c:pt idx="9">
                        <c:v>7</c:v>
                      </c:pt>
                      <c:pt idx="10">
                        <c:v>8</c:v>
                      </c:pt>
                      <c:pt idx="11">
                        <c:v>9</c:v>
                      </c:pt>
                      <c:pt idx="12">
                        <c:v>10</c:v>
                      </c:pt>
                      <c:pt idx="13">
                        <c:v>11</c:v>
                      </c:pt>
                      <c:pt idx="14">
                        <c:v>12</c:v>
                      </c:pt>
                      <c:pt idx="15">
                        <c:v>13</c:v>
                      </c:pt>
                      <c:pt idx="16">
                        <c:v>14</c:v>
                      </c:pt>
                      <c:pt idx="17">
                        <c:v>15</c:v>
                      </c:pt>
                      <c:pt idx="18">
                        <c:v>16</c:v>
                      </c:pt>
                      <c:pt idx="19">
                        <c:v>17</c:v>
                      </c:pt>
                      <c:pt idx="20">
                        <c:v>18</c:v>
                      </c:pt>
                      <c:pt idx="21">
                        <c:v>19</c:v>
                      </c:pt>
                      <c:pt idx="22">
                        <c:v>20</c:v>
                      </c:pt>
                      <c:pt idx="23">
                        <c:v>21</c:v>
                      </c:pt>
                      <c:pt idx="24">
                        <c:v>22</c:v>
                      </c:pt>
                      <c:pt idx="25">
                        <c:v>23</c:v>
                      </c:pt>
                      <c:pt idx="26">
                        <c:v>24</c:v>
                      </c:pt>
                      <c:pt idx="27">
                        <c:v>25</c:v>
                      </c:pt>
                      <c:pt idx="28">
                        <c:v>26</c:v>
                      </c:pt>
                      <c:pt idx="29">
                        <c:v>27</c:v>
                      </c:pt>
                      <c:pt idx="30">
                        <c:v>28</c:v>
                      </c:pt>
                      <c:pt idx="31">
                        <c:v>29</c:v>
                      </c:pt>
                      <c:pt idx="32">
                        <c:v>30</c:v>
                      </c:pt>
                      <c:pt idx="33">
                        <c:v>31</c:v>
                      </c:pt>
                      <c:pt idx="34">
                        <c:v>32</c:v>
                      </c:pt>
                      <c:pt idx="35">
                        <c:v>33</c:v>
                      </c:pt>
                      <c:pt idx="36">
                        <c:v>34</c:v>
                      </c:pt>
                      <c:pt idx="37">
                        <c:v>35</c:v>
                      </c:pt>
                      <c:pt idx="38">
                        <c:v>36</c:v>
                      </c:pt>
                      <c:pt idx="39">
                        <c:v>37</c:v>
                      </c:pt>
                      <c:pt idx="40">
                        <c:v>38</c:v>
                      </c:pt>
                      <c:pt idx="41">
                        <c:v>39</c:v>
                      </c:pt>
                      <c:pt idx="42">
                        <c:v>40</c:v>
                      </c:pt>
                      <c:pt idx="43">
                        <c:v>41</c:v>
                      </c:pt>
                      <c:pt idx="44">
                        <c:v>42</c:v>
                      </c:pt>
                      <c:pt idx="45">
                        <c:v>43</c:v>
                      </c:pt>
                      <c:pt idx="46">
                        <c:v>44</c:v>
                      </c:pt>
                      <c:pt idx="47">
                        <c:v>45</c:v>
                      </c:pt>
                      <c:pt idx="48">
                        <c:v>46</c:v>
                      </c:pt>
                      <c:pt idx="49">
                        <c:v>47</c:v>
                      </c:pt>
                      <c:pt idx="50">
                        <c:v>48</c:v>
                      </c:pt>
                      <c:pt idx="51">
                        <c:v>49</c:v>
                      </c:pt>
                      <c:pt idx="52">
                        <c:v>50</c:v>
                      </c:pt>
                      <c:pt idx="53">
                        <c:v>51</c:v>
                      </c:pt>
                      <c:pt idx="54">
                        <c:v>52</c:v>
                      </c:pt>
                      <c:pt idx="55">
                        <c:v>53</c:v>
                      </c:pt>
                      <c:pt idx="56">
                        <c:v>54</c:v>
                      </c:pt>
                      <c:pt idx="57">
                        <c:v>55</c:v>
                      </c:pt>
                      <c:pt idx="58">
                        <c:v>56</c:v>
                      </c:pt>
                      <c:pt idx="59">
                        <c:v>57</c:v>
                      </c:pt>
                      <c:pt idx="60">
                        <c:v>58</c:v>
                      </c:pt>
                      <c:pt idx="61">
                        <c:v>59</c:v>
                      </c:pt>
                      <c:pt idx="62">
                        <c:v>60</c:v>
                      </c:pt>
                      <c:pt idx="63">
                        <c:v>61</c:v>
                      </c:pt>
                      <c:pt idx="64">
                        <c:v>62</c:v>
                      </c:pt>
                      <c:pt idx="65">
                        <c:v>63</c:v>
                      </c:pt>
                      <c:pt idx="66">
                        <c:v>64</c:v>
                      </c:pt>
                      <c:pt idx="67">
                        <c:v>65</c:v>
                      </c:pt>
                      <c:pt idx="68">
                        <c:v>66</c:v>
                      </c:pt>
                      <c:pt idx="69">
                        <c:v>67</c:v>
                      </c:pt>
                      <c:pt idx="70">
                        <c:v>68</c:v>
                      </c:pt>
                      <c:pt idx="71">
                        <c:v>69</c:v>
                      </c:pt>
                      <c:pt idx="72">
                        <c:v>70</c:v>
                      </c:pt>
                      <c:pt idx="73">
                        <c:v>71</c:v>
                      </c:pt>
                      <c:pt idx="74">
                        <c:v>72</c:v>
                      </c:pt>
                      <c:pt idx="75">
                        <c:v>73</c:v>
                      </c:pt>
                      <c:pt idx="76">
                        <c:v>74</c:v>
                      </c:pt>
                      <c:pt idx="77">
                        <c:v>75</c:v>
                      </c:pt>
                      <c:pt idx="78">
                        <c:v>76</c:v>
                      </c:pt>
                      <c:pt idx="79">
                        <c:v>77</c:v>
                      </c:pt>
                      <c:pt idx="80">
                        <c:v>78</c:v>
                      </c:pt>
                      <c:pt idx="81">
                        <c:v>79</c:v>
                      </c:pt>
                      <c:pt idx="82">
                        <c:v>80</c:v>
                      </c:pt>
                      <c:pt idx="83">
                        <c:v>81</c:v>
                      </c:pt>
                      <c:pt idx="84">
                        <c:v>82</c:v>
                      </c:pt>
                      <c:pt idx="85">
                        <c:v>83</c:v>
                      </c:pt>
                      <c:pt idx="86">
                        <c:v>84</c:v>
                      </c:pt>
                      <c:pt idx="87">
                        <c:v>85</c:v>
                      </c:pt>
                      <c:pt idx="88">
                        <c:v>86</c:v>
                      </c:pt>
                      <c:pt idx="89">
                        <c:v>87</c:v>
                      </c:pt>
                      <c:pt idx="90">
                        <c:v>88</c:v>
                      </c:pt>
                      <c:pt idx="91">
                        <c:v>89</c:v>
                      </c:pt>
                      <c:pt idx="92">
                        <c:v>90</c:v>
                      </c:pt>
                      <c:pt idx="93">
                        <c:v>91</c:v>
                      </c:pt>
                      <c:pt idx="94">
                        <c:v>92</c:v>
                      </c:pt>
                      <c:pt idx="95">
                        <c:v>93</c:v>
                      </c:pt>
                      <c:pt idx="96">
                        <c:v>94</c:v>
                      </c:pt>
                      <c:pt idx="97">
                        <c:v>95</c:v>
                      </c:pt>
                      <c:pt idx="98">
                        <c:v>96</c:v>
                      </c:pt>
                      <c:pt idx="99">
                        <c:v>97</c:v>
                      </c:pt>
                      <c:pt idx="100">
                        <c:v>98</c:v>
                      </c:pt>
                      <c:pt idx="101">
                        <c:v>99</c:v>
                      </c:pt>
                      <c:pt idx="102">
                        <c:v>100</c:v>
                      </c:pt>
                      <c:pt idx="103">
                        <c:v>101</c:v>
                      </c:pt>
                      <c:pt idx="104">
                        <c:v>102</c:v>
                      </c:pt>
                      <c:pt idx="105">
                        <c:v>103</c:v>
                      </c:pt>
                      <c:pt idx="106">
                        <c:v>104</c:v>
                      </c:pt>
                      <c:pt idx="107">
                        <c:v>105</c:v>
                      </c:pt>
                      <c:pt idx="108">
                        <c:v>106</c:v>
                      </c:pt>
                      <c:pt idx="109">
                        <c:v>107</c:v>
                      </c:pt>
                      <c:pt idx="110">
                        <c:v>108</c:v>
                      </c:pt>
                      <c:pt idx="111">
                        <c:v>109</c:v>
                      </c:pt>
                      <c:pt idx="112">
                        <c:v>110</c:v>
                      </c:pt>
                      <c:pt idx="113">
                        <c:v>111</c:v>
                      </c:pt>
                      <c:pt idx="114">
                        <c:v>112</c:v>
                      </c:pt>
                      <c:pt idx="115">
                        <c:v>113</c:v>
                      </c:pt>
                      <c:pt idx="116">
                        <c:v>114</c:v>
                      </c:pt>
                      <c:pt idx="117">
                        <c:v>115</c:v>
                      </c:pt>
                      <c:pt idx="118">
                        <c:v>116</c:v>
                      </c:pt>
                      <c:pt idx="119">
                        <c:v>117</c:v>
                      </c:pt>
                      <c:pt idx="120">
                        <c:v>118</c:v>
                      </c:pt>
                      <c:pt idx="121">
                        <c:v>119</c:v>
                      </c:pt>
                      <c:pt idx="122">
                        <c:v>120</c:v>
                      </c:pt>
                      <c:pt idx="123">
                        <c:v>121</c:v>
                      </c:pt>
                      <c:pt idx="124">
                        <c:v>122</c:v>
                      </c:pt>
                      <c:pt idx="125">
                        <c:v>123</c:v>
                      </c:pt>
                      <c:pt idx="126">
                        <c:v>124</c:v>
                      </c:pt>
                      <c:pt idx="127">
                        <c:v>125</c:v>
                      </c:pt>
                      <c:pt idx="128">
                        <c:v>126</c:v>
                      </c:pt>
                      <c:pt idx="129">
                        <c:v>127</c:v>
                      </c:pt>
                      <c:pt idx="130">
                        <c:v>128</c:v>
                      </c:pt>
                      <c:pt idx="131">
                        <c:v>129</c:v>
                      </c:pt>
                      <c:pt idx="132">
                        <c:v>130</c:v>
                      </c:pt>
                      <c:pt idx="133">
                        <c:v>131</c:v>
                      </c:pt>
                      <c:pt idx="134">
                        <c:v>132</c:v>
                      </c:pt>
                      <c:pt idx="135">
                        <c:v>133</c:v>
                      </c:pt>
                      <c:pt idx="136">
                        <c:v>134</c:v>
                      </c:pt>
                      <c:pt idx="137">
                        <c:v>135</c:v>
                      </c:pt>
                      <c:pt idx="138">
                        <c:v>136</c:v>
                      </c:pt>
                      <c:pt idx="139">
                        <c:v>137</c:v>
                      </c:pt>
                      <c:pt idx="140">
                        <c:v>138</c:v>
                      </c:pt>
                      <c:pt idx="141">
                        <c:v>139</c:v>
                      </c:pt>
                      <c:pt idx="142">
                        <c:v>140</c:v>
                      </c:pt>
                      <c:pt idx="143">
                        <c:v>141</c:v>
                      </c:pt>
                      <c:pt idx="144">
                        <c:v>142</c:v>
                      </c:pt>
                      <c:pt idx="145">
                        <c:v>143</c:v>
                      </c:pt>
                      <c:pt idx="146">
                        <c:v>144</c:v>
                      </c:pt>
                      <c:pt idx="147">
                        <c:v>145</c:v>
                      </c:pt>
                      <c:pt idx="148">
                        <c:v>146</c:v>
                      </c:pt>
                      <c:pt idx="149">
                        <c:v>147</c:v>
                      </c:pt>
                      <c:pt idx="150">
                        <c:v>148</c:v>
                      </c:pt>
                      <c:pt idx="151">
                        <c:v>149</c:v>
                      </c:pt>
                      <c:pt idx="152">
                        <c:v>150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'Duty Cycle '!$L$3:$L$157</c15:sqref>
                        </c15:formulaRef>
                      </c:ext>
                    </c:extLst>
                    <c:numCache>
                      <c:formatCode>General</c:formatCode>
                      <c:ptCount val="155"/>
                      <c:pt idx="0">
                        <c:v>0</c:v>
                      </c:pt>
                      <c:pt idx="1">
                        <c:v>0.80373645286874096</c:v>
                      </c:pt>
                      <c:pt idx="2">
                        <c:v>1.3395607547812349</c:v>
                      </c:pt>
                      <c:pt idx="3">
                        <c:v>1.8753850566937287</c:v>
                      </c:pt>
                      <c:pt idx="4">
                        <c:v>2.6791215095624699</c:v>
                      </c:pt>
                      <c:pt idx="5">
                        <c:v>3.4828579624312108</c:v>
                      </c:pt>
                      <c:pt idx="6">
                        <c:v>4.5545065662561992</c:v>
                      </c:pt>
                      <c:pt idx="7">
                        <c:v>5.3582430191249397</c:v>
                      </c:pt>
                      <c:pt idx="8">
                        <c:v>6.4298916229499277</c:v>
                      </c:pt>
                      <c:pt idx="9">
                        <c:v>7.0660536802398575</c:v>
                      </c:pt>
                      <c:pt idx="10">
                        <c:v>8.6362878314042693</c:v>
                      </c:pt>
                      <c:pt idx="11">
                        <c:v>9.4214049069864778</c:v>
                      </c:pt>
                      <c:pt idx="12">
                        <c:v>10.206521982568686</c:v>
                      </c:pt>
                      <c:pt idx="13">
                        <c:v>10.240657507593998</c:v>
                      </c:pt>
                      <c:pt idx="14">
                        <c:v>11.264723258353396</c:v>
                      </c:pt>
                      <c:pt idx="15">
                        <c:v>12.288789009112795</c:v>
                      </c:pt>
                      <c:pt idx="16">
                        <c:v>13.312854759872195</c:v>
                      </c:pt>
                      <c:pt idx="17">
                        <c:v>12.288789009112795</c:v>
                      </c:pt>
                      <c:pt idx="18">
                        <c:v>11.776756133733098</c:v>
                      </c:pt>
                      <c:pt idx="19">
                        <c:v>11.776756133733098</c:v>
                      </c:pt>
                      <c:pt idx="20">
                        <c:v>11.264723258353396</c:v>
                      </c:pt>
                      <c:pt idx="21">
                        <c:v>10.752690382973697</c:v>
                      </c:pt>
                      <c:pt idx="22">
                        <c:v>9.8139634447775812</c:v>
                      </c:pt>
                      <c:pt idx="23">
                        <c:v>9.8139634447775812</c:v>
                      </c:pt>
                      <c:pt idx="24">
                        <c:v>10.206521982568686</c:v>
                      </c:pt>
                      <c:pt idx="25">
                        <c:v>11.264723258353396</c:v>
                      </c:pt>
                      <c:pt idx="26">
                        <c:v>12.288789009112795</c:v>
                      </c:pt>
                      <c:pt idx="27">
                        <c:v>13.312854759872195</c:v>
                      </c:pt>
                      <c:pt idx="28">
                        <c:v>13.312854759872195</c:v>
                      </c:pt>
                      <c:pt idx="29">
                        <c:v>13.312854759872195</c:v>
                      </c:pt>
                      <c:pt idx="30">
                        <c:v>13.312854759872195</c:v>
                      </c:pt>
                      <c:pt idx="31">
                        <c:v>13.312854759872195</c:v>
                      </c:pt>
                      <c:pt idx="32">
                        <c:v>13.312854759872195</c:v>
                      </c:pt>
                      <c:pt idx="33">
                        <c:v>13.312854759872195</c:v>
                      </c:pt>
                      <c:pt idx="34">
                        <c:v>13.312854759872195</c:v>
                      </c:pt>
                      <c:pt idx="35">
                        <c:v>13.312854759872195</c:v>
                      </c:pt>
                      <c:pt idx="36">
                        <c:v>13.312854759872195</c:v>
                      </c:pt>
                      <c:pt idx="37">
                        <c:v>13.312854759872195</c:v>
                      </c:pt>
                      <c:pt idx="38">
                        <c:v>13.312854759872195</c:v>
                      </c:pt>
                      <c:pt idx="39">
                        <c:v>13.312854759872195</c:v>
                      </c:pt>
                      <c:pt idx="40">
                        <c:v>12.800821884492496</c:v>
                      </c:pt>
                      <c:pt idx="41">
                        <c:v>12.288789009112795</c:v>
                      </c:pt>
                      <c:pt idx="42">
                        <c:v>11.264723258353396</c:v>
                      </c:pt>
                      <c:pt idx="43">
                        <c:v>10.240657507593998</c:v>
                      </c:pt>
                      <c:pt idx="44">
                        <c:v>9.0288463691953762</c:v>
                      </c:pt>
                      <c:pt idx="45">
                        <c:v>9.0288463691953762</c:v>
                      </c:pt>
                      <c:pt idx="46">
                        <c:v>9.0288463691953762</c:v>
                      </c:pt>
                      <c:pt idx="47">
                        <c:v>9.0288463691953762</c:v>
                      </c:pt>
                      <c:pt idx="48">
                        <c:v>9.0288463691953762</c:v>
                      </c:pt>
                      <c:pt idx="49">
                        <c:v>9.0288463691953762</c:v>
                      </c:pt>
                      <c:pt idx="50">
                        <c:v>9.0288463691953762</c:v>
                      </c:pt>
                      <c:pt idx="51">
                        <c:v>9.4214049069864778</c:v>
                      </c:pt>
                      <c:pt idx="52">
                        <c:v>10.206521982568686</c:v>
                      </c:pt>
                      <c:pt idx="53">
                        <c:v>10.752690382973697</c:v>
                      </c:pt>
                      <c:pt idx="54">
                        <c:v>11.776756133733098</c:v>
                      </c:pt>
                      <c:pt idx="55">
                        <c:v>12.800821884492496</c:v>
                      </c:pt>
                      <c:pt idx="56">
                        <c:v>13.312854759872195</c:v>
                      </c:pt>
                      <c:pt idx="57">
                        <c:v>13.312854759872195</c:v>
                      </c:pt>
                      <c:pt idx="58">
                        <c:v>13.312854759872195</c:v>
                      </c:pt>
                      <c:pt idx="59">
                        <c:v>13.312854759872195</c:v>
                      </c:pt>
                      <c:pt idx="60">
                        <c:v>12.288789009112795</c:v>
                      </c:pt>
                      <c:pt idx="61">
                        <c:v>10.752690382973697</c:v>
                      </c:pt>
                      <c:pt idx="62">
                        <c:v>9.7286246322142969</c:v>
                      </c:pt>
                      <c:pt idx="63">
                        <c:v>9.0288463691953762</c:v>
                      </c:pt>
                      <c:pt idx="64">
                        <c:v>9.0288463691953762</c:v>
                      </c:pt>
                      <c:pt idx="65">
                        <c:v>9.0288463691953762</c:v>
                      </c:pt>
                      <c:pt idx="66">
                        <c:v>9.0288463691953762</c:v>
                      </c:pt>
                      <c:pt idx="67">
                        <c:v>8.2437292936131676</c:v>
                      </c:pt>
                      <c:pt idx="68">
                        <c:v>8.6362878314042693</c:v>
                      </c:pt>
                      <c:pt idx="69">
                        <c:v>9.4214049069864778</c:v>
                      </c:pt>
                      <c:pt idx="70">
                        <c:v>10.752690382973697</c:v>
                      </c:pt>
                      <c:pt idx="71">
                        <c:v>11.776756133733098</c:v>
                      </c:pt>
                      <c:pt idx="72">
                        <c:v>12.288789009112795</c:v>
                      </c:pt>
                      <c:pt idx="73">
                        <c:v>11.776756133733098</c:v>
                      </c:pt>
                      <c:pt idx="74">
                        <c:v>10.752690382973697</c:v>
                      </c:pt>
                      <c:pt idx="75">
                        <c:v>9.7286246322142969</c:v>
                      </c:pt>
                      <c:pt idx="76">
                        <c:v>9.2165917568345979</c:v>
                      </c:pt>
                      <c:pt idx="77">
                        <c:v>8.6362878314042693</c:v>
                      </c:pt>
                      <c:pt idx="78">
                        <c:v>8.6362878314042693</c:v>
                      </c:pt>
                      <c:pt idx="79">
                        <c:v>8.6362878314042693</c:v>
                      </c:pt>
                      <c:pt idx="80">
                        <c:v>8.6362878314042693</c:v>
                      </c:pt>
                      <c:pt idx="81">
                        <c:v>8.6362878314042693</c:v>
                      </c:pt>
                      <c:pt idx="82">
                        <c:v>8.6362878314042693</c:v>
                      </c:pt>
                      <c:pt idx="83">
                        <c:v>9.0288463691953762</c:v>
                      </c:pt>
                      <c:pt idx="84">
                        <c:v>9.8139634447775812</c:v>
                      </c:pt>
                      <c:pt idx="85">
                        <c:v>10.240657507593998</c:v>
                      </c:pt>
                      <c:pt idx="86">
                        <c:v>10.240657507593998</c:v>
                      </c:pt>
                      <c:pt idx="87">
                        <c:v>9.8139634447775812</c:v>
                      </c:pt>
                      <c:pt idx="88">
                        <c:v>9.0288463691953762</c:v>
                      </c:pt>
                      <c:pt idx="89">
                        <c:v>8.6362878314042693</c:v>
                      </c:pt>
                      <c:pt idx="90">
                        <c:v>8.2437292936131676</c:v>
                      </c:pt>
                      <c:pt idx="91">
                        <c:v>8.2437292936131676</c:v>
                      </c:pt>
                      <c:pt idx="92">
                        <c:v>8.2437292936131676</c:v>
                      </c:pt>
                      <c:pt idx="93">
                        <c:v>8.2437292936131676</c:v>
                      </c:pt>
                      <c:pt idx="94">
                        <c:v>8.2437292936131676</c:v>
                      </c:pt>
                      <c:pt idx="95">
                        <c:v>9.0288463691953762</c:v>
                      </c:pt>
                      <c:pt idx="96">
                        <c:v>10.206521982568686</c:v>
                      </c:pt>
                      <c:pt idx="97">
                        <c:v>10.752690382973697</c:v>
                      </c:pt>
                      <c:pt idx="98">
                        <c:v>11.776756133733098</c:v>
                      </c:pt>
                      <c:pt idx="99">
                        <c:v>12.800821884492496</c:v>
                      </c:pt>
                      <c:pt idx="100">
                        <c:v>13.312854759872195</c:v>
                      </c:pt>
                      <c:pt idx="101">
                        <c:v>11.776756133733098</c:v>
                      </c:pt>
                      <c:pt idx="102">
                        <c:v>10.752690382973697</c:v>
                      </c:pt>
                      <c:pt idx="103">
                        <c:v>10.752690382973697</c:v>
                      </c:pt>
                      <c:pt idx="104">
                        <c:v>10.752690382973697</c:v>
                      </c:pt>
                      <c:pt idx="105">
                        <c:v>10.752690382973697</c:v>
                      </c:pt>
                      <c:pt idx="106">
                        <c:v>11.264723258353396</c:v>
                      </c:pt>
                      <c:pt idx="107">
                        <c:v>11.776756133733098</c:v>
                      </c:pt>
                      <c:pt idx="108">
                        <c:v>12.288789009112795</c:v>
                      </c:pt>
                      <c:pt idx="109">
                        <c:v>13.312854759872195</c:v>
                      </c:pt>
                      <c:pt idx="110">
                        <c:v>13.312854759872195</c:v>
                      </c:pt>
                      <c:pt idx="111">
                        <c:v>13.312854759872195</c:v>
                      </c:pt>
                      <c:pt idx="112">
                        <c:v>11.776756133733098</c:v>
                      </c:pt>
                      <c:pt idx="113">
                        <c:v>10.752690382973697</c:v>
                      </c:pt>
                      <c:pt idx="114">
                        <c:v>10.240657507593998</c:v>
                      </c:pt>
                      <c:pt idx="115">
                        <c:v>10.240657507593998</c:v>
                      </c:pt>
                      <c:pt idx="116">
                        <c:v>11.264723258353396</c:v>
                      </c:pt>
                      <c:pt idx="117">
                        <c:v>12.288789009112795</c:v>
                      </c:pt>
                      <c:pt idx="118">
                        <c:v>13.312854759872195</c:v>
                      </c:pt>
                      <c:pt idx="119">
                        <c:v>13.312854759872195</c:v>
                      </c:pt>
                      <c:pt idx="120">
                        <c:v>12.800821884492496</c:v>
                      </c:pt>
                      <c:pt idx="121">
                        <c:v>12.288789009112795</c:v>
                      </c:pt>
                      <c:pt idx="122">
                        <c:v>12.288789009112795</c:v>
                      </c:pt>
                      <c:pt idx="123">
                        <c:v>12.288789009112795</c:v>
                      </c:pt>
                      <c:pt idx="124">
                        <c:v>12.288789009112795</c:v>
                      </c:pt>
                      <c:pt idx="125">
                        <c:v>12.288789009112795</c:v>
                      </c:pt>
                      <c:pt idx="126">
                        <c:v>12.288789009112795</c:v>
                      </c:pt>
                      <c:pt idx="127">
                        <c:v>12.800821884492496</c:v>
                      </c:pt>
                      <c:pt idx="128">
                        <c:v>13.312854759872195</c:v>
                      </c:pt>
                      <c:pt idx="129">
                        <c:v>13.312854759872195</c:v>
                      </c:pt>
                      <c:pt idx="130">
                        <c:v>13.312854759872195</c:v>
                      </c:pt>
                      <c:pt idx="131">
                        <c:v>13.312854759872195</c:v>
                      </c:pt>
                      <c:pt idx="132">
                        <c:v>12.288789009112795</c:v>
                      </c:pt>
                      <c:pt idx="133">
                        <c:v>10.752690382973697</c:v>
                      </c:pt>
                      <c:pt idx="134">
                        <c:v>9.7286246322142969</c:v>
                      </c:pt>
                      <c:pt idx="135">
                        <c:v>9.7286246322142969</c:v>
                      </c:pt>
                      <c:pt idx="136">
                        <c:v>9.7286246322142969</c:v>
                      </c:pt>
                      <c:pt idx="137">
                        <c:v>9.7286246322142969</c:v>
                      </c:pt>
                      <c:pt idx="138">
                        <c:v>9.7286246322142969</c:v>
                      </c:pt>
                      <c:pt idx="139">
                        <c:v>9.7286246322142969</c:v>
                      </c:pt>
                      <c:pt idx="140">
                        <c:v>9.7286246322142969</c:v>
                      </c:pt>
                      <c:pt idx="141">
                        <c:v>9.7286246322142969</c:v>
                      </c:pt>
                      <c:pt idx="142">
                        <c:v>9.7286246322142969</c:v>
                      </c:pt>
                      <c:pt idx="143">
                        <c:v>9.7286246322142969</c:v>
                      </c:pt>
                      <c:pt idx="144">
                        <c:v>9.7286246322142969</c:v>
                      </c:pt>
                      <c:pt idx="145">
                        <c:v>10.240657507593998</c:v>
                      </c:pt>
                      <c:pt idx="146">
                        <c:v>11.264723258353396</c:v>
                      </c:pt>
                      <c:pt idx="147">
                        <c:v>11.776756133733098</c:v>
                      </c:pt>
                      <c:pt idx="148">
                        <c:v>12.288789009112795</c:v>
                      </c:pt>
                      <c:pt idx="149">
                        <c:v>12.800821884492496</c:v>
                      </c:pt>
                      <c:pt idx="150">
                        <c:v>12.800821884492496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4507-4136-B11F-52EA8E21B68B}"/>
                  </c:ext>
                </c:extLst>
              </c15:ser>
            </c15:filteredScatterSeries>
          </c:ext>
        </c:extLst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Acceleration (m/s²) Against Time (s)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'Duty Cycle '!$G$1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'!$N:$N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0.80373645286874096</c:v>
                </c:pt>
                <c:pt idx="4">
                  <c:v>0.53582430191249397</c:v>
                </c:pt>
                <c:pt idx="5">
                  <c:v>0.53582430191249375</c:v>
                </c:pt>
                <c:pt idx="6">
                  <c:v>0.80373645286874118</c:v>
                </c:pt>
                <c:pt idx="7">
                  <c:v>0.80373645286874096</c:v>
                </c:pt>
                <c:pt idx="8">
                  <c:v>1.0716486038249884</c:v>
                </c:pt>
                <c:pt idx="9">
                  <c:v>0.80373645286874051</c:v>
                </c:pt>
                <c:pt idx="10">
                  <c:v>1.0716486038249879</c:v>
                </c:pt>
                <c:pt idx="11">
                  <c:v>0.63616205728992981</c:v>
                </c:pt>
                <c:pt idx="12">
                  <c:v>1.5702341511644118</c:v>
                </c:pt>
                <c:pt idx="13">
                  <c:v>0.78511707558220856</c:v>
                </c:pt>
                <c:pt idx="14">
                  <c:v>0.78511707558220856</c:v>
                </c:pt>
                <c:pt idx="15">
                  <c:v>3.4135525025311253E-2</c:v>
                </c:pt>
                <c:pt idx="16">
                  <c:v>1.024065750759398</c:v>
                </c:pt>
                <c:pt idx="17">
                  <c:v>1.0240657507593998</c:v>
                </c:pt>
                <c:pt idx="18">
                  <c:v>1.0240657507593998</c:v>
                </c:pt>
                <c:pt idx="19">
                  <c:v>-1.0240657507593998</c:v>
                </c:pt>
                <c:pt idx="20">
                  <c:v>-0.51203287537969722</c:v>
                </c:pt>
                <c:pt idx="21">
                  <c:v>0</c:v>
                </c:pt>
                <c:pt idx="22">
                  <c:v>-0.51203287537970255</c:v>
                </c:pt>
                <c:pt idx="23">
                  <c:v>-0.51203287537969899</c:v>
                </c:pt>
                <c:pt idx="24">
                  <c:v>-0.93872693819611541</c:v>
                </c:pt>
                <c:pt idx="25">
                  <c:v>0</c:v>
                </c:pt>
                <c:pt idx="26">
                  <c:v>0.39255853779110517</c:v>
                </c:pt>
                <c:pt idx="27">
                  <c:v>1.0582012757847092</c:v>
                </c:pt>
                <c:pt idx="28">
                  <c:v>1.0240657507593998</c:v>
                </c:pt>
                <c:pt idx="29">
                  <c:v>1.0240657507593998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-0.51203287537969899</c:v>
                </c:pt>
                <c:pt idx="43">
                  <c:v>-0.51203287537970077</c:v>
                </c:pt>
                <c:pt idx="44">
                  <c:v>-1.0240657507593998</c:v>
                </c:pt>
                <c:pt idx="45">
                  <c:v>-1.024065750759398</c:v>
                </c:pt>
                <c:pt idx="46">
                  <c:v>-1.2118111383986214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0.39255853779110161</c:v>
                </c:pt>
                <c:pt idx="54">
                  <c:v>0.78511707558220856</c:v>
                </c:pt>
                <c:pt idx="55">
                  <c:v>0.54616840040501025</c:v>
                </c:pt>
                <c:pt idx="56">
                  <c:v>1.0240657507594015</c:v>
                </c:pt>
                <c:pt idx="57">
                  <c:v>1.024065750759398</c:v>
                </c:pt>
                <c:pt idx="58">
                  <c:v>0.51203287537969899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-1.0240657507593998</c:v>
                </c:pt>
                <c:pt idx="63">
                  <c:v>-1.5360986261390988</c:v>
                </c:pt>
                <c:pt idx="64">
                  <c:v>-1.0240657507593998</c:v>
                </c:pt>
                <c:pt idx="65">
                  <c:v>-0.69977826301892065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-0.78511707558220856</c:v>
                </c:pt>
                <c:pt idx="70">
                  <c:v>0.39255853779110161</c:v>
                </c:pt>
                <c:pt idx="71">
                  <c:v>0.78511707558220856</c:v>
                </c:pt>
                <c:pt idx="72">
                  <c:v>1.3312854759872188</c:v>
                </c:pt>
                <c:pt idx="73">
                  <c:v>1.0240657507594015</c:v>
                </c:pt>
                <c:pt idx="74">
                  <c:v>0.51203287537969722</c:v>
                </c:pt>
                <c:pt idx="75">
                  <c:v>-0.51203287537969722</c:v>
                </c:pt>
                <c:pt idx="76">
                  <c:v>-1.0240657507594015</c:v>
                </c:pt>
                <c:pt idx="77">
                  <c:v>-1.0240657507593998</c:v>
                </c:pt>
                <c:pt idx="78">
                  <c:v>-0.51203287537969899</c:v>
                </c:pt>
                <c:pt idx="79">
                  <c:v>-0.5803039254303286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0.39255853779110694</c:v>
                </c:pt>
                <c:pt idx="86">
                  <c:v>0.785117075582205</c:v>
                </c:pt>
                <c:pt idx="87">
                  <c:v>0.42669406281641642</c:v>
                </c:pt>
                <c:pt idx="88">
                  <c:v>0</c:v>
                </c:pt>
                <c:pt idx="89">
                  <c:v>-0.42669406281641642</c:v>
                </c:pt>
                <c:pt idx="90">
                  <c:v>-0.785117075582205</c:v>
                </c:pt>
                <c:pt idx="91">
                  <c:v>-0.39255853779110694</c:v>
                </c:pt>
                <c:pt idx="92">
                  <c:v>-0.39255853779110161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0.78511707558220856</c:v>
                </c:pt>
                <c:pt idx="98">
                  <c:v>1.1776756133733102</c:v>
                </c:pt>
                <c:pt idx="99">
                  <c:v>0.54616840040501025</c:v>
                </c:pt>
                <c:pt idx="100">
                  <c:v>1.0240657507594015</c:v>
                </c:pt>
                <c:pt idx="101">
                  <c:v>1.024065750759398</c:v>
                </c:pt>
                <c:pt idx="102">
                  <c:v>0.51203287537969899</c:v>
                </c:pt>
                <c:pt idx="103">
                  <c:v>-1.536098626139097</c:v>
                </c:pt>
                <c:pt idx="104">
                  <c:v>-1.0240657507594015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0.51203287537969899</c:v>
                </c:pt>
                <c:pt idx="109">
                  <c:v>0.51203287537970255</c:v>
                </c:pt>
                <c:pt idx="110">
                  <c:v>0.51203287537969722</c:v>
                </c:pt>
                <c:pt idx="111">
                  <c:v>1.0240657507593998</c:v>
                </c:pt>
                <c:pt idx="112">
                  <c:v>0</c:v>
                </c:pt>
                <c:pt idx="113">
                  <c:v>0</c:v>
                </c:pt>
                <c:pt idx="114">
                  <c:v>-1.536098626139097</c:v>
                </c:pt>
                <c:pt idx="115">
                  <c:v>-1.0240657507594015</c:v>
                </c:pt>
                <c:pt idx="116">
                  <c:v>-0.51203287537969899</c:v>
                </c:pt>
                <c:pt idx="117">
                  <c:v>0</c:v>
                </c:pt>
                <c:pt idx="118">
                  <c:v>1.024065750759398</c:v>
                </c:pt>
                <c:pt idx="119">
                  <c:v>1.0240657507593998</c:v>
                </c:pt>
                <c:pt idx="120">
                  <c:v>1.0240657507593998</c:v>
                </c:pt>
                <c:pt idx="121">
                  <c:v>0</c:v>
                </c:pt>
                <c:pt idx="122">
                  <c:v>-0.51203287537969899</c:v>
                </c:pt>
                <c:pt idx="123">
                  <c:v>-0.51203287537970077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0.51203287537970077</c:v>
                </c:pt>
                <c:pt idx="130">
                  <c:v>0.51203287537969899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-1.0240657507593998</c:v>
                </c:pt>
                <c:pt idx="135">
                  <c:v>-1.5360986261390988</c:v>
                </c:pt>
                <c:pt idx="136">
                  <c:v>-1.0240657507593998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0.51203287537970077</c:v>
                </c:pt>
                <c:pt idx="148">
                  <c:v>1.024065750759398</c:v>
                </c:pt>
                <c:pt idx="149">
                  <c:v>0.51203287537970255</c:v>
                </c:pt>
                <c:pt idx="150">
                  <c:v>0.51203287537969722</c:v>
                </c:pt>
                <c:pt idx="151">
                  <c:v>0.51203287537970077</c:v>
                </c:pt>
                <c:pt idx="15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98-46A6-B9CD-6A57F5430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(m/s²)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(Nm) &amp; Fuel Consumption (g/s)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'Duty Cycle '!$G$1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'!$Y:$Y</c:f>
              <c:numCache>
                <c:formatCode>General</c:formatCode>
                <c:ptCount val="1048576"/>
                <c:pt idx="1">
                  <c:v>0</c:v>
                </c:pt>
                <c:pt idx="2" formatCode="0.00">
                  <c:v>0</c:v>
                </c:pt>
                <c:pt idx="3" formatCode="0.00">
                  <c:v>3</c:v>
                </c:pt>
                <c:pt idx="4" formatCode="0.00">
                  <c:v>3</c:v>
                </c:pt>
                <c:pt idx="5" formatCode="0.00">
                  <c:v>3</c:v>
                </c:pt>
                <c:pt idx="6" formatCode="0.00">
                  <c:v>4</c:v>
                </c:pt>
                <c:pt idx="7" formatCode="0.00">
                  <c:v>7</c:v>
                </c:pt>
                <c:pt idx="8" formatCode="0.00">
                  <c:v>8</c:v>
                </c:pt>
                <c:pt idx="9" formatCode="0.00">
                  <c:v>8</c:v>
                </c:pt>
                <c:pt idx="10" formatCode="0.00">
                  <c:v>8</c:v>
                </c:pt>
                <c:pt idx="11" formatCode="0.00">
                  <c:v>13</c:v>
                </c:pt>
                <c:pt idx="12" formatCode="0.00">
                  <c:v>12</c:v>
                </c:pt>
                <c:pt idx="13" formatCode="0.00">
                  <c:v>11</c:v>
                </c:pt>
                <c:pt idx="14" formatCode="0.00">
                  <c:v>8</c:v>
                </c:pt>
                <c:pt idx="15" formatCode="0.00">
                  <c:v>12</c:v>
                </c:pt>
                <c:pt idx="16" formatCode="0.00">
                  <c:v>9</c:v>
                </c:pt>
                <c:pt idx="17" formatCode="0.00">
                  <c:v>7</c:v>
                </c:pt>
                <c:pt idx="18" formatCode="0.00">
                  <c:v>6</c:v>
                </c:pt>
                <c:pt idx="19" formatCode="0.00">
                  <c:v>9</c:v>
                </c:pt>
                <c:pt idx="20" formatCode="0.00">
                  <c:v>8</c:v>
                </c:pt>
                <c:pt idx="21" formatCode="0.00">
                  <c:v>8</c:v>
                </c:pt>
                <c:pt idx="22" formatCode="0.00">
                  <c:v>8</c:v>
                </c:pt>
                <c:pt idx="23" formatCode="0.00">
                  <c:v>7</c:v>
                </c:pt>
                <c:pt idx="24" formatCode="0.00">
                  <c:v>5</c:v>
                </c:pt>
                <c:pt idx="25" formatCode="0.00">
                  <c:v>3</c:v>
                </c:pt>
                <c:pt idx="26" formatCode="0.00">
                  <c:v>7</c:v>
                </c:pt>
                <c:pt idx="27" formatCode="0.00">
                  <c:v>10</c:v>
                </c:pt>
                <c:pt idx="28" formatCode="0.00">
                  <c:v>7</c:v>
                </c:pt>
                <c:pt idx="29" formatCode="0.00">
                  <c:v>4</c:v>
                </c:pt>
                <c:pt idx="30" formatCode="0.00">
                  <c:v>2</c:v>
                </c:pt>
                <c:pt idx="31" formatCode="0.00">
                  <c:v>4</c:v>
                </c:pt>
                <c:pt idx="32" formatCode="0.00">
                  <c:v>4</c:v>
                </c:pt>
                <c:pt idx="33" formatCode="0.00">
                  <c:v>2</c:v>
                </c:pt>
                <c:pt idx="34" formatCode="0.00">
                  <c:v>2</c:v>
                </c:pt>
                <c:pt idx="35" formatCode="0.00">
                  <c:v>8</c:v>
                </c:pt>
                <c:pt idx="36" formatCode="0.00">
                  <c:v>6</c:v>
                </c:pt>
                <c:pt idx="37" formatCode="0.00">
                  <c:v>6</c:v>
                </c:pt>
                <c:pt idx="38" formatCode="0.00">
                  <c:v>6</c:v>
                </c:pt>
                <c:pt idx="39" formatCode="0.00">
                  <c:v>6</c:v>
                </c:pt>
                <c:pt idx="40" formatCode="0.00">
                  <c:v>4</c:v>
                </c:pt>
                <c:pt idx="41" formatCode="0.00">
                  <c:v>4</c:v>
                </c:pt>
                <c:pt idx="42" formatCode="0.00">
                  <c:v>2</c:v>
                </c:pt>
                <c:pt idx="43" formatCode="0.00">
                  <c:v>2</c:v>
                </c:pt>
                <c:pt idx="44" formatCode="0.00">
                  <c:v>6</c:v>
                </c:pt>
                <c:pt idx="45" formatCode="0.00">
                  <c:v>6</c:v>
                </c:pt>
                <c:pt idx="46" formatCode="0.00">
                  <c:v>5</c:v>
                </c:pt>
                <c:pt idx="47" formatCode="0.00">
                  <c:v>5</c:v>
                </c:pt>
                <c:pt idx="48" formatCode="0.00">
                  <c:v>5</c:v>
                </c:pt>
                <c:pt idx="49" formatCode="0.00">
                  <c:v>5</c:v>
                </c:pt>
                <c:pt idx="50" formatCode="0.00">
                  <c:v>5</c:v>
                </c:pt>
                <c:pt idx="51" formatCode="0.00">
                  <c:v>3</c:v>
                </c:pt>
                <c:pt idx="52" formatCode="0.00">
                  <c:v>1</c:v>
                </c:pt>
                <c:pt idx="53" formatCode="0.00">
                  <c:v>4</c:v>
                </c:pt>
                <c:pt idx="54" formatCode="0.00">
                  <c:v>5</c:v>
                </c:pt>
                <c:pt idx="55" formatCode="0.00">
                  <c:v>6</c:v>
                </c:pt>
                <c:pt idx="56" formatCode="0.00">
                  <c:v>3</c:v>
                </c:pt>
                <c:pt idx="57" formatCode="0.00">
                  <c:v>2</c:v>
                </c:pt>
                <c:pt idx="58" formatCode="0.00">
                  <c:v>5</c:v>
                </c:pt>
                <c:pt idx="59" formatCode="0.00">
                  <c:v>6</c:v>
                </c:pt>
                <c:pt idx="60" formatCode="0.00">
                  <c:v>7</c:v>
                </c:pt>
                <c:pt idx="61" formatCode="0.00">
                  <c:v>7</c:v>
                </c:pt>
                <c:pt idx="62" formatCode="0.00">
                  <c:v>7</c:v>
                </c:pt>
                <c:pt idx="63" formatCode="0.00">
                  <c:v>9</c:v>
                </c:pt>
                <c:pt idx="64" formatCode="0.00">
                  <c:v>11</c:v>
                </c:pt>
                <c:pt idx="65" formatCode="0.00">
                  <c:v>9</c:v>
                </c:pt>
                <c:pt idx="66" formatCode="0.00">
                  <c:v>10</c:v>
                </c:pt>
                <c:pt idx="67" formatCode="0.00">
                  <c:v>11</c:v>
                </c:pt>
                <c:pt idx="68" formatCode="0.00">
                  <c:v>12</c:v>
                </c:pt>
                <c:pt idx="69" formatCode="0.00">
                  <c:v>14</c:v>
                </c:pt>
                <c:pt idx="70" formatCode="0.00">
                  <c:v>17</c:v>
                </c:pt>
                <c:pt idx="71" formatCode="0.00">
                  <c:v>10</c:v>
                </c:pt>
                <c:pt idx="72" formatCode="0.00">
                  <c:v>4</c:v>
                </c:pt>
                <c:pt idx="73" formatCode="0.00">
                  <c:v>1</c:v>
                </c:pt>
                <c:pt idx="74" formatCode="0.00">
                  <c:v>9</c:v>
                </c:pt>
                <c:pt idx="75" formatCode="0.00">
                  <c:v>13</c:v>
                </c:pt>
                <c:pt idx="76" formatCode="0.00">
                  <c:v>18</c:v>
                </c:pt>
                <c:pt idx="77" formatCode="0.00">
                  <c:v>21</c:v>
                </c:pt>
                <c:pt idx="78" formatCode="0.00">
                  <c:v>22</c:v>
                </c:pt>
                <c:pt idx="79" formatCode="0.00">
                  <c:v>20</c:v>
                </c:pt>
                <c:pt idx="80" formatCode="0.00">
                  <c:v>20</c:v>
                </c:pt>
                <c:pt idx="81" formatCode="0.00">
                  <c:v>20</c:v>
                </c:pt>
                <c:pt idx="82" formatCode="0.00">
                  <c:v>20</c:v>
                </c:pt>
                <c:pt idx="83" formatCode="0.00">
                  <c:v>20</c:v>
                </c:pt>
                <c:pt idx="84" formatCode="0.00">
                  <c:v>20</c:v>
                </c:pt>
                <c:pt idx="85" formatCode="0.00">
                  <c:v>15</c:v>
                </c:pt>
                <c:pt idx="86" formatCode="0.00">
                  <c:v>13</c:v>
                </c:pt>
                <c:pt idx="87" formatCode="0.00">
                  <c:v>16</c:v>
                </c:pt>
                <c:pt idx="88" formatCode="0.00">
                  <c:v>16</c:v>
                </c:pt>
                <c:pt idx="89" formatCode="0.00">
                  <c:v>13</c:v>
                </c:pt>
                <c:pt idx="90" formatCode="0.00">
                  <c:v>13</c:v>
                </c:pt>
                <c:pt idx="91" formatCode="0.00">
                  <c:v>13</c:v>
                </c:pt>
                <c:pt idx="92" formatCode="0.00">
                  <c:v>14</c:v>
                </c:pt>
                <c:pt idx="93" formatCode="0.00">
                  <c:v>10</c:v>
                </c:pt>
                <c:pt idx="94" formatCode="0.00">
                  <c:v>10</c:v>
                </c:pt>
                <c:pt idx="95" formatCode="0.00">
                  <c:v>9</c:v>
                </c:pt>
                <c:pt idx="96" formatCode="0.00">
                  <c:v>7</c:v>
                </c:pt>
                <c:pt idx="97" formatCode="0.00">
                  <c:v>3</c:v>
                </c:pt>
                <c:pt idx="98" formatCode="0.00">
                  <c:v>3</c:v>
                </c:pt>
                <c:pt idx="99" formatCode="0.00">
                  <c:v>4</c:v>
                </c:pt>
                <c:pt idx="100" formatCode="0.00">
                  <c:v>4</c:v>
                </c:pt>
                <c:pt idx="101" formatCode="0.00">
                  <c:v>4</c:v>
                </c:pt>
                <c:pt idx="102" formatCode="0.00">
                  <c:v>4</c:v>
                </c:pt>
                <c:pt idx="103" formatCode="0.00">
                  <c:v>4</c:v>
                </c:pt>
                <c:pt idx="104" formatCode="0.00">
                  <c:v>4</c:v>
                </c:pt>
                <c:pt idx="105" formatCode="0.00">
                  <c:v>4</c:v>
                </c:pt>
                <c:pt idx="106" formatCode="0.00">
                  <c:v>4</c:v>
                </c:pt>
                <c:pt idx="107" formatCode="0.00">
                  <c:v>4</c:v>
                </c:pt>
                <c:pt idx="108" formatCode="0.00">
                  <c:v>4</c:v>
                </c:pt>
                <c:pt idx="109" formatCode="0.00">
                  <c:v>4</c:v>
                </c:pt>
                <c:pt idx="110" formatCode="0.00">
                  <c:v>4</c:v>
                </c:pt>
                <c:pt idx="111" formatCode="0.00">
                  <c:v>4</c:v>
                </c:pt>
                <c:pt idx="112" formatCode="0.00">
                  <c:v>4</c:v>
                </c:pt>
                <c:pt idx="113" formatCode="0.00">
                  <c:v>4</c:v>
                </c:pt>
                <c:pt idx="114" formatCode="0.00">
                  <c:v>4</c:v>
                </c:pt>
                <c:pt idx="115" formatCode="0.00">
                  <c:v>4</c:v>
                </c:pt>
                <c:pt idx="116" formatCode="0.00">
                  <c:v>4</c:v>
                </c:pt>
                <c:pt idx="117" formatCode="0.00">
                  <c:v>4</c:v>
                </c:pt>
                <c:pt idx="118" formatCode="0.00">
                  <c:v>4</c:v>
                </c:pt>
                <c:pt idx="119" formatCode="0.00">
                  <c:v>4</c:v>
                </c:pt>
                <c:pt idx="120" formatCode="0.00">
                  <c:v>2</c:v>
                </c:pt>
                <c:pt idx="121" formatCode="0.00">
                  <c:v>4</c:v>
                </c:pt>
                <c:pt idx="122" formatCode="0.00">
                  <c:v>7</c:v>
                </c:pt>
                <c:pt idx="123" formatCode="0.00">
                  <c:v>6</c:v>
                </c:pt>
                <c:pt idx="124" formatCode="0.00">
                  <c:v>6</c:v>
                </c:pt>
                <c:pt idx="125" formatCode="0.00">
                  <c:v>6</c:v>
                </c:pt>
                <c:pt idx="126" formatCode="0.00">
                  <c:v>4</c:v>
                </c:pt>
                <c:pt idx="127" formatCode="0.00">
                  <c:v>4</c:v>
                </c:pt>
                <c:pt idx="128" formatCode="0.00">
                  <c:v>4</c:v>
                </c:pt>
                <c:pt idx="129" formatCode="0.00">
                  <c:v>1</c:v>
                </c:pt>
                <c:pt idx="130" formatCode="0.00">
                  <c:v>7</c:v>
                </c:pt>
                <c:pt idx="131" formatCode="0.00">
                  <c:v>10</c:v>
                </c:pt>
                <c:pt idx="132" formatCode="0.00">
                  <c:v>13</c:v>
                </c:pt>
                <c:pt idx="133" formatCode="0.00">
                  <c:v>14</c:v>
                </c:pt>
                <c:pt idx="134" formatCode="0.00">
                  <c:v>15</c:v>
                </c:pt>
                <c:pt idx="135" formatCode="0.00">
                  <c:v>16</c:v>
                </c:pt>
                <c:pt idx="136" formatCode="0.00">
                  <c:v>19</c:v>
                </c:pt>
                <c:pt idx="137" formatCode="0.00">
                  <c:v>19</c:v>
                </c:pt>
                <c:pt idx="138" formatCode="0.00">
                  <c:v>19</c:v>
                </c:pt>
                <c:pt idx="139" formatCode="0.00">
                  <c:v>19</c:v>
                </c:pt>
                <c:pt idx="140" formatCode="0.00">
                  <c:v>16</c:v>
                </c:pt>
                <c:pt idx="141" formatCode="0.00">
                  <c:v>13</c:v>
                </c:pt>
                <c:pt idx="142" formatCode="0.00">
                  <c:v>9</c:v>
                </c:pt>
                <c:pt idx="143" formatCode="0.00">
                  <c:v>5</c:v>
                </c:pt>
                <c:pt idx="144" formatCode="0.00">
                  <c:v>1</c:v>
                </c:pt>
                <c:pt idx="145" formatCode="0.00">
                  <c:v>5</c:v>
                </c:pt>
                <c:pt idx="146" formatCode="0.00">
                  <c:v>5</c:v>
                </c:pt>
                <c:pt idx="147" formatCode="0.00">
                  <c:v>9</c:v>
                </c:pt>
                <c:pt idx="148" formatCode="0.00">
                  <c:v>9</c:v>
                </c:pt>
                <c:pt idx="149" formatCode="0.00">
                  <c:v>9</c:v>
                </c:pt>
                <c:pt idx="150" formatCode="0.00">
                  <c:v>9</c:v>
                </c:pt>
                <c:pt idx="151" formatCode="0.00">
                  <c:v>9</c:v>
                </c:pt>
                <c:pt idx="152" formatCode="0.00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36-42BF-AA71-85DB9E143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'!$AC:$AC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2.547236102040254E-2</c:v>
                </c:pt>
                <c:pt idx="5">
                  <c:v>4.2276090092012553E-2</c:v>
                </c:pt>
                <c:pt idx="6">
                  <c:v>6.7685868750790829E-2</c:v>
                </c:pt>
                <c:pt idx="7">
                  <c:v>0.17451702676697722</c:v>
                </c:pt>
                <c:pt idx="8">
                  <c:v>0.26877628409497251</c:v>
                </c:pt>
                <c:pt idx="9">
                  <c:v>0.33336574878547709</c:v>
                </c:pt>
                <c:pt idx="10">
                  <c:v>0.40268363106813237</c:v>
                </c:pt>
                <c:pt idx="11">
                  <c:v>0.49296598036192379</c:v>
                </c:pt>
                <c:pt idx="12">
                  <c:v>0.58452072759722584</c:v>
                </c:pt>
                <c:pt idx="13">
                  <c:v>0.55138673292403972</c:v>
                </c:pt>
                <c:pt idx="14">
                  <c:v>0.41645128675544374</c:v>
                </c:pt>
                <c:pt idx="15">
                  <c:v>0.52515822721196892</c:v>
                </c:pt>
                <c:pt idx="16">
                  <c:v>0.43991863266069864</c:v>
                </c:pt>
                <c:pt idx="17">
                  <c:v>0.35658777992416674</c:v>
                </c:pt>
                <c:pt idx="18">
                  <c:v>0.32986606828214932</c:v>
                </c:pt>
                <c:pt idx="19">
                  <c:v>0.46495925624591672</c:v>
                </c:pt>
                <c:pt idx="20">
                  <c:v>0.39798420616536212</c:v>
                </c:pt>
                <c:pt idx="21">
                  <c:v>0.39798420616536401</c:v>
                </c:pt>
                <c:pt idx="22">
                  <c:v>0.38577515745904206</c:v>
                </c:pt>
                <c:pt idx="23">
                  <c:v>0.31995443603113266</c:v>
                </c:pt>
                <c:pt idx="24">
                  <c:v>0.24582885876183125</c:v>
                </c:pt>
                <c:pt idx="25">
                  <c:v>0.13371272855354543</c:v>
                </c:pt>
                <c:pt idx="26">
                  <c:v>0.39474222657737118</c:v>
                </c:pt>
                <c:pt idx="27">
                  <c:v>0.47880244006813072</c:v>
                </c:pt>
                <c:pt idx="28">
                  <c:v>0.34713322548491338</c:v>
                </c:pt>
                <c:pt idx="29">
                  <c:v>0.21207646743593897</c:v>
                </c:pt>
                <c:pt idx="30">
                  <c:v>0.11279591727843701</c:v>
                </c:pt>
                <c:pt idx="31">
                  <c:v>0.22133099278029308</c:v>
                </c:pt>
                <c:pt idx="32">
                  <c:v>0.22133099278029308</c:v>
                </c:pt>
                <c:pt idx="33">
                  <c:v>0.11279591727843701</c:v>
                </c:pt>
                <c:pt idx="34">
                  <c:v>0.10398075037241411</c:v>
                </c:pt>
                <c:pt idx="35">
                  <c:v>0.42732313618626488</c:v>
                </c:pt>
                <c:pt idx="36">
                  <c:v>0.31988092285221403</c:v>
                </c:pt>
                <c:pt idx="37">
                  <c:v>0.31988092285221403</c:v>
                </c:pt>
                <c:pt idx="38">
                  <c:v>0.31988092285221403</c:v>
                </c:pt>
                <c:pt idx="39">
                  <c:v>0.31988092285221403</c:v>
                </c:pt>
                <c:pt idx="40">
                  <c:v>0.17537344881678099</c:v>
                </c:pt>
                <c:pt idx="41">
                  <c:v>0.17537344881678099</c:v>
                </c:pt>
                <c:pt idx="42">
                  <c:v>7.5033284880886522E-2</c:v>
                </c:pt>
                <c:pt idx="43">
                  <c:v>5.6062843350720447E-2</c:v>
                </c:pt>
                <c:pt idx="44">
                  <c:v>0.29109280469419602</c:v>
                </c:pt>
                <c:pt idx="45">
                  <c:v>0.25728665497707043</c:v>
                </c:pt>
                <c:pt idx="46">
                  <c:v>0.21997641825225506</c:v>
                </c:pt>
                <c:pt idx="47">
                  <c:v>0.21997641825225506</c:v>
                </c:pt>
                <c:pt idx="48">
                  <c:v>0.21997641825225506</c:v>
                </c:pt>
                <c:pt idx="49">
                  <c:v>0.21997641825225506</c:v>
                </c:pt>
                <c:pt idx="50">
                  <c:v>0.21997641825225506</c:v>
                </c:pt>
                <c:pt idx="51">
                  <c:v>0.1114557166781447</c:v>
                </c:pt>
                <c:pt idx="52">
                  <c:v>3.0945065345325783E-3</c:v>
                </c:pt>
                <c:pt idx="53">
                  <c:v>0.20087000361603799</c:v>
                </c:pt>
                <c:pt idx="54">
                  <c:v>0.2839531631502058</c:v>
                </c:pt>
                <c:pt idx="55">
                  <c:v>0.26649030432894882</c:v>
                </c:pt>
                <c:pt idx="56">
                  <c:v>0.12434274036765977</c:v>
                </c:pt>
                <c:pt idx="57">
                  <c:v>7.5033284880886522E-2</c:v>
                </c:pt>
                <c:pt idx="58">
                  <c:v>0.2573033913138692</c:v>
                </c:pt>
                <c:pt idx="59">
                  <c:v>0.31156633659711819</c:v>
                </c:pt>
                <c:pt idx="60">
                  <c:v>0.36583846681572607</c:v>
                </c:pt>
                <c:pt idx="61">
                  <c:v>0.36583846681572607</c:v>
                </c:pt>
                <c:pt idx="62">
                  <c:v>0.32720680704544136</c:v>
                </c:pt>
                <c:pt idx="63">
                  <c:v>0.38244291201838443</c:v>
                </c:pt>
                <c:pt idx="64">
                  <c:v>0.45809483833362696</c:v>
                </c:pt>
                <c:pt idx="65">
                  <c:v>0.4368583299699792</c:v>
                </c:pt>
                <c:pt idx="66">
                  <c:v>0.49092957277300459</c:v>
                </c:pt>
                <c:pt idx="67">
                  <c:v>0.54490172659175828</c:v>
                </c:pt>
                <c:pt idx="68">
                  <c:v>0.59875537250324984</c:v>
                </c:pt>
                <c:pt idx="69">
                  <c:v>0.62936722437881742</c:v>
                </c:pt>
                <c:pt idx="70">
                  <c:v>0.78803884482923992</c:v>
                </c:pt>
                <c:pt idx="71">
                  <c:v>0.49676772953496612</c:v>
                </c:pt>
                <c:pt idx="72">
                  <c:v>0.17368734737942895</c:v>
                </c:pt>
                <c:pt idx="73">
                  <c:v>3.4907943559923729E-3</c:v>
                </c:pt>
                <c:pt idx="74">
                  <c:v>0.46059832153968716</c:v>
                </c:pt>
                <c:pt idx="75">
                  <c:v>0.65365127561266745</c:v>
                </c:pt>
                <c:pt idx="76">
                  <c:v>0.82362449608244248</c:v>
                </c:pt>
                <c:pt idx="77">
                  <c:v>0.88667702322200548</c:v>
                </c:pt>
                <c:pt idx="78">
                  <c:v>0.97145503933811095</c:v>
                </c:pt>
                <c:pt idx="79">
                  <c:v>0.94729330029094971</c:v>
                </c:pt>
                <c:pt idx="80">
                  <c:v>0.94729330029095093</c:v>
                </c:pt>
                <c:pt idx="81">
                  <c:v>0.94729330029094971</c:v>
                </c:pt>
                <c:pt idx="82">
                  <c:v>0.94729330029095093</c:v>
                </c:pt>
                <c:pt idx="83">
                  <c:v>0.94729330029094971</c:v>
                </c:pt>
                <c:pt idx="84">
                  <c:v>0.94729330029094971</c:v>
                </c:pt>
                <c:pt idx="85">
                  <c:v>0.75047701629428853</c:v>
                </c:pt>
                <c:pt idx="86">
                  <c:v>0.67539504039310194</c:v>
                </c:pt>
                <c:pt idx="87">
                  <c:v>0.69353072339516608</c:v>
                </c:pt>
                <c:pt idx="88">
                  <c:v>0.69353072339516708</c:v>
                </c:pt>
                <c:pt idx="89">
                  <c:v>0.67539504039310094</c:v>
                </c:pt>
                <c:pt idx="90">
                  <c:v>0.64290743654655924</c:v>
                </c:pt>
                <c:pt idx="91">
                  <c:v>0.62706576000730307</c:v>
                </c:pt>
                <c:pt idx="92">
                  <c:v>0.61147442156310716</c:v>
                </c:pt>
                <c:pt idx="93">
                  <c:v>0.44940483143855425</c:v>
                </c:pt>
                <c:pt idx="94">
                  <c:v>0.44940483143855425</c:v>
                </c:pt>
                <c:pt idx="95">
                  <c:v>0.39520694642642867</c:v>
                </c:pt>
                <c:pt idx="96">
                  <c:v>0.28669155464082763</c:v>
                </c:pt>
                <c:pt idx="97">
                  <c:v>0.12197070829745495</c:v>
                </c:pt>
                <c:pt idx="98">
                  <c:v>0.1454080172260066</c:v>
                </c:pt>
                <c:pt idx="99">
                  <c:v>0.15719678587296068</c:v>
                </c:pt>
                <c:pt idx="100">
                  <c:v>0.181014676767844</c:v>
                </c:pt>
                <c:pt idx="101">
                  <c:v>0.20724532268930684</c:v>
                </c:pt>
                <c:pt idx="102">
                  <c:v>0.22133099278029308</c:v>
                </c:pt>
                <c:pt idx="103">
                  <c:v>0.181014676767844</c:v>
                </c:pt>
                <c:pt idx="104">
                  <c:v>0.15719678587296068</c:v>
                </c:pt>
                <c:pt idx="105">
                  <c:v>0.15719678587296068</c:v>
                </c:pt>
                <c:pt idx="106">
                  <c:v>0.15719678587296068</c:v>
                </c:pt>
                <c:pt idx="107">
                  <c:v>0.15719678587296068</c:v>
                </c:pt>
                <c:pt idx="108">
                  <c:v>0.16881724974113732</c:v>
                </c:pt>
                <c:pt idx="109">
                  <c:v>0.181014676767844</c:v>
                </c:pt>
                <c:pt idx="110">
                  <c:v>0.19381529255119542</c:v>
                </c:pt>
                <c:pt idx="111">
                  <c:v>0.22133099278029308</c:v>
                </c:pt>
                <c:pt idx="112">
                  <c:v>0.22133099278029308</c:v>
                </c:pt>
                <c:pt idx="113">
                  <c:v>0.22133099278029308</c:v>
                </c:pt>
                <c:pt idx="114">
                  <c:v>0.181014676767844</c:v>
                </c:pt>
                <c:pt idx="115">
                  <c:v>0.15719678587296068</c:v>
                </c:pt>
                <c:pt idx="116">
                  <c:v>0.14612705956519892</c:v>
                </c:pt>
                <c:pt idx="117">
                  <c:v>0.14612705956519892</c:v>
                </c:pt>
                <c:pt idx="118">
                  <c:v>0.16881724974113732</c:v>
                </c:pt>
                <c:pt idx="119">
                  <c:v>0.19381529255119542</c:v>
                </c:pt>
                <c:pt idx="120">
                  <c:v>9.4661351378704475E-2</c:v>
                </c:pt>
                <c:pt idx="121">
                  <c:v>0.17537344881678338</c:v>
                </c:pt>
                <c:pt idx="122">
                  <c:v>0.35575225884198569</c:v>
                </c:pt>
                <c:pt idx="123">
                  <c:v>0.32099399554007085</c:v>
                </c:pt>
                <c:pt idx="124">
                  <c:v>0.32099399554007085</c:v>
                </c:pt>
                <c:pt idx="125">
                  <c:v>0.32099399554007185</c:v>
                </c:pt>
                <c:pt idx="126">
                  <c:v>0.21374171099066497</c:v>
                </c:pt>
                <c:pt idx="127">
                  <c:v>0.21374171099066497</c:v>
                </c:pt>
                <c:pt idx="128">
                  <c:v>0.21374171099066497</c:v>
                </c:pt>
                <c:pt idx="129">
                  <c:v>2.0909975820934859E-2</c:v>
                </c:pt>
                <c:pt idx="130">
                  <c:v>0.36583846681572607</c:v>
                </c:pt>
                <c:pt idx="131">
                  <c:v>0.52861812550029386</c:v>
                </c:pt>
                <c:pt idx="132">
                  <c:v>0.74522999917159793</c:v>
                </c:pt>
                <c:pt idx="133">
                  <c:v>0.79924592703195996</c:v>
                </c:pt>
                <c:pt idx="134">
                  <c:v>0.76047896264006576</c:v>
                </c:pt>
                <c:pt idx="135">
                  <c:v>0.70690692089997775</c:v>
                </c:pt>
                <c:pt idx="136">
                  <c:v>0.77951376973639308</c:v>
                </c:pt>
                <c:pt idx="137">
                  <c:v>0.77951376973639397</c:v>
                </c:pt>
                <c:pt idx="138">
                  <c:v>0.77951376973639397</c:v>
                </c:pt>
                <c:pt idx="139">
                  <c:v>0.77951376973639397</c:v>
                </c:pt>
                <c:pt idx="140">
                  <c:v>0.67180949276150814</c:v>
                </c:pt>
                <c:pt idx="141">
                  <c:v>0.50952870148310514</c:v>
                </c:pt>
                <c:pt idx="142">
                  <c:v>0.34678507650229295</c:v>
                </c:pt>
                <c:pt idx="143">
                  <c:v>0.18404145152148088</c:v>
                </c:pt>
                <c:pt idx="144">
                  <c:v>3.2150909184676162E-2</c:v>
                </c:pt>
                <c:pt idx="145">
                  <c:v>0.19310687021741327</c:v>
                </c:pt>
                <c:pt idx="146">
                  <c:v>0.19310687021741327</c:v>
                </c:pt>
                <c:pt idx="147">
                  <c:v>0.36844625038894202</c:v>
                </c:pt>
                <c:pt idx="148">
                  <c:v>0.41336835964725482</c:v>
                </c:pt>
                <c:pt idx="149">
                  <c:v>0.43668174621514866</c:v>
                </c:pt>
                <c:pt idx="150">
                  <c:v>0.46059832153968716</c:v>
                </c:pt>
                <c:pt idx="151">
                  <c:v>0.48514431121898577</c:v>
                </c:pt>
                <c:pt idx="152">
                  <c:v>0.48514431121898577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A36-42BF-AA71-85DB9E1438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766952"/>
        <c:axId val="739509656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valAx>
        <c:axId val="739509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</a:t>
                </a:r>
                <a:r>
                  <a:rPr lang="en-GB" baseline="0"/>
                  <a:t> (g/s)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766952"/>
        <c:crosses val="max"/>
        <c:crossBetween val="midCat"/>
      </c:valAx>
      <c:valAx>
        <c:axId val="823766952"/>
        <c:scaling>
          <c:orientation val="minMax"/>
        </c:scaling>
        <c:delete val="1"/>
        <c:axPos val="b"/>
        <c:majorTickMark val="out"/>
        <c:minorTickMark val="none"/>
        <c:tickLblPos val="nextTo"/>
        <c:crossAx val="73950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Power (KW) &amp; Fuel Consumption (g/s) Against Time (s)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'Duty Cycle '!$G$1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'!$W:$W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0.22994176444466369</c:v>
                </c:pt>
                <c:pt idx="4">
                  <c:v>0.29894720101115307</c:v>
                </c:pt>
                <c:pt idx="5">
                  <c:v>0.49615812183957375</c:v>
                </c:pt>
                <c:pt idx="6">
                  <c:v>0.79437084747856734</c:v>
                </c:pt>
                <c:pt idx="7">
                  <c:v>2.0481562992526969</c:v>
                </c:pt>
                <c:pt idx="8">
                  <c:v>3.1543961615498786</c:v>
                </c:pt>
                <c:pt idx="9">
                  <c:v>3.9124271767576677</c:v>
                </c:pt>
                <c:pt idx="10">
                  <c:v>4.725951563908998</c:v>
                </c:pt>
                <c:pt idx="11">
                  <c:v>5.7855178758214407</c:v>
                </c:pt>
                <c:pt idx="12">
                  <c:v>6.8600172284081369</c:v>
                </c:pt>
                <c:pt idx="13">
                  <c:v>6.4711520204310053</c:v>
                </c:pt>
                <c:pt idx="14">
                  <c:v>4.8875307017404062</c:v>
                </c:pt>
                <c:pt idx="15">
                  <c:v>6.1633305992816947</c:v>
                </c:pt>
                <c:pt idx="16">
                  <c:v>5.1629467641901057</c:v>
                </c:pt>
                <c:pt idx="17">
                  <c:v>4.1849641907056352</c:v>
                </c:pt>
                <c:pt idx="18">
                  <c:v>3.8713544355985281</c:v>
                </c:pt>
                <c:pt idx="19">
                  <c:v>5.4568270341179268</c:v>
                </c:pt>
                <c:pt idx="20">
                  <c:v>4.6707984542337684</c:v>
                </c:pt>
                <c:pt idx="21">
                  <c:v>4.6707984542337906</c:v>
                </c:pt>
                <c:pt idx="22">
                  <c:v>4.5275113465000256</c:v>
                </c:pt>
                <c:pt idx="23">
                  <c:v>3.7550301295587389</c:v>
                </c:pt>
                <c:pt idx="24">
                  <c:v>2.8850819598447321</c:v>
                </c:pt>
                <c:pt idx="25">
                  <c:v>1.5692713332945214</c:v>
                </c:pt>
                <c:pt idx="26">
                  <c:v>4.6327501271552975</c:v>
                </c:pt>
                <c:pt idx="27">
                  <c:v>5.6192925807321199</c:v>
                </c:pt>
                <c:pt idx="28">
                  <c:v>4.0740042139622741</c:v>
                </c:pt>
                <c:pt idx="29">
                  <c:v>2.488959162031577</c:v>
                </c:pt>
                <c:pt idx="30">
                  <c:v>1.3237887029343549</c:v>
                </c:pt>
                <c:pt idx="31">
                  <c:v>2.5975715692664409</c:v>
                </c:pt>
                <c:pt idx="32">
                  <c:v>2.5975715692664409</c:v>
                </c:pt>
                <c:pt idx="33">
                  <c:v>1.3237887029343549</c:v>
                </c:pt>
                <c:pt idx="34">
                  <c:v>1.2203326679444721</c:v>
                </c:pt>
                <c:pt idx="35">
                  <c:v>5.0151242512568972</c:v>
                </c:pt>
                <c:pt idx="36">
                  <c:v>3.7541673685819474</c:v>
                </c:pt>
                <c:pt idx="37">
                  <c:v>3.7541673685819474</c:v>
                </c:pt>
                <c:pt idx="38">
                  <c:v>3.7541673685819474</c:v>
                </c:pt>
                <c:pt idx="39">
                  <c:v>3.7541673685819474</c:v>
                </c:pt>
                <c:pt idx="40">
                  <c:v>2.0582073885281673</c:v>
                </c:pt>
                <c:pt idx="41">
                  <c:v>2.0582073885281673</c:v>
                </c:pt>
                <c:pt idx="42">
                  <c:v>0.88060115353449164</c:v>
                </c:pt>
                <c:pt idx="43">
                  <c:v>0.65796139144700905</c:v>
                </c:pt>
                <c:pt idx="44">
                  <c:v>3.4163059768238533</c:v>
                </c:pt>
                <c:pt idx="45">
                  <c:v>3.0195522629924616</c:v>
                </c:pt>
                <c:pt idx="46">
                  <c:v>2.5816740926487993</c:v>
                </c:pt>
                <c:pt idx="47">
                  <c:v>2.5816740926487993</c:v>
                </c:pt>
                <c:pt idx="48">
                  <c:v>2.5816740926487993</c:v>
                </c:pt>
                <c:pt idx="49">
                  <c:v>2.5816740926487993</c:v>
                </c:pt>
                <c:pt idx="50">
                  <c:v>2.5816740926487993</c:v>
                </c:pt>
                <c:pt idx="51">
                  <c:v>1.308059920748442</c:v>
                </c:pt>
                <c:pt idx="52">
                  <c:v>3.6317562642436907E-2</c:v>
                </c:pt>
                <c:pt idx="53">
                  <c:v>2.357438531120732</c:v>
                </c:pt>
                <c:pt idx="54">
                  <c:v>3.3325141424473985</c:v>
                </c:pt>
                <c:pt idx="55">
                  <c:v>3.1275675824451175</c:v>
                </c:pt>
                <c:pt idx="56">
                  <c:v>1.4593038379596965</c:v>
                </c:pt>
                <c:pt idx="57">
                  <c:v>0.88060115353449164</c:v>
                </c:pt>
                <c:pt idx="58">
                  <c:v>3.019748682988125</c:v>
                </c:pt>
                <c:pt idx="59">
                  <c:v>3.6565862183094699</c:v>
                </c:pt>
                <c:pt idx="60">
                  <c:v>4.2935315493202202</c:v>
                </c:pt>
                <c:pt idx="61">
                  <c:v>4.2935315493202202</c:v>
                </c:pt>
                <c:pt idx="62">
                  <c:v>3.8401449728072876</c:v>
                </c:pt>
                <c:pt idx="63">
                  <c:v>4.488403646716371</c:v>
                </c:pt>
                <c:pt idx="64">
                  <c:v>5.376265262878654</c:v>
                </c:pt>
                <c:pt idx="65">
                  <c:v>5.1270306226551812</c:v>
                </c:pt>
                <c:pt idx="66">
                  <c:v>5.761618310785531</c:v>
                </c:pt>
                <c:pt idx="67">
                  <c:v>6.3950430767008841</c:v>
                </c:pt>
                <c:pt idx="68">
                  <c:v>7.0270770171978425</c:v>
                </c:pt>
                <c:pt idx="69">
                  <c:v>7.3863420036134713</c:v>
                </c:pt>
                <c:pt idx="70">
                  <c:v>9.2485343922799323</c:v>
                </c:pt>
                <c:pt idx="71">
                  <c:v>5.8301357372484652</c:v>
                </c:pt>
                <c:pt idx="72">
                  <c:v>2.0384190656116719</c:v>
                </c:pt>
                <c:pt idx="73">
                  <c:v>4.0968452087876348E-2</c:v>
                </c:pt>
                <c:pt idx="74">
                  <c:v>5.4056464928569303</c:v>
                </c:pt>
                <c:pt idx="75">
                  <c:v>7.6713430343289275</c:v>
                </c:pt>
                <c:pt idx="76">
                  <c:v>9.6661725856842668</c:v>
                </c:pt>
                <c:pt idx="77">
                  <c:v>10.406165886264233</c:v>
                </c:pt>
                <c:pt idx="78">
                  <c:v>11.401132572112015</c:v>
                </c:pt>
                <c:pt idx="79">
                  <c:v>11.117567014371794</c:v>
                </c:pt>
                <c:pt idx="80">
                  <c:v>11.117567014371808</c:v>
                </c:pt>
                <c:pt idx="81">
                  <c:v>11.117567014371794</c:v>
                </c:pt>
                <c:pt idx="82">
                  <c:v>11.117567014371808</c:v>
                </c:pt>
                <c:pt idx="83">
                  <c:v>11.117567014371794</c:v>
                </c:pt>
                <c:pt idx="84">
                  <c:v>11.117567014371794</c:v>
                </c:pt>
                <c:pt idx="85">
                  <c:v>8.8077035051709398</c:v>
                </c:pt>
                <c:pt idx="86">
                  <c:v>7.9265309069940999</c:v>
                </c:pt>
                <c:pt idx="87">
                  <c:v>8.1393738259347526</c:v>
                </c:pt>
                <c:pt idx="88">
                  <c:v>8.139373825934765</c:v>
                </c:pt>
                <c:pt idx="89">
                  <c:v>7.9265309069940884</c:v>
                </c:pt>
                <c:pt idx="90">
                  <c:v>7.5452518324040341</c:v>
                </c:pt>
                <c:pt idx="91">
                  <c:v>7.3593316950072127</c:v>
                </c:pt>
                <c:pt idx="92">
                  <c:v>7.17634956059978</c:v>
                </c:pt>
                <c:pt idx="93">
                  <c:v>5.2742781233288962</c:v>
                </c:pt>
                <c:pt idx="94">
                  <c:v>5.2742781233288962</c:v>
                </c:pt>
                <c:pt idx="95">
                  <c:v>4.6382041444730788</c:v>
                </c:pt>
                <c:pt idx="96">
                  <c:v>3.3646522889952761</c:v>
                </c:pt>
                <c:pt idx="97">
                  <c:v>1.4314653369456585</c:v>
                </c:pt>
                <c:pt idx="98">
                  <c:v>1.706528881224582</c:v>
                </c:pt>
                <c:pt idx="99">
                  <c:v>1.8448835232443057</c:v>
                </c:pt>
                <c:pt idx="100">
                  <c:v>2.1244136308504</c:v>
                </c:pt>
                <c:pt idx="101">
                  <c:v>2.4322601697972641</c:v>
                </c:pt>
                <c:pt idx="102">
                  <c:v>2.5975715692664409</c:v>
                </c:pt>
                <c:pt idx="103">
                  <c:v>2.1244136308504</c:v>
                </c:pt>
                <c:pt idx="104">
                  <c:v>1.8448835232443057</c:v>
                </c:pt>
                <c:pt idx="105">
                  <c:v>1.8448835232443057</c:v>
                </c:pt>
                <c:pt idx="106">
                  <c:v>1.8448835232443057</c:v>
                </c:pt>
                <c:pt idx="107">
                  <c:v>1.8448835232443057</c:v>
                </c:pt>
                <c:pt idx="108">
                  <c:v>1.9812629167783471</c:v>
                </c:pt>
                <c:pt idx="109">
                  <c:v>2.1244136308504</c:v>
                </c:pt>
                <c:pt idx="110">
                  <c:v>2.274643452757644</c:v>
                </c:pt>
                <c:pt idx="111">
                  <c:v>2.5975715692664409</c:v>
                </c:pt>
                <c:pt idx="112">
                  <c:v>2.5975715692664409</c:v>
                </c:pt>
                <c:pt idx="113">
                  <c:v>2.5975715692664409</c:v>
                </c:pt>
                <c:pt idx="114">
                  <c:v>2.1244136308504</c:v>
                </c:pt>
                <c:pt idx="115">
                  <c:v>1.8448835232443057</c:v>
                </c:pt>
                <c:pt idx="116">
                  <c:v>1.7149676629510926</c:v>
                </c:pt>
                <c:pt idx="117">
                  <c:v>1.7149676629510926</c:v>
                </c:pt>
                <c:pt idx="118">
                  <c:v>1.9812629167783471</c:v>
                </c:pt>
                <c:pt idx="119">
                  <c:v>2.274643452757644</c:v>
                </c:pt>
                <c:pt idx="120">
                  <c:v>1.1109588944633195</c:v>
                </c:pt>
                <c:pt idx="121">
                  <c:v>2.0582073885281948</c:v>
                </c:pt>
                <c:pt idx="122">
                  <c:v>4.1751583981171985</c:v>
                </c:pt>
                <c:pt idx="123">
                  <c:v>3.7672305457365991</c:v>
                </c:pt>
                <c:pt idx="124">
                  <c:v>3.7672305457365991</c:v>
                </c:pt>
                <c:pt idx="125">
                  <c:v>3.7672305457366102</c:v>
                </c:pt>
                <c:pt idx="126">
                  <c:v>2.5085026939126012</c:v>
                </c:pt>
                <c:pt idx="127">
                  <c:v>2.5085026939126012</c:v>
                </c:pt>
                <c:pt idx="128">
                  <c:v>2.5085026939126012</c:v>
                </c:pt>
                <c:pt idx="129">
                  <c:v>0.24540240851142661</c:v>
                </c:pt>
                <c:pt idx="130">
                  <c:v>4.2935315493202202</c:v>
                </c:pt>
                <c:pt idx="131">
                  <c:v>6.2039364507867649</c:v>
                </c:pt>
                <c:pt idx="132">
                  <c:v>8.7461237764120092</c:v>
                </c:pt>
                <c:pt idx="133">
                  <c:v>9.3800622806182599</c:v>
                </c:pt>
                <c:pt idx="134">
                  <c:v>8.9250877500918921</c:v>
                </c:pt>
                <c:pt idx="135">
                  <c:v>8.2963587556408349</c:v>
                </c:pt>
                <c:pt idx="136">
                  <c:v>9.1484829154900442</c:v>
                </c:pt>
                <c:pt idx="137">
                  <c:v>9.1484829154900549</c:v>
                </c:pt>
                <c:pt idx="138">
                  <c:v>9.1484829154900549</c:v>
                </c:pt>
                <c:pt idx="139">
                  <c:v>9.1484829154900549</c:v>
                </c:pt>
                <c:pt idx="140">
                  <c:v>7.8844504171761916</c:v>
                </c:pt>
                <c:pt idx="141">
                  <c:v>5.9799002935462662</c:v>
                </c:pt>
                <c:pt idx="142">
                  <c:v>4.0699182886801264</c:v>
                </c:pt>
                <c:pt idx="143">
                  <c:v>2.1599362838139875</c:v>
                </c:pt>
                <c:pt idx="144">
                  <c:v>0.37732757882256263</c:v>
                </c:pt>
                <c:pt idx="145">
                  <c:v>2.2663293089039063</c:v>
                </c:pt>
                <c:pt idx="146">
                  <c:v>2.2663293089039063</c:v>
                </c:pt>
                <c:pt idx="147">
                  <c:v>4.3241368630338313</c:v>
                </c:pt>
                <c:pt idx="148">
                  <c:v>4.8513490368693599</c:v>
                </c:pt>
                <c:pt idx="149">
                  <c:v>5.1249582109455503</c:v>
                </c:pt>
                <c:pt idx="150">
                  <c:v>5.4056464928569303</c:v>
                </c:pt>
                <c:pt idx="151">
                  <c:v>5.6937216699006878</c:v>
                </c:pt>
                <c:pt idx="152">
                  <c:v>5.6937216699006878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B0-42D2-9C29-2FBEE8181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'!$AC:$AC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2.547236102040254E-2</c:v>
                </c:pt>
                <c:pt idx="5">
                  <c:v>4.2276090092012553E-2</c:v>
                </c:pt>
                <c:pt idx="6">
                  <c:v>6.7685868750790829E-2</c:v>
                </c:pt>
                <c:pt idx="7">
                  <c:v>0.17451702676697722</c:v>
                </c:pt>
                <c:pt idx="8">
                  <c:v>0.26877628409497251</c:v>
                </c:pt>
                <c:pt idx="9">
                  <c:v>0.33336574878547709</c:v>
                </c:pt>
                <c:pt idx="10">
                  <c:v>0.40268363106813237</c:v>
                </c:pt>
                <c:pt idx="11">
                  <c:v>0.49296598036192379</c:v>
                </c:pt>
                <c:pt idx="12">
                  <c:v>0.58452072759722584</c:v>
                </c:pt>
                <c:pt idx="13">
                  <c:v>0.55138673292403972</c:v>
                </c:pt>
                <c:pt idx="14">
                  <c:v>0.41645128675544374</c:v>
                </c:pt>
                <c:pt idx="15">
                  <c:v>0.52515822721196892</c:v>
                </c:pt>
                <c:pt idx="16">
                  <c:v>0.43991863266069864</c:v>
                </c:pt>
                <c:pt idx="17">
                  <c:v>0.35658777992416674</c:v>
                </c:pt>
                <c:pt idx="18">
                  <c:v>0.32986606828214932</c:v>
                </c:pt>
                <c:pt idx="19">
                  <c:v>0.46495925624591672</c:v>
                </c:pt>
                <c:pt idx="20">
                  <c:v>0.39798420616536212</c:v>
                </c:pt>
                <c:pt idx="21">
                  <c:v>0.39798420616536401</c:v>
                </c:pt>
                <c:pt idx="22">
                  <c:v>0.38577515745904206</c:v>
                </c:pt>
                <c:pt idx="23">
                  <c:v>0.31995443603113266</c:v>
                </c:pt>
                <c:pt idx="24">
                  <c:v>0.24582885876183125</c:v>
                </c:pt>
                <c:pt idx="25">
                  <c:v>0.13371272855354543</c:v>
                </c:pt>
                <c:pt idx="26">
                  <c:v>0.39474222657737118</c:v>
                </c:pt>
                <c:pt idx="27">
                  <c:v>0.47880244006813072</c:v>
                </c:pt>
                <c:pt idx="28">
                  <c:v>0.34713322548491338</c:v>
                </c:pt>
                <c:pt idx="29">
                  <c:v>0.21207646743593897</c:v>
                </c:pt>
                <c:pt idx="30">
                  <c:v>0.11279591727843701</c:v>
                </c:pt>
                <c:pt idx="31">
                  <c:v>0.22133099278029308</c:v>
                </c:pt>
                <c:pt idx="32">
                  <c:v>0.22133099278029308</c:v>
                </c:pt>
                <c:pt idx="33">
                  <c:v>0.11279591727843701</c:v>
                </c:pt>
                <c:pt idx="34">
                  <c:v>0.10398075037241411</c:v>
                </c:pt>
                <c:pt idx="35">
                  <c:v>0.42732313618626488</c:v>
                </c:pt>
                <c:pt idx="36">
                  <c:v>0.31988092285221403</c:v>
                </c:pt>
                <c:pt idx="37">
                  <c:v>0.31988092285221403</c:v>
                </c:pt>
                <c:pt idx="38">
                  <c:v>0.31988092285221403</c:v>
                </c:pt>
                <c:pt idx="39">
                  <c:v>0.31988092285221403</c:v>
                </c:pt>
                <c:pt idx="40">
                  <c:v>0.17537344881678099</c:v>
                </c:pt>
                <c:pt idx="41">
                  <c:v>0.17537344881678099</c:v>
                </c:pt>
                <c:pt idx="42">
                  <c:v>7.5033284880886522E-2</c:v>
                </c:pt>
                <c:pt idx="43">
                  <c:v>5.6062843350720447E-2</c:v>
                </c:pt>
                <c:pt idx="44">
                  <c:v>0.29109280469419602</c:v>
                </c:pt>
                <c:pt idx="45">
                  <c:v>0.25728665497707043</c:v>
                </c:pt>
                <c:pt idx="46">
                  <c:v>0.21997641825225506</c:v>
                </c:pt>
                <c:pt idx="47">
                  <c:v>0.21997641825225506</c:v>
                </c:pt>
                <c:pt idx="48">
                  <c:v>0.21997641825225506</c:v>
                </c:pt>
                <c:pt idx="49">
                  <c:v>0.21997641825225506</c:v>
                </c:pt>
                <c:pt idx="50">
                  <c:v>0.21997641825225506</c:v>
                </c:pt>
                <c:pt idx="51">
                  <c:v>0.1114557166781447</c:v>
                </c:pt>
                <c:pt idx="52">
                  <c:v>3.0945065345325783E-3</c:v>
                </c:pt>
                <c:pt idx="53">
                  <c:v>0.20087000361603799</c:v>
                </c:pt>
                <c:pt idx="54">
                  <c:v>0.2839531631502058</c:v>
                </c:pt>
                <c:pt idx="55">
                  <c:v>0.26649030432894882</c:v>
                </c:pt>
                <c:pt idx="56">
                  <c:v>0.12434274036765977</c:v>
                </c:pt>
                <c:pt idx="57">
                  <c:v>7.5033284880886522E-2</c:v>
                </c:pt>
                <c:pt idx="58">
                  <c:v>0.2573033913138692</c:v>
                </c:pt>
                <c:pt idx="59">
                  <c:v>0.31156633659711819</c:v>
                </c:pt>
                <c:pt idx="60">
                  <c:v>0.36583846681572607</c:v>
                </c:pt>
                <c:pt idx="61">
                  <c:v>0.36583846681572607</c:v>
                </c:pt>
                <c:pt idx="62">
                  <c:v>0.32720680704544136</c:v>
                </c:pt>
                <c:pt idx="63">
                  <c:v>0.38244291201838443</c:v>
                </c:pt>
                <c:pt idx="64">
                  <c:v>0.45809483833362696</c:v>
                </c:pt>
                <c:pt idx="65">
                  <c:v>0.4368583299699792</c:v>
                </c:pt>
                <c:pt idx="66">
                  <c:v>0.49092957277300459</c:v>
                </c:pt>
                <c:pt idx="67">
                  <c:v>0.54490172659175828</c:v>
                </c:pt>
                <c:pt idx="68">
                  <c:v>0.59875537250324984</c:v>
                </c:pt>
                <c:pt idx="69">
                  <c:v>0.62936722437881742</c:v>
                </c:pt>
                <c:pt idx="70">
                  <c:v>0.78803884482923992</c:v>
                </c:pt>
                <c:pt idx="71">
                  <c:v>0.49676772953496612</c:v>
                </c:pt>
                <c:pt idx="72">
                  <c:v>0.17368734737942895</c:v>
                </c:pt>
                <c:pt idx="73">
                  <c:v>3.4907943559923729E-3</c:v>
                </c:pt>
                <c:pt idx="74">
                  <c:v>0.46059832153968716</c:v>
                </c:pt>
                <c:pt idx="75">
                  <c:v>0.65365127561266745</c:v>
                </c:pt>
                <c:pt idx="76">
                  <c:v>0.82362449608244248</c:v>
                </c:pt>
                <c:pt idx="77">
                  <c:v>0.88667702322200548</c:v>
                </c:pt>
                <c:pt idx="78">
                  <c:v>0.97145503933811095</c:v>
                </c:pt>
                <c:pt idx="79">
                  <c:v>0.94729330029094971</c:v>
                </c:pt>
                <c:pt idx="80">
                  <c:v>0.94729330029095093</c:v>
                </c:pt>
                <c:pt idx="81">
                  <c:v>0.94729330029094971</c:v>
                </c:pt>
                <c:pt idx="82">
                  <c:v>0.94729330029095093</c:v>
                </c:pt>
                <c:pt idx="83">
                  <c:v>0.94729330029094971</c:v>
                </c:pt>
                <c:pt idx="84">
                  <c:v>0.94729330029094971</c:v>
                </c:pt>
                <c:pt idx="85">
                  <c:v>0.75047701629428853</c:v>
                </c:pt>
                <c:pt idx="86">
                  <c:v>0.67539504039310194</c:v>
                </c:pt>
                <c:pt idx="87">
                  <c:v>0.69353072339516608</c:v>
                </c:pt>
                <c:pt idx="88">
                  <c:v>0.69353072339516708</c:v>
                </c:pt>
                <c:pt idx="89">
                  <c:v>0.67539504039310094</c:v>
                </c:pt>
                <c:pt idx="90">
                  <c:v>0.64290743654655924</c:v>
                </c:pt>
                <c:pt idx="91">
                  <c:v>0.62706576000730307</c:v>
                </c:pt>
                <c:pt idx="92">
                  <c:v>0.61147442156310716</c:v>
                </c:pt>
                <c:pt idx="93">
                  <c:v>0.44940483143855425</c:v>
                </c:pt>
                <c:pt idx="94">
                  <c:v>0.44940483143855425</c:v>
                </c:pt>
                <c:pt idx="95">
                  <c:v>0.39520694642642867</c:v>
                </c:pt>
                <c:pt idx="96">
                  <c:v>0.28669155464082763</c:v>
                </c:pt>
                <c:pt idx="97">
                  <c:v>0.12197070829745495</c:v>
                </c:pt>
                <c:pt idx="98">
                  <c:v>0.1454080172260066</c:v>
                </c:pt>
                <c:pt idx="99">
                  <c:v>0.15719678587296068</c:v>
                </c:pt>
                <c:pt idx="100">
                  <c:v>0.181014676767844</c:v>
                </c:pt>
                <c:pt idx="101">
                  <c:v>0.20724532268930684</c:v>
                </c:pt>
                <c:pt idx="102">
                  <c:v>0.22133099278029308</c:v>
                </c:pt>
                <c:pt idx="103">
                  <c:v>0.181014676767844</c:v>
                </c:pt>
                <c:pt idx="104">
                  <c:v>0.15719678587296068</c:v>
                </c:pt>
                <c:pt idx="105">
                  <c:v>0.15719678587296068</c:v>
                </c:pt>
                <c:pt idx="106">
                  <c:v>0.15719678587296068</c:v>
                </c:pt>
                <c:pt idx="107">
                  <c:v>0.15719678587296068</c:v>
                </c:pt>
                <c:pt idx="108">
                  <c:v>0.16881724974113732</c:v>
                </c:pt>
                <c:pt idx="109">
                  <c:v>0.181014676767844</c:v>
                </c:pt>
                <c:pt idx="110">
                  <c:v>0.19381529255119542</c:v>
                </c:pt>
                <c:pt idx="111">
                  <c:v>0.22133099278029308</c:v>
                </c:pt>
                <c:pt idx="112">
                  <c:v>0.22133099278029308</c:v>
                </c:pt>
                <c:pt idx="113">
                  <c:v>0.22133099278029308</c:v>
                </c:pt>
                <c:pt idx="114">
                  <c:v>0.181014676767844</c:v>
                </c:pt>
                <c:pt idx="115">
                  <c:v>0.15719678587296068</c:v>
                </c:pt>
                <c:pt idx="116">
                  <c:v>0.14612705956519892</c:v>
                </c:pt>
                <c:pt idx="117">
                  <c:v>0.14612705956519892</c:v>
                </c:pt>
                <c:pt idx="118">
                  <c:v>0.16881724974113732</c:v>
                </c:pt>
                <c:pt idx="119">
                  <c:v>0.19381529255119542</c:v>
                </c:pt>
                <c:pt idx="120">
                  <c:v>9.4661351378704475E-2</c:v>
                </c:pt>
                <c:pt idx="121">
                  <c:v>0.17537344881678338</c:v>
                </c:pt>
                <c:pt idx="122">
                  <c:v>0.35575225884198569</c:v>
                </c:pt>
                <c:pt idx="123">
                  <c:v>0.32099399554007085</c:v>
                </c:pt>
                <c:pt idx="124">
                  <c:v>0.32099399554007085</c:v>
                </c:pt>
                <c:pt idx="125">
                  <c:v>0.32099399554007185</c:v>
                </c:pt>
                <c:pt idx="126">
                  <c:v>0.21374171099066497</c:v>
                </c:pt>
                <c:pt idx="127">
                  <c:v>0.21374171099066497</c:v>
                </c:pt>
                <c:pt idx="128">
                  <c:v>0.21374171099066497</c:v>
                </c:pt>
                <c:pt idx="129">
                  <c:v>2.0909975820934859E-2</c:v>
                </c:pt>
                <c:pt idx="130">
                  <c:v>0.36583846681572607</c:v>
                </c:pt>
                <c:pt idx="131">
                  <c:v>0.52861812550029386</c:v>
                </c:pt>
                <c:pt idx="132">
                  <c:v>0.74522999917159793</c:v>
                </c:pt>
                <c:pt idx="133">
                  <c:v>0.79924592703195996</c:v>
                </c:pt>
                <c:pt idx="134">
                  <c:v>0.76047896264006576</c:v>
                </c:pt>
                <c:pt idx="135">
                  <c:v>0.70690692089997775</c:v>
                </c:pt>
                <c:pt idx="136">
                  <c:v>0.77951376973639308</c:v>
                </c:pt>
                <c:pt idx="137">
                  <c:v>0.77951376973639397</c:v>
                </c:pt>
                <c:pt idx="138">
                  <c:v>0.77951376973639397</c:v>
                </c:pt>
                <c:pt idx="139">
                  <c:v>0.77951376973639397</c:v>
                </c:pt>
                <c:pt idx="140">
                  <c:v>0.67180949276150814</c:v>
                </c:pt>
                <c:pt idx="141">
                  <c:v>0.50952870148310514</c:v>
                </c:pt>
                <c:pt idx="142">
                  <c:v>0.34678507650229295</c:v>
                </c:pt>
                <c:pt idx="143">
                  <c:v>0.18404145152148088</c:v>
                </c:pt>
                <c:pt idx="144">
                  <c:v>3.2150909184676162E-2</c:v>
                </c:pt>
                <c:pt idx="145">
                  <c:v>0.19310687021741327</c:v>
                </c:pt>
                <c:pt idx="146">
                  <c:v>0.19310687021741327</c:v>
                </c:pt>
                <c:pt idx="147">
                  <c:v>0.36844625038894202</c:v>
                </c:pt>
                <c:pt idx="148">
                  <c:v>0.41336835964725482</c:v>
                </c:pt>
                <c:pt idx="149">
                  <c:v>0.43668174621514866</c:v>
                </c:pt>
                <c:pt idx="150">
                  <c:v>0.46059832153968716</c:v>
                </c:pt>
                <c:pt idx="151">
                  <c:v>0.48514431121898577</c:v>
                </c:pt>
                <c:pt idx="152">
                  <c:v>0.48514431121898577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1B0-42D2-9C29-2FBEE8181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766952"/>
        <c:axId val="739509656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valAx>
        <c:axId val="739509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</a:t>
                </a:r>
                <a:r>
                  <a:rPr lang="en-GB" baseline="0"/>
                  <a:t> (g/s)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766952"/>
        <c:crosses val="max"/>
        <c:crossBetween val="midCat"/>
      </c:valAx>
      <c:valAx>
        <c:axId val="823766952"/>
        <c:scaling>
          <c:orientation val="minMax"/>
        </c:scaling>
        <c:delete val="1"/>
        <c:axPos val="b"/>
        <c:majorTickMark val="out"/>
        <c:minorTickMark val="none"/>
        <c:tickLblPos val="nextTo"/>
        <c:crossAx val="73950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Work Done (J) &amp; Fuel Consumption (g/s) Against Time (s)</a:t>
            </a:r>
            <a:endParaRPr lang="en-GB">
              <a:effectLst/>
            </a:endParaRPr>
          </a:p>
        </c:rich>
      </c:tx>
      <c:layout>
        <c:manualLayout>
          <c:xMode val="edge"/>
          <c:yMode val="edge"/>
          <c:x val="0.10750474180590562"/>
          <c:y val="3.111111111111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'Duty Cycle '!$G$1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'!$Z:$Z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229.94176444466368</c:v>
                </c:pt>
                <c:pt idx="4">
                  <c:v>478.31552161784498</c:v>
                </c:pt>
                <c:pt idx="5">
                  <c:v>1063.1959753705153</c:v>
                </c:pt>
                <c:pt idx="6">
                  <c:v>1985.9271186964181</c:v>
                </c:pt>
                <c:pt idx="7">
                  <c:v>5986.918413200191</c:v>
                </c:pt>
                <c:pt idx="8">
                  <c:v>10205.399346190781</c:v>
                </c:pt>
                <c:pt idx="9">
                  <c:v>14671.601912841254</c:v>
                </c:pt>
                <c:pt idx="10">
                  <c:v>19494.550201124617</c:v>
                </c:pt>
                <c:pt idx="11">
                  <c:v>27502.171931441051</c:v>
                </c:pt>
                <c:pt idx="12">
                  <c:v>33540.874749173381</c:v>
                </c:pt>
                <c:pt idx="13">
                  <c:v>35474.105097507636</c:v>
                </c:pt>
                <c:pt idx="14">
                  <c:v>29619.416827938509</c:v>
                </c:pt>
                <c:pt idx="15">
                  <c:v>43389.847418943122</c:v>
                </c:pt>
                <c:pt idx="16">
                  <c:v>38205.806055006782</c:v>
                </c:pt>
                <c:pt idx="17">
                  <c:v>32572.971284325522</c:v>
                </c:pt>
                <c:pt idx="18">
                  <c:v>31685.54707289872</c:v>
                </c:pt>
                <c:pt idx="19">
                  <c:v>53840.693403296878</c:v>
                </c:pt>
                <c:pt idx="20">
                  <c:v>52759.714713475332</c:v>
                </c:pt>
                <c:pt idx="21">
                  <c:v>57430.513167709381</c:v>
                </c:pt>
                <c:pt idx="22">
                  <c:v>62726.611746054914</c:v>
                </c:pt>
                <c:pt idx="23">
                  <c:v>58256.610295725572</c:v>
                </c:pt>
                <c:pt idx="24">
                  <c:v>51926.457743361963</c:v>
                </c:pt>
                <c:pt idx="25">
                  <c:v>-29813.42616505974</c:v>
                </c:pt>
                <c:pt idx="26">
                  <c:v>-89261.784222547358</c:v>
                </c:pt>
                <c:pt idx="27">
                  <c:v>-103718.51851284651</c:v>
                </c:pt>
                <c:pt idx="28">
                  <c:v>-73003.892178529539</c:v>
                </c:pt>
                <c:pt idx="29">
                  <c:v>-43658.896480661591</c:v>
                </c:pt>
                <c:pt idx="30">
                  <c:v>24544.400284405954</c:v>
                </c:pt>
                <c:pt idx="31">
                  <c:v>50759.212639434743</c:v>
                </c:pt>
                <c:pt idx="32">
                  <c:v>53356.784208701189</c:v>
                </c:pt>
                <c:pt idx="33">
                  <c:v>28515.766393209025</c:v>
                </c:pt>
                <c:pt idx="34">
                  <c:v>-27507.549958717587</c:v>
                </c:pt>
                <c:pt idx="35">
                  <c:v>-118061.16859176818</c:v>
                </c:pt>
                <c:pt idx="36">
                  <c:v>-92131.117653071371</c:v>
                </c:pt>
                <c:pt idx="37">
                  <c:v>-95885.285021653326</c:v>
                </c:pt>
                <c:pt idx="38">
                  <c:v>-99639.452390235281</c:v>
                </c:pt>
                <c:pt idx="39">
                  <c:v>-103393.61975881722</c:v>
                </c:pt>
                <c:pt idx="40">
                  <c:v>-58743.349850530889</c:v>
                </c:pt>
                <c:pt idx="41">
                  <c:v>-60801.557239059053</c:v>
                </c:pt>
                <c:pt idx="42">
                  <c:v>27935.016859856849</c:v>
                </c:pt>
                <c:pt idx="43">
                  <c:v>22399.930037707076</c:v>
                </c:pt>
                <c:pt idx="44">
                  <c:v>130295.83946759102</c:v>
                </c:pt>
                <c:pt idx="45">
                  <c:v>129699.83486973627</c:v>
                </c:pt>
                <c:pt idx="46">
                  <c:v>128356.54123016274</c:v>
                </c:pt>
                <c:pt idx="47">
                  <c:v>130938.21532281153</c:v>
                </c:pt>
                <c:pt idx="48">
                  <c:v>133519.88941546032</c:v>
                </c:pt>
                <c:pt idx="49">
                  <c:v>136101.56350810913</c:v>
                </c:pt>
                <c:pt idx="50">
                  <c:v>138683.23760075794</c:v>
                </c:pt>
                <c:pt idx="51">
                  <c:v>71574.862884658622</c:v>
                </c:pt>
                <c:pt idx="52">
                  <c:v>2023.5541755875768</c:v>
                </c:pt>
                <c:pt idx="53">
                  <c:v>-128236.96879340986</c:v>
                </c:pt>
                <c:pt idx="54">
                  <c:v>-170665.96256262809</c:v>
                </c:pt>
                <c:pt idx="55">
                  <c:v>-155162.10284019395</c:v>
                </c:pt>
                <c:pt idx="56">
                  <c:v>-67561.537831336987</c:v>
                </c:pt>
                <c:pt idx="57">
                  <c:v>38388.339619746963</c:v>
                </c:pt>
                <c:pt idx="58">
                  <c:v>129597.54764490708</c:v>
                </c:pt>
                <c:pt idx="59">
                  <c:v>160585.07808742428</c:v>
                </c:pt>
                <c:pt idx="60">
                  <c:v>192851.12542363329</c:v>
                </c:pt>
                <c:pt idx="61">
                  <c:v>197144.6569729535</c:v>
                </c:pt>
                <c:pt idx="62">
                  <c:v>194860.6896965476</c:v>
                </c:pt>
                <c:pt idx="63">
                  <c:v>264780.19290510152</c:v>
                </c:pt>
                <c:pt idx="64">
                  <c:v>355918.19244688773</c:v>
                </c:pt>
                <c:pt idx="65">
                  <c:v>370851.98439561023</c:v>
                </c:pt>
                <c:pt idx="66">
                  <c:v>422515.04561493959</c:v>
                </c:pt>
                <c:pt idx="67">
                  <c:v>475360.83905866172</c:v>
                </c:pt>
                <c:pt idx="68">
                  <c:v>529368.70739574882</c:v>
                </c:pt>
                <c:pt idx="69">
                  <c:v>616813.08151914214</c:v>
                </c:pt>
                <c:pt idx="70">
                  <c:v>746462.73632551869</c:v>
                </c:pt>
                <c:pt idx="71">
                  <c:v>437175.68557280506</c:v>
                </c:pt>
                <c:pt idx="72">
                  <c:v>135965.78726211691</c:v>
                </c:pt>
                <c:pt idx="73">
                  <c:v>2536.0065588077882</c:v>
                </c:pt>
                <c:pt idx="74">
                  <c:v>326080.60899689182</c:v>
                </c:pt>
                <c:pt idx="75">
                  <c:v>490543.47443574021</c:v>
                </c:pt>
                <c:pt idx="76">
                  <c:v>686635.80246752722</c:v>
                </c:pt>
                <c:pt idx="77">
                  <c:v>827417.98297766212</c:v>
                </c:pt>
                <c:pt idx="78">
                  <c:v>968293.96670777979</c:v>
                </c:pt>
                <c:pt idx="79">
                  <c:v>1018773.4136806153</c:v>
                </c:pt>
                <c:pt idx="80">
                  <c:v>1029890.9806949882</c:v>
                </c:pt>
                <c:pt idx="81">
                  <c:v>1041008.5477093589</c:v>
                </c:pt>
                <c:pt idx="82">
                  <c:v>1052126.1147237318</c:v>
                </c:pt>
                <c:pt idx="83">
                  <c:v>1063243.6817381026</c:v>
                </c:pt>
                <c:pt idx="84">
                  <c:v>1074361.2487524743</c:v>
                </c:pt>
                <c:pt idx="85">
                  <c:v>822945.86228749296</c:v>
                </c:pt>
                <c:pt idx="86">
                  <c:v>689291.12767220661</c:v>
                </c:pt>
                <c:pt idx="87">
                  <c:v>686447.65723325033</c:v>
                </c:pt>
                <c:pt idx="88">
                  <c:v>694587.03105918609</c:v>
                </c:pt>
                <c:pt idx="89">
                  <c:v>713759.98395031784</c:v>
                </c:pt>
                <c:pt idx="90">
                  <c:v>746052.82106942381</c:v>
                </c:pt>
                <c:pt idx="91">
                  <c:v>768104.79343225469</c:v>
                </c:pt>
                <c:pt idx="92">
                  <c:v>791849.99965251575</c:v>
                </c:pt>
                <c:pt idx="93">
                  <c:v>587246.64371921588</c:v>
                </c:pt>
                <c:pt idx="94">
                  <c:v>592520.92184254469</c:v>
                </c:pt>
                <c:pt idx="95">
                  <c:v>525701.54800214095</c:v>
                </c:pt>
                <c:pt idx="96">
                  <c:v>384719.77632368944</c:v>
                </c:pt>
                <c:pt idx="97">
                  <c:v>150874.82292389803</c:v>
                </c:pt>
                <c:pt idx="98">
                  <c:v>160818.94410122075</c:v>
                </c:pt>
                <c:pt idx="99">
                  <c:v>166871.17887071977</c:v>
                </c:pt>
                <c:pt idx="100">
                  <c:v>177570.19093574764</c:v>
                </c:pt>
                <c:pt idx="101">
                  <c:v>189469.82421364702</c:v>
                </c:pt>
                <c:pt idx="102">
                  <c:v>197162.34254724393</c:v>
                </c:pt>
                <c:pt idx="103">
                  <c:v>184405.26087848371</c:v>
                </c:pt>
                <c:pt idx="104">
                  <c:v>177237.66723942588</c:v>
                </c:pt>
                <c:pt idx="105">
                  <c:v>179082.55076267017</c:v>
                </c:pt>
                <c:pt idx="106">
                  <c:v>180927.4342859145</c:v>
                </c:pt>
                <c:pt idx="107">
                  <c:v>182772.31780915879</c:v>
                </c:pt>
                <c:pt idx="108">
                  <c:v>189342.69274678396</c:v>
                </c:pt>
                <c:pt idx="109">
                  <c:v>196320.45037325332</c:v>
                </c:pt>
                <c:pt idx="110">
                  <c:v>203719.59501058867</c:v>
                </c:pt>
                <c:pt idx="111">
                  <c:v>217343.47550846782</c:v>
                </c:pt>
                <c:pt idx="112">
                  <c:v>219941.04707773426</c:v>
                </c:pt>
                <c:pt idx="113">
                  <c:v>222538.61864700069</c:v>
                </c:pt>
                <c:pt idx="114">
                  <c:v>207866.17662787501</c:v>
                </c:pt>
                <c:pt idx="115">
                  <c:v>199551.97271104742</c:v>
                </c:pt>
                <c:pt idx="116">
                  <c:v>196489.56170318302</c:v>
                </c:pt>
                <c:pt idx="117">
                  <c:v>198204.52936613411</c:v>
                </c:pt>
                <c:pt idx="118">
                  <c:v>210145.95337295654</c:v>
                </c:pt>
                <c:pt idx="119">
                  <c:v>223433.1716011549</c:v>
                </c:pt>
                <c:pt idx="120">
                  <c:v>101843.59588423738</c:v>
                </c:pt>
                <c:pt idx="121">
                  <c:v>-190737.77291329738</c:v>
                </c:pt>
                <c:pt idx="122">
                  <c:v>-406571.35793078848</c:v>
                </c:pt>
                <c:pt idx="123">
                  <c:v>-385900.4467642458</c:v>
                </c:pt>
                <c:pt idx="124">
                  <c:v>-389667.67730998242</c:v>
                </c:pt>
                <c:pt idx="125">
                  <c:v>-393434.9078557202</c:v>
                </c:pt>
                <c:pt idx="126">
                  <c:v>-264486.76875789044</c:v>
                </c:pt>
                <c:pt idx="127">
                  <c:v>-266995.27145180304</c:v>
                </c:pt>
                <c:pt idx="128">
                  <c:v>-269503.7741457157</c:v>
                </c:pt>
                <c:pt idx="129">
                  <c:v>25555.879619168612</c:v>
                </c:pt>
                <c:pt idx="130">
                  <c:v>434219.15735458484</c:v>
                </c:pt>
                <c:pt idx="131">
                  <c:v>633628.70950702147</c:v>
                </c:pt>
                <c:pt idx="132">
                  <c:v>902016.89880729152</c:v>
                </c:pt>
                <c:pt idx="133">
                  <c:v>976777.15215504786</c:v>
                </c:pt>
                <c:pt idx="134">
                  <c:v>1015774.1536021247</c:v>
                </c:pt>
                <c:pt idx="135">
                  <c:v>1087402.4252195018</c:v>
                </c:pt>
                <c:pt idx="136">
                  <c:v>1334458.7079394807</c:v>
                </c:pt>
                <c:pt idx="137">
                  <c:v>1343607.1908549725</c:v>
                </c:pt>
                <c:pt idx="138">
                  <c:v>1352755.6737704626</c:v>
                </c:pt>
                <c:pt idx="139">
                  <c:v>1361904.1566859528</c:v>
                </c:pt>
                <c:pt idx="140">
                  <c:v>1181616.3025208053</c:v>
                </c:pt>
                <c:pt idx="141">
                  <c:v>902167.62428634672</c:v>
                </c:pt>
                <c:pt idx="142">
                  <c:v>618084.9241075553</c:v>
                </c:pt>
                <c:pt idx="143">
                  <c:v>330182.25991903164</c:v>
                </c:pt>
                <c:pt idx="144">
                  <c:v>-58058.136794831655</c:v>
                </c:pt>
                <c:pt idx="145">
                  <c:v>-350978.86563891842</c:v>
                </c:pt>
                <c:pt idx="146">
                  <c:v>-353245.19494782237</c:v>
                </c:pt>
                <c:pt idx="147">
                  <c:v>644613.49596199696</c:v>
                </c:pt>
                <c:pt idx="148">
                  <c:v>662312.05093648029</c:v>
                </c:pt>
                <c:pt idx="149">
                  <c:v>674370.22580375418</c:v>
                </c:pt>
                <c:pt idx="150">
                  <c:v>687072.68492681859</c:v>
                </c:pt>
                <c:pt idx="151">
                  <c:v>700434.04820228973</c:v>
                </c:pt>
                <c:pt idx="152">
                  <c:v>706127.76987219043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44-4F89-A465-8E5C7BA3A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'!$AC:$AC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2.547236102040254E-2</c:v>
                </c:pt>
                <c:pt idx="5">
                  <c:v>4.2276090092012553E-2</c:v>
                </c:pt>
                <c:pt idx="6">
                  <c:v>6.7685868750790829E-2</c:v>
                </c:pt>
                <c:pt idx="7">
                  <c:v>0.17451702676697722</c:v>
                </c:pt>
                <c:pt idx="8">
                  <c:v>0.26877628409497251</c:v>
                </c:pt>
                <c:pt idx="9">
                  <c:v>0.33336574878547709</c:v>
                </c:pt>
                <c:pt idx="10">
                  <c:v>0.40268363106813237</c:v>
                </c:pt>
                <c:pt idx="11">
                  <c:v>0.49296598036192379</c:v>
                </c:pt>
                <c:pt idx="12">
                  <c:v>0.58452072759722584</c:v>
                </c:pt>
                <c:pt idx="13">
                  <c:v>0.55138673292403972</c:v>
                </c:pt>
                <c:pt idx="14">
                  <c:v>0.41645128675544374</c:v>
                </c:pt>
                <c:pt idx="15">
                  <c:v>0.52515822721196892</c:v>
                </c:pt>
                <c:pt idx="16">
                  <c:v>0.43991863266069864</c:v>
                </c:pt>
                <c:pt idx="17">
                  <c:v>0.35658777992416674</c:v>
                </c:pt>
                <c:pt idx="18">
                  <c:v>0.32986606828214932</c:v>
                </c:pt>
                <c:pt idx="19">
                  <c:v>0.46495925624591672</c:v>
                </c:pt>
                <c:pt idx="20">
                  <c:v>0.39798420616536212</c:v>
                </c:pt>
                <c:pt idx="21">
                  <c:v>0.39798420616536401</c:v>
                </c:pt>
                <c:pt idx="22">
                  <c:v>0.38577515745904206</c:v>
                </c:pt>
                <c:pt idx="23">
                  <c:v>0.31995443603113266</c:v>
                </c:pt>
                <c:pt idx="24">
                  <c:v>0.24582885876183125</c:v>
                </c:pt>
                <c:pt idx="25">
                  <c:v>0.13371272855354543</c:v>
                </c:pt>
                <c:pt idx="26">
                  <c:v>0.39474222657737118</c:v>
                </c:pt>
                <c:pt idx="27">
                  <c:v>0.47880244006813072</c:v>
                </c:pt>
                <c:pt idx="28">
                  <c:v>0.34713322548491338</c:v>
                </c:pt>
                <c:pt idx="29">
                  <c:v>0.21207646743593897</c:v>
                </c:pt>
                <c:pt idx="30">
                  <c:v>0.11279591727843701</c:v>
                </c:pt>
                <c:pt idx="31">
                  <c:v>0.22133099278029308</c:v>
                </c:pt>
                <c:pt idx="32">
                  <c:v>0.22133099278029308</c:v>
                </c:pt>
                <c:pt idx="33">
                  <c:v>0.11279591727843701</c:v>
                </c:pt>
                <c:pt idx="34">
                  <c:v>0.10398075037241411</c:v>
                </c:pt>
                <c:pt idx="35">
                  <c:v>0.42732313618626488</c:v>
                </c:pt>
                <c:pt idx="36">
                  <c:v>0.31988092285221403</c:v>
                </c:pt>
                <c:pt idx="37">
                  <c:v>0.31988092285221403</c:v>
                </c:pt>
                <c:pt idx="38">
                  <c:v>0.31988092285221403</c:v>
                </c:pt>
                <c:pt idx="39">
                  <c:v>0.31988092285221403</c:v>
                </c:pt>
                <c:pt idx="40">
                  <c:v>0.17537344881678099</c:v>
                </c:pt>
                <c:pt idx="41">
                  <c:v>0.17537344881678099</c:v>
                </c:pt>
                <c:pt idx="42">
                  <c:v>7.5033284880886522E-2</c:v>
                </c:pt>
                <c:pt idx="43">
                  <c:v>5.6062843350720447E-2</c:v>
                </c:pt>
                <c:pt idx="44">
                  <c:v>0.29109280469419602</c:v>
                </c:pt>
                <c:pt idx="45">
                  <c:v>0.25728665497707043</c:v>
                </c:pt>
                <c:pt idx="46">
                  <c:v>0.21997641825225506</c:v>
                </c:pt>
                <c:pt idx="47">
                  <c:v>0.21997641825225506</c:v>
                </c:pt>
                <c:pt idx="48">
                  <c:v>0.21997641825225506</c:v>
                </c:pt>
                <c:pt idx="49">
                  <c:v>0.21997641825225506</c:v>
                </c:pt>
                <c:pt idx="50">
                  <c:v>0.21997641825225506</c:v>
                </c:pt>
                <c:pt idx="51">
                  <c:v>0.1114557166781447</c:v>
                </c:pt>
                <c:pt idx="52">
                  <c:v>3.0945065345325783E-3</c:v>
                </c:pt>
                <c:pt idx="53">
                  <c:v>0.20087000361603799</c:v>
                </c:pt>
                <c:pt idx="54">
                  <c:v>0.2839531631502058</c:v>
                </c:pt>
                <c:pt idx="55">
                  <c:v>0.26649030432894882</c:v>
                </c:pt>
                <c:pt idx="56">
                  <c:v>0.12434274036765977</c:v>
                </c:pt>
                <c:pt idx="57">
                  <c:v>7.5033284880886522E-2</c:v>
                </c:pt>
                <c:pt idx="58">
                  <c:v>0.2573033913138692</c:v>
                </c:pt>
                <c:pt idx="59">
                  <c:v>0.31156633659711819</c:v>
                </c:pt>
                <c:pt idx="60">
                  <c:v>0.36583846681572607</c:v>
                </c:pt>
                <c:pt idx="61">
                  <c:v>0.36583846681572607</c:v>
                </c:pt>
                <c:pt idx="62">
                  <c:v>0.32720680704544136</c:v>
                </c:pt>
                <c:pt idx="63">
                  <c:v>0.38244291201838443</c:v>
                </c:pt>
                <c:pt idx="64">
                  <c:v>0.45809483833362696</c:v>
                </c:pt>
                <c:pt idx="65">
                  <c:v>0.4368583299699792</c:v>
                </c:pt>
                <c:pt idx="66">
                  <c:v>0.49092957277300459</c:v>
                </c:pt>
                <c:pt idx="67">
                  <c:v>0.54490172659175828</c:v>
                </c:pt>
                <c:pt idx="68">
                  <c:v>0.59875537250324984</c:v>
                </c:pt>
                <c:pt idx="69">
                  <c:v>0.62936722437881742</c:v>
                </c:pt>
                <c:pt idx="70">
                  <c:v>0.78803884482923992</c:v>
                </c:pt>
                <c:pt idx="71">
                  <c:v>0.49676772953496612</c:v>
                </c:pt>
                <c:pt idx="72">
                  <c:v>0.17368734737942895</c:v>
                </c:pt>
                <c:pt idx="73">
                  <c:v>3.4907943559923729E-3</c:v>
                </c:pt>
                <c:pt idx="74">
                  <c:v>0.46059832153968716</c:v>
                </c:pt>
                <c:pt idx="75">
                  <c:v>0.65365127561266745</c:v>
                </c:pt>
                <c:pt idx="76">
                  <c:v>0.82362449608244248</c:v>
                </c:pt>
                <c:pt idx="77">
                  <c:v>0.88667702322200548</c:v>
                </c:pt>
                <c:pt idx="78">
                  <c:v>0.97145503933811095</c:v>
                </c:pt>
                <c:pt idx="79">
                  <c:v>0.94729330029094971</c:v>
                </c:pt>
                <c:pt idx="80">
                  <c:v>0.94729330029095093</c:v>
                </c:pt>
                <c:pt idx="81">
                  <c:v>0.94729330029094971</c:v>
                </c:pt>
                <c:pt idx="82">
                  <c:v>0.94729330029095093</c:v>
                </c:pt>
                <c:pt idx="83">
                  <c:v>0.94729330029094971</c:v>
                </c:pt>
                <c:pt idx="84">
                  <c:v>0.94729330029094971</c:v>
                </c:pt>
                <c:pt idx="85">
                  <c:v>0.75047701629428853</c:v>
                </c:pt>
                <c:pt idx="86">
                  <c:v>0.67539504039310194</c:v>
                </c:pt>
                <c:pt idx="87">
                  <c:v>0.69353072339516608</c:v>
                </c:pt>
                <c:pt idx="88">
                  <c:v>0.69353072339516708</c:v>
                </c:pt>
                <c:pt idx="89">
                  <c:v>0.67539504039310094</c:v>
                </c:pt>
                <c:pt idx="90">
                  <c:v>0.64290743654655924</c:v>
                </c:pt>
                <c:pt idx="91">
                  <c:v>0.62706576000730307</c:v>
                </c:pt>
                <c:pt idx="92">
                  <c:v>0.61147442156310716</c:v>
                </c:pt>
                <c:pt idx="93">
                  <c:v>0.44940483143855425</c:v>
                </c:pt>
                <c:pt idx="94">
                  <c:v>0.44940483143855425</c:v>
                </c:pt>
                <c:pt idx="95">
                  <c:v>0.39520694642642867</c:v>
                </c:pt>
                <c:pt idx="96">
                  <c:v>0.28669155464082763</c:v>
                </c:pt>
                <c:pt idx="97">
                  <c:v>0.12197070829745495</c:v>
                </c:pt>
                <c:pt idx="98">
                  <c:v>0.1454080172260066</c:v>
                </c:pt>
                <c:pt idx="99">
                  <c:v>0.15719678587296068</c:v>
                </c:pt>
                <c:pt idx="100">
                  <c:v>0.181014676767844</c:v>
                </c:pt>
                <c:pt idx="101">
                  <c:v>0.20724532268930684</c:v>
                </c:pt>
                <c:pt idx="102">
                  <c:v>0.22133099278029308</c:v>
                </c:pt>
                <c:pt idx="103">
                  <c:v>0.181014676767844</c:v>
                </c:pt>
                <c:pt idx="104">
                  <c:v>0.15719678587296068</c:v>
                </c:pt>
                <c:pt idx="105">
                  <c:v>0.15719678587296068</c:v>
                </c:pt>
                <c:pt idx="106">
                  <c:v>0.15719678587296068</c:v>
                </c:pt>
                <c:pt idx="107">
                  <c:v>0.15719678587296068</c:v>
                </c:pt>
                <c:pt idx="108">
                  <c:v>0.16881724974113732</c:v>
                </c:pt>
                <c:pt idx="109">
                  <c:v>0.181014676767844</c:v>
                </c:pt>
                <c:pt idx="110">
                  <c:v>0.19381529255119542</c:v>
                </c:pt>
                <c:pt idx="111">
                  <c:v>0.22133099278029308</c:v>
                </c:pt>
                <c:pt idx="112">
                  <c:v>0.22133099278029308</c:v>
                </c:pt>
                <c:pt idx="113">
                  <c:v>0.22133099278029308</c:v>
                </c:pt>
                <c:pt idx="114">
                  <c:v>0.181014676767844</c:v>
                </c:pt>
                <c:pt idx="115">
                  <c:v>0.15719678587296068</c:v>
                </c:pt>
                <c:pt idx="116">
                  <c:v>0.14612705956519892</c:v>
                </c:pt>
                <c:pt idx="117">
                  <c:v>0.14612705956519892</c:v>
                </c:pt>
                <c:pt idx="118">
                  <c:v>0.16881724974113732</c:v>
                </c:pt>
                <c:pt idx="119">
                  <c:v>0.19381529255119542</c:v>
                </c:pt>
                <c:pt idx="120">
                  <c:v>9.4661351378704475E-2</c:v>
                </c:pt>
                <c:pt idx="121">
                  <c:v>0.17537344881678338</c:v>
                </c:pt>
                <c:pt idx="122">
                  <c:v>0.35575225884198569</c:v>
                </c:pt>
                <c:pt idx="123">
                  <c:v>0.32099399554007085</c:v>
                </c:pt>
                <c:pt idx="124">
                  <c:v>0.32099399554007085</c:v>
                </c:pt>
                <c:pt idx="125">
                  <c:v>0.32099399554007185</c:v>
                </c:pt>
                <c:pt idx="126">
                  <c:v>0.21374171099066497</c:v>
                </c:pt>
                <c:pt idx="127">
                  <c:v>0.21374171099066497</c:v>
                </c:pt>
                <c:pt idx="128">
                  <c:v>0.21374171099066497</c:v>
                </c:pt>
                <c:pt idx="129">
                  <c:v>2.0909975820934859E-2</c:v>
                </c:pt>
                <c:pt idx="130">
                  <c:v>0.36583846681572607</c:v>
                </c:pt>
                <c:pt idx="131">
                  <c:v>0.52861812550029386</c:v>
                </c:pt>
                <c:pt idx="132">
                  <c:v>0.74522999917159793</c:v>
                </c:pt>
                <c:pt idx="133">
                  <c:v>0.79924592703195996</c:v>
                </c:pt>
                <c:pt idx="134">
                  <c:v>0.76047896264006576</c:v>
                </c:pt>
                <c:pt idx="135">
                  <c:v>0.70690692089997775</c:v>
                </c:pt>
                <c:pt idx="136">
                  <c:v>0.77951376973639308</c:v>
                </c:pt>
                <c:pt idx="137">
                  <c:v>0.77951376973639397</c:v>
                </c:pt>
                <c:pt idx="138">
                  <c:v>0.77951376973639397</c:v>
                </c:pt>
                <c:pt idx="139">
                  <c:v>0.77951376973639397</c:v>
                </c:pt>
                <c:pt idx="140">
                  <c:v>0.67180949276150814</c:v>
                </c:pt>
                <c:pt idx="141">
                  <c:v>0.50952870148310514</c:v>
                </c:pt>
                <c:pt idx="142">
                  <c:v>0.34678507650229295</c:v>
                </c:pt>
                <c:pt idx="143">
                  <c:v>0.18404145152148088</c:v>
                </c:pt>
                <c:pt idx="144">
                  <c:v>3.2150909184676162E-2</c:v>
                </c:pt>
                <c:pt idx="145">
                  <c:v>0.19310687021741327</c:v>
                </c:pt>
                <c:pt idx="146">
                  <c:v>0.19310687021741327</c:v>
                </c:pt>
                <c:pt idx="147">
                  <c:v>0.36844625038894202</c:v>
                </c:pt>
                <c:pt idx="148">
                  <c:v>0.41336835964725482</c:v>
                </c:pt>
                <c:pt idx="149">
                  <c:v>0.43668174621514866</c:v>
                </c:pt>
                <c:pt idx="150">
                  <c:v>0.46059832153968716</c:v>
                </c:pt>
                <c:pt idx="151">
                  <c:v>0.48514431121898577</c:v>
                </c:pt>
                <c:pt idx="152">
                  <c:v>0.48514431121898577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44-4F89-A465-8E5C7BA3A1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766952"/>
        <c:axId val="739509656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 Done (J)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valAx>
        <c:axId val="739509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</a:t>
                </a:r>
                <a:r>
                  <a:rPr lang="en-GB" baseline="0"/>
                  <a:t> (g/s)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766952"/>
        <c:crosses val="max"/>
        <c:crossBetween val="midCat"/>
      </c:valAx>
      <c:valAx>
        <c:axId val="823766952"/>
        <c:scaling>
          <c:orientation val="minMax"/>
        </c:scaling>
        <c:delete val="1"/>
        <c:axPos val="b"/>
        <c:majorTickMark val="out"/>
        <c:minorTickMark val="none"/>
        <c:tickLblPos val="nextTo"/>
        <c:crossAx val="73950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Consumption (g/s)</a:t>
            </a:r>
            <a:r>
              <a:rPr lang="en-GB" baseline="0"/>
              <a:t> 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'!$AC:$AC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2.547236102040254E-2</c:v>
                </c:pt>
                <c:pt idx="5">
                  <c:v>4.2276090092012553E-2</c:v>
                </c:pt>
                <c:pt idx="6">
                  <c:v>6.7685868750790829E-2</c:v>
                </c:pt>
                <c:pt idx="7">
                  <c:v>0.17451702676697722</c:v>
                </c:pt>
                <c:pt idx="8">
                  <c:v>0.26877628409497251</c:v>
                </c:pt>
                <c:pt idx="9">
                  <c:v>0.33336574878547709</c:v>
                </c:pt>
                <c:pt idx="10">
                  <c:v>0.40268363106813237</c:v>
                </c:pt>
                <c:pt idx="11">
                  <c:v>0.49296598036192379</c:v>
                </c:pt>
                <c:pt idx="12">
                  <c:v>0.58452072759722584</c:v>
                </c:pt>
                <c:pt idx="13">
                  <c:v>0.55138673292403972</c:v>
                </c:pt>
                <c:pt idx="14">
                  <c:v>0.41645128675544374</c:v>
                </c:pt>
                <c:pt idx="15">
                  <c:v>0.52515822721196892</c:v>
                </c:pt>
                <c:pt idx="16">
                  <c:v>0.43991863266069864</c:v>
                </c:pt>
                <c:pt idx="17">
                  <c:v>0.35658777992416674</c:v>
                </c:pt>
                <c:pt idx="18">
                  <c:v>0.32986606828214932</c:v>
                </c:pt>
                <c:pt idx="19">
                  <c:v>0.46495925624591672</c:v>
                </c:pt>
                <c:pt idx="20">
                  <c:v>0.39798420616536212</c:v>
                </c:pt>
                <c:pt idx="21">
                  <c:v>0.39798420616536401</c:v>
                </c:pt>
                <c:pt idx="22">
                  <c:v>0.38577515745904206</c:v>
                </c:pt>
                <c:pt idx="23">
                  <c:v>0.31995443603113266</c:v>
                </c:pt>
                <c:pt idx="24">
                  <c:v>0.24582885876183125</c:v>
                </c:pt>
                <c:pt idx="25">
                  <c:v>0.13371272855354543</c:v>
                </c:pt>
                <c:pt idx="26">
                  <c:v>0.39474222657737118</c:v>
                </c:pt>
                <c:pt idx="27">
                  <c:v>0.47880244006813072</c:v>
                </c:pt>
                <c:pt idx="28">
                  <c:v>0.34713322548491338</c:v>
                </c:pt>
                <c:pt idx="29">
                  <c:v>0.21207646743593897</c:v>
                </c:pt>
                <c:pt idx="30">
                  <c:v>0.11279591727843701</c:v>
                </c:pt>
                <c:pt idx="31">
                  <c:v>0.22133099278029308</c:v>
                </c:pt>
                <c:pt idx="32">
                  <c:v>0.22133099278029308</c:v>
                </c:pt>
                <c:pt idx="33">
                  <c:v>0.11279591727843701</c:v>
                </c:pt>
                <c:pt idx="34">
                  <c:v>0.10398075037241411</c:v>
                </c:pt>
                <c:pt idx="35">
                  <c:v>0.42732313618626488</c:v>
                </c:pt>
                <c:pt idx="36">
                  <c:v>0.31988092285221403</c:v>
                </c:pt>
                <c:pt idx="37">
                  <c:v>0.31988092285221403</c:v>
                </c:pt>
                <c:pt idx="38">
                  <c:v>0.31988092285221403</c:v>
                </c:pt>
                <c:pt idx="39">
                  <c:v>0.31988092285221403</c:v>
                </c:pt>
                <c:pt idx="40">
                  <c:v>0.17537344881678099</c:v>
                </c:pt>
                <c:pt idx="41">
                  <c:v>0.17537344881678099</c:v>
                </c:pt>
                <c:pt idx="42">
                  <c:v>7.5033284880886522E-2</c:v>
                </c:pt>
                <c:pt idx="43">
                  <c:v>5.6062843350720447E-2</c:v>
                </c:pt>
                <c:pt idx="44">
                  <c:v>0.29109280469419602</c:v>
                </c:pt>
                <c:pt idx="45">
                  <c:v>0.25728665497707043</c:v>
                </c:pt>
                <c:pt idx="46">
                  <c:v>0.21997641825225506</c:v>
                </c:pt>
                <c:pt idx="47">
                  <c:v>0.21997641825225506</c:v>
                </c:pt>
                <c:pt idx="48">
                  <c:v>0.21997641825225506</c:v>
                </c:pt>
                <c:pt idx="49">
                  <c:v>0.21997641825225506</c:v>
                </c:pt>
                <c:pt idx="50">
                  <c:v>0.21997641825225506</c:v>
                </c:pt>
                <c:pt idx="51">
                  <c:v>0.1114557166781447</c:v>
                </c:pt>
                <c:pt idx="52">
                  <c:v>3.0945065345325783E-3</c:v>
                </c:pt>
                <c:pt idx="53">
                  <c:v>0.20087000361603799</c:v>
                </c:pt>
                <c:pt idx="54">
                  <c:v>0.2839531631502058</c:v>
                </c:pt>
                <c:pt idx="55">
                  <c:v>0.26649030432894882</c:v>
                </c:pt>
                <c:pt idx="56">
                  <c:v>0.12434274036765977</c:v>
                </c:pt>
                <c:pt idx="57">
                  <c:v>7.5033284880886522E-2</c:v>
                </c:pt>
                <c:pt idx="58">
                  <c:v>0.2573033913138692</c:v>
                </c:pt>
                <c:pt idx="59">
                  <c:v>0.31156633659711819</c:v>
                </c:pt>
                <c:pt idx="60">
                  <c:v>0.36583846681572607</c:v>
                </c:pt>
                <c:pt idx="61">
                  <c:v>0.36583846681572607</c:v>
                </c:pt>
                <c:pt idx="62">
                  <c:v>0.32720680704544136</c:v>
                </c:pt>
                <c:pt idx="63">
                  <c:v>0.38244291201838443</c:v>
                </c:pt>
                <c:pt idx="64">
                  <c:v>0.45809483833362696</c:v>
                </c:pt>
                <c:pt idx="65">
                  <c:v>0.4368583299699792</c:v>
                </c:pt>
                <c:pt idx="66">
                  <c:v>0.49092957277300459</c:v>
                </c:pt>
                <c:pt idx="67">
                  <c:v>0.54490172659175828</c:v>
                </c:pt>
                <c:pt idx="68">
                  <c:v>0.59875537250324984</c:v>
                </c:pt>
                <c:pt idx="69">
                  <c:v>0.62936722437881742</c:v>
                </c:pt>
                <c:pt idx="70">
                  <c:v>0.78803884482923992</c:v>
                </c:pt>
                <c:pt idx="71">
                  <c:v>0.49676772953496612</c:v>
                </c:pt>
                <c:pt idx="72">
                  <c:v>0.17368734737942895</c:v>
                </c:pt>
                <c:pt idx="73">
                  <c:v>3.4907943559923729E-3</c:v>
                </c:pt>
                <c:pt idx="74">
                  <c:v>0.46059832153968716</c:v>
                </c:pt>
                <c:pt idx="75">
                  <c:v>0.65365127561266745</c:v>
                </c:pt>
                <c:pt idx="76">
                  <c:v>0.82362449608244248</c:v>
                </c:pt>
                <c:pt idx="77">
                  <c:v>0.88667702322200548</c:v>
                </c:pt>
                <c:pt idx="78">
                  <c:v>0.97145503933811095</c:v>
                </c:pt>
                <c:pt idx="79">
                  <c:v>0.94729330029094971</c:v>
                </c:pt>
                <c:pt idx="80">
                  <c:v>0.94729330029095093</c:v>
                </c:pt>
                <c:pt idx="81">
                  <c:v>0.94729330029094971</c:v>
                </c:pt>
                <c:pt idx="82">
                  <c:v>0.94729330029095093</c:v>
                </c:pt>
                <c:pt idx="83">
                  <c:v>0.94729330029094971</c:v>
                </c:pt>
                <c:pt idx="84">
                  <c:v>0.94729330029094971</c:v>
                </c:pt>
                <c:pt idx="85">
                  <c:v>0.75047701629428853</c:v>
                </c:pt>
                <c:pt idx="86">
                  <c:v>0.67539504039310194</c:v>
                </c:pt>
                <c:pt idx="87">
                  <c:v>0.69353072339516608</c:v>
                </c:pt>
                <c:pt idx="88">
                  <c:v>0.69353072339516708</c:v>
                </c:pt>
                <c:pt idx="89">
                  <c:v>0.67539504039310094</c:v>
                </c:pt>
                <c:pt idx="90">
                  <c:v>0.64290743654655924</c:v>
                </c:pt>
                <c:pt idx="91">
                  <c:v>0.62706576000730307</c:v>
                </c:pt>
                <c:pt idx="92">
                  <c:v>0.61147442156310716</c:v>
                </c:pt>
                <c:pt idx="93">
                  <c:v>0.44940483143855425</c:v>
                </c:pt>
                <c:pt idx="94">
                  <c:v>0.44940483143855425</c:v>
                </c:pt>
                <c:pt idx="95">
                  <c:v>0.39520694642642867</c:v>
                </c:pt>
                <c:pt idx="96">
                  <c:v>0.28669155464082763</c:v>
                </c:pt>
                <c:pt idx="97">
                  <c:v>0.12197070829745495</c:v>
                </c:pt>
                <c:pt idx="98">
                  <c:v>0.1454080172260066</c:v>
                </c:pt>
                <c:pt idx="99">
                  <c:v>0.15719678587296068</c:v>
                </c:pt>
                <c:pt idx="100">
                  <c:v>0.181014676767844</c:v>
                </c:pt>
                <c:pt idx="101">
                  <c:v>0.20724532268930684</c:v>
                </c:pt>
                <c:pt idx="102">
                  <c:v>0.22133099278029308</c:v>
                </c:pt>
                <c:pt idx="103">
                  <c:v>0.181014676767844</c:v>
                </c:pt>
                <c:pt idx="104">
                  <c:v>0.15719678587296068</c:v>
                </c:pt>
                <c:pt idx="105">
                  <c:v>0.15719678587296068</c:v>
                </c:pt>
                <c:pt idx="106">
                  <c:v>0.15719678587296068</c:v>
                </c:pt>
                <c:pt idx="107">
                  <c:v>0.15719678587296068</c:v>
                </c:pt>
                <c:pt idx="108">
                  <c:v>0.16881724974113732</c:v>
                </c:pt>
                <c:pt idx="109">
                  <c:v>0.181014676767844</c:v>
                </c:pt>
                <c:pt idx="110">
                  <c:v>0.19381529255119542</c:v>
                </c:pt>
                <c:pt idx="111">
                  <c:v>0.22133099278029308</c:v>
                </c:pt>
                <c:pt idx="112">
                  <c:v>0.22133099278029308</c:v>
                </c:pt>
                <c:pt idx="113">
                  <c:v>0.22133099278029308</c:v>
                </c:pt>
                <c:pt idx="114">
                  <c:v>0.181014676767844</c:v>
                </c:pt>
                <c:pt idx="115">
                  <c:v>0.15719678587296068</c:v>
                </c:pt>
                <c:pt idx="116">
                  <c:v>0.14612705956519892</c:v>
                </c:pt>
                <c:pt idx="117">
                  <c:v>0.14612705956519892</c:v>
                </c:pt>
                <c:pt idx="118">
                  <c:v>0.16881724974113732</c:v>
                </c:pt>
                <c:pt idx="119">
                  <c:v>0.19381529255119542</c:v>
                </c:pt>
                <c:pt idx="120">
                  <c:v>9.4661351378704475E-2</c:v>
                </c:pt>
                <c:pt idx="121">
                  <c:v>0.17537344881678338</c:v>
                </c:pt>
                <c:pt idx="122">
                  <c:v>0.35575225884198569</c:v>
                </c:pt>
                <c:pt idx="123">
                  <c:v>0.32099399554007085</c:v>
                </c:pt>
                <c:pt idx="124">
                  <c:v>0.32099399554007085</c:v>
                </c:pt>
                <c:pt idx="125">
                  <c:v>0.32099399554007185</c:v>
                </c:pt>
                <c:pt idx="126">
                  <c:v>0.21374171099066497</c:v>
                </c:pt>
                <c:pt idx="127">
                  <c:v>0.21374171099066497</c:v>
                </c:pt>
                <c:pt idx="128">
                  <c:v>0.21374171099066497</c:v>
                </c:pt>
                <c:pt idx="129">
                  <c:v>2.0909975820934859E-2</c:v>
                </c:pt>
                <c:pt idx="130">
                  <c:v>0.36583846681572607</c:v>
                </c:pt>
                <c:pt idx="131">
                  <c:v>0.52861812550029386</c:v>
                </c:pt>
                <c:pt idx="132">
                  <c:v>0.74522999917159793</c:v>
                </c:pt>
                <c:pt idx="133">
                  <c:v>0.79924592703195996</c:v>
                </c:pt>
                <c:pt idx="134">
                  <c:v>0.76047896264006576</c:v>
                </c:pt>
                <c:pt idx="135">
                  <c:v>0.70690692089997775</c:v>
                </c:pt>
                <c:pt idx="136">
                  <c:v>0.77951376973639308</c:v>
                </c:pt>
                <c:pt idx="137">
                  <c:v>0.77951376973639397</c:v>
                </c:pt>
                <c:pt idx="138">
                  <c:v>0.77951376973639397</c:v>
                </c:pt>
                <c:pt idx="139">
                  <c:v>0.77951376973639397</c:v>
                </c:pt>
                <c:pt idx="140">
                  <c:v>0.67180949276150814</c:v>
                </c:pt>
                <c:pt idx="141">
                  <c:v>0.50952870148310514</c:v>
                </c:pt>
                <c:pt idx="142">
                  <c:v>0.34678507650229295</c:v>
                </c:pt>
                <c:pt idx="143">
                  <c:v>0.18404145152148088</c:v>
                </c:pt>
                <c:pt idx="144">
                  <c:v>3.2150909184676162E-2</c:v>
                </c:pt>
                <c:pt idx="145">
                  <c:v>0.19310687021741327</c:v>
                </c:pt>
                <c:pt idx="146">
                  <c:v>0.19310687021741327</c:v>
                </c:pt>
                <c:pt idx="147">
                  <c:v>0.36844625038894202</c:v>
                </c:pt>
                <c:pt idx="148">
                  <c:v>0.41336835964725482</c:v>
                </c:pt>
                <c:pt idx="149">
                  <c:v>0.43668174621514866</c:v>
                </c:pt>
                <c:pt idx="150">
                  <c:v>0.46059832153968716</c:v>
                </c:pt>
                <c:pt idx="151">
                  <c:v>0.48514431121898577</c:v>
                </c:pt>
                <c:pt idx="152">
                  <c:v>0.48514431121898577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3E-47B3-B2DD-7F1666B78F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Consumtion</a:t>
                </a:r>
                <a:r>
                  <a:rPr lang="en-GB" baseline="0"/>
                  <a:t> (g/s)</a:t>
                </a: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Acceleration (m/s</a:t>
            </a:r>
            <a:r>
              <a:rPr lang="en-GB" sz="1800" b="0" i="0" baseline="0">
                <a:effectLst/>
                <a:latin typeface="Calibri" panose="020F0502020204030204" pitchFamily="34" charset="0"/>
                <a:cs typeface="Calibri" panose="020F0502020204030204" pitchFamily="34" charset="0"/>
              </a:rPr>
              <a:t>²) </a:t>
            </a:r>
            <a:r>
              <a:rPr lang="en-GB" sz="1800" b="0" i="0" baseline="0">
                <a:effectLst/>
              </a:rPr>
              <a:t>&amp; Fuel Consumption (g/s) Against Time (s)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'Duty Cycle '!$G$1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'!$N:$N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0.80373645286874096</c:v>
                </c:pt>
                <c:pt idx="4">
                  <c:v>0.53582430191249397</c:v>
                </c:pt>
                <c:pt idx="5">
                  <c:v>0.53582430191249375</c:v>
                </c:pt>
                <c:pt idx="6">
                  <c:v>0.80373645286874118</c:v>
                </c:pt>
                <c:pt idx="7">
                  <c:v>0.80373645286874096</c:v>
                </c:pt>
                <c:pt idx="8">
                  <c:v>1.0716486038249884</c:v>
                </c:pt>
                <c:pt idx="9">
                  <c:v>0.80373645286874051</c:v>
                </c:pt>
                <c:pt idx="10">
                  <c:v>1.0716486038249879</c:v>
                </c:pt>
                <c:pt idx="11">
                  <c:v>0.63616205728992981</c:v>
                </c:pt>
                <c:pt idx="12">
                  <c:v>1.5702341511644118</c:v>
                </c:pt>
                <c:pt idx="13">
                  <c:v>0.78511707558220856</c:v>
                </c:pt>
                <c:pt idx="14">
                  <c:v>0.78511707558220856</c:v>
                </c:pt>
                <c:pt idx="15">
                  <c:v>3.4135525025311253E-2</c:v>
                </c:pt>
                <c:pt idx="16">
                  <c:v>1.024065750759398</c:v>
                </c:pt>
                <c:pt idx="17">
                  <c:v>1.0240657507593998</c:v>
                </c:pt>
                <c:pt idx="18">
                  <c:v>1.0240657507593998</c:v>
                </c:pt>
                <c:pt idx="19">
                  <c:v>-1.0240657507593998</c:v>
                </c:pt>
                <c:pt idx="20">
                  <c:v>-0.51203287537969722</c:v>
                </c:pt>
                <c:pt idx="21">
                  <c:v>0</c:v>
                </c:pt>
                <c:pt idx="22">
                  <c:v>-0.51203287537970255</c:v>
                </c:pt>
                <c:pt idx="23">
                  <c:v>-0.51203287537969899</c:v>
                </c:pt>
                <c:pt idx="24">
                  <c:v>-0.93872693819611541</c:v>
                </c:pt>
                <c:pt idx="25">
                  <c:v>0</c:v>
                </c:pt>
                <c:pt idx="26">
                  <c:v>0.39255853779110517</c:v>
                </c:pt>
                <c:pt idx="27">
                  <c:v>1.0582012757847092</c:v>
                </c:pt>
                <c:pt idx="28">
                  <c:v>1.0240657507593998</c:v>
                </c:pt>
                <c:pt idx="29">
                  <c:v>1.0240657507593998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-0.51203287537969899</c:v>
                </c:pt>
                <c:pt idx="43">
                  <c:v>-0.51203287537970077</c:v>
                </c:pt>
                <c:pt idx="44">
                  <c:v>-1.0240657507593998</c:v>
                </c:pt>
                <c:pt idx="45">
                  <c:v>-1.024065750759398</c:v>
                </c:pt>
                <c:pt idx="46">
                  <c:v>-1.2118111383986214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0.39255853779110161</c:v>
                </c:pt>
                <c:pt idx="54">
                  <c:v>0.78511707558220856</c:v>
                </c:pt>
                <c:pt idx="55">
                  <c:v>0.54616840040501025</c:v>
                </c:pt>
                <c:pt idx="56">
                  <c:v>1.0240657507594015</c:v>
                </c:pt>
                <c:pt idx="57">
                  <c:v>1.024065750759398</c:v>
                </c:pt>
                <c:pt idx="58">
                  <c:v>0.51203287537969899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-1.0240657507593998</c:v>
                </c:pt>
                <c:pt idx="63">
                  <c:v>-1.5360986261390988</c:v>
                </c:pt>
                <c:pt idx="64">
                  <c:v>-1.0240657507593998</c:v>
                </c:pt>
                <c:pt idx="65">
                  <c:v>-0.69977826301892065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-0.78511707558220856</c:v>
                </c:pt>
                <c:pt idx="70">
                  <c:v>0.39255853779110161</c:v>
                </c:pt>
                <c:pt idx="71">
                  <c:v>0.78511707558220856</c:v>
                </c:pt>
                <c:pt idx="72">
                  <c:v>1.3312854759872188</c:v>
                </c:pt>
                <c:pt idx="73">
                  <c:v>1.0240657507594015</c:v>
                </c:pt>
                <c:pt idx="74">
                  <c:v>0.51203287537969722</c:v>
                </c:pt>
                <c:pt idx="75">
                  <c:v>-0.51203287537969722</c:v>
                </c:pt>
                <c:pt idx="76">
                  <c:v>-1.0240657507594015</c:v>
                </c:pt>
                <c:pt idx="77">
                  <c:v>-1.0240657507593998</c:v>
                </c:pt>
                <c:pt idx="78">
                  <c:v>-0.51203287537969899</c:v>
                </c:pt>
                <c:pt idx="79">
                  <c:v>-0.5803039254303286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0.39255853779110694</c:v>
                </c:pt>
                <c:pt idx="86">
                  <c:v>0.785117075582205</c:v>
                </c:pt>
                <c:pt idx="87">
                  <c:v>0.42669406281641642</c:v>
                </c:pt>
                <c:pt idx="88">
                  <c:v>0</c:v>
                </c:pt>
                <c:pt idx="89">
                  <c:v>-0.42669406281641642</c:v>
                </c:pt>
                <c:pt idx="90">
                  <c:v>-0.785117075582205</c:v>
                </c:pt>
                <c:pt idx="91">
                  <c:v>-0.39255853779110694</c:v>
                </c:pt>
                <c:pt idx="92">
                  <c:v>-0.39255853779110161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0.78511707558220856</c:v>
                </c:pt>
                <c:pt idx="98">
                  <c:v>1.1776756133733102</c:v>
                </c:pt>
                <c:pt idx="99">
                  <c:v>0.54616840040501025</c:v>
                </c:pt>
                <c:pt idx="100">
                  <c:v>1.0240657507594015</c:v>
                </c:pt>
                <c:pt idx="101">
                  <c:v>1.024065750759398</c:v>
                </c:pt>
                <c:pt idx="102">
                  <c:v>0.51203287537969899</c:v>
                </c:pt>
                <c:pt idx="103">
                  <c:v>-1.536098626139097</c:v>
                </c:pt>
                <c:pt idx="104">
                  <c:v>-1.0240657507594015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0.51203287537969899</c:v>
                </c:pt>
                <c:pt idx="109">
                  <c:v>0.51203287537970255</c:v>
                </c:pt>
                <c:pt idx="110">
                  <c:v>0.51203287537969722</c:v>
                </c:pt>
                <c:pt idx="111">
                  <c:v>1.0240657507593998</c:v>
                </c:pt>
                <c:pt idx="112">
                  <c:v>0</c:v>
                </c:pt>
                <c:pt idx="113">
                  <c:v>0</c:v>
                </c:pt>
                <c:pt idx="114">
                  <c:v>-1.536098626139097</c:v>
                </c:pt>
                <c:pt idx="115">
                  <c:v>-1.0240657507594015</c:v>
                </c:pt>
                <c:pt idx="116">
                  <c:v>-0.51203287537969899</c:v>
                </c:pt>
                <c:pt idx="117">
                  <c:v>0</c:v>
                </c:pt>
                <c:pt idx="118">
                  <c:v>1.024065750759398</c:v>
                </c:pt>
                <c:pt idx="119">
                  <c:v>1.0240657507593998</c:v>
                </c:pt>
                <c:pt idx="120">
                  <c:v>1.0240657507593998</c:v>
                </c:pt>
                <c:pt idx="121">
                  <c:v>0</c:v>
                </c:pt>
                <c:pt idx="122">
                  <c:v>-0.51203287537969899</c:v>
                </c:pt>
                <c:pt idx="123">
                  <c:v>-0.51203287537970077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0.51203287537970077</c:v>
                </c:pt>
                <c:pt idx="130">
                  <c:v>0.51203287537969899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-1.0240657507593998</c:v>
                </c:pt>
                <c:pt idx="135">
                  <c:v>-1.5360986261390988</c:v>
                </c:pt>
                <c:pt idx="136">
                  <c:v>-1.0240657507593998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0.51203287537970077</c:v>
                </c:pt>
                <c:pt idx="148">
                  <c:v>1.024065750759398</c:v>
                </c:pt>
                <c:pt idx="149">
                  <c:v>0.51203287537970255</c:v>
                </c:pt>
                <c:pt idx="150">
                  <c:v>0.51203287537969722</c:v>
                </c:pt>
                <c:pt idx="151">
                  <c:v>0.51203287537970077</c:v>
                </c:pt>
                <c:pt idx="15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3B1-47BC-8EE0-5BD9B8EDB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'!$AC:$AC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2.547236102040254E-2</c:v>
                </c:pt>
                <c:pt idx="5">
                  <c:v>4.2276090092012553E-2</c:v>
                </c:pt>
                <c:pt idx="6">
                  <c:v>6.7685868750790829E-2</c:v>
                </c:pt>
                <c:pt idx="7">
                  <c:v>0.17451702676697722</c:v>
                </c:pt>
                <c:pt idx="8">
                  <c:v>0.26877628409497251</c:v>
                </c:pt>
                <c:pt idx="9">
                  <c:v>0.33336574878547709</c:v>
                </c:pt>
                <c:pt idx="10">
                  <c:v>0.40268363106813237</c:v>
                </c:pt>
                <c:pt idx="11">
                  <c:v>0.49296598036192379</c:v>
                </c:pt>
                <c:pt idx="12">
                  <c:v>0.58452072759722584</c:v>
                </c:pt>
                <c:pt idx="13">
                  <c:v>0.55138673292403972</c:v>
                </c:pt>
                <c:pt idx="14">
                  <c:v>0.41645128675544374</c:v>
                </c:pt>
                <c:pt idx="15">
                  <c:v>0.52515822721196892</c:v>
                </c:pt>
                <c:pt idx="16">
                  <c:v>0.43991863266069864</c:v>
                </c:pt>
                <c:pt idx="17">
                  <c:v>0.35658777992416674</c:v>
                </c:pt>
                <c:pt idx="18">
                  <c:v>0.32986606828214932</c:v>
                </c:pt>
                <c:pt idx="19">
                  <c:v>0.46495925624591672</c:v>
                </c:pt>
                <c:pt idx="20">
                  <c:v>0.39798420616536212</c:v>
                </c:pt>
                <c:pt idx="21">
                  <c:v>0.39798420616536401</c:v>
                </c:pt>
                <c:pt idx="22">
                  <c:v>0.38577515745904206</c:v>
                </c:pt>
                <c:pt idx="23">
                  <c:v>0.31995443603113266</c:v>
                </c:pt>
                <c:pt idx="24">
                  <c:v>0.24582885876183125</c:v>
                </c:pt>
                <c:pt idx="25">
                  <c:v>0.13371272855354543</c:v>
                </c:pt>
                <c:pt idx="26">
                  <c:v>0.39474222657737118</c:v>
                </c:pt>
                <c:pt idx="27">
                  <c:v>0.47880244006813072</c:v>
                </c:pt>
                <c:pt idx="28">
                  <c:v>0.34713322548491338</c:v>
                </c:pt>
                <c:pt idx="29">
                  <c:v>0.21207646743593897</c:v>
                </c:pt>
                <c:pt idx="30">
                  <c:v>0.11279591727843701</c:v>
                </c:pt>
                <c:pt idx="31">
                  <c:v>0.22133099278029308</c:v>
                </c:pt>
                <c:pt idx="32">
                  <c:v>0.22133099278029308</c:v>
                </c:pt>
                <c:pt idx="33">
                  <c:v>0.11279591727843701</c:v>
                </c:pt>
                <c:pt idx="34">
                  <c:v>0.10398075037241411</c:v>
                </c:pt>
                <c:pt idx="35">
                  <c:v>0.42732313618626488</c:v>
                </c:pt>
                <c:pt idx="36">
                  <c:v>0.31988092285221403</c:v>
                </c:pt>
                <c:pt idx="37">
                  <c:v>0.31988092285221403</c:v>
                </c:pt>
                <c:pt idx="38">
                  <c:v>0.31988092285221403</c:v>
                </c:pt>
                <c:pt idx="39">
                  <c:v>0.31988092285221403</c:v>
                </c:pt>
                <c:pt idx="40">
                  <c:v>0.17537344881678099</c:v>
                </c:pt>
                <c:pt idx="41">
                  <c:v>0.17537344881678099</c:v>
                </c:pt>
                <c:pt idx="42">
                  <c:v>7.5033284880886522E-2</c:v>
                </c:pt>
                <c:pt idx="43">
                  <c:v>5.6062843350720447E-2</c:v>
                </c:pt>
                <c:pt idx="44">
                  <c:v>0.29109280469419602</c:v>
                </c:pt>
                <c:pt idx="45">
                  <c:v>0.25728665497707043</c:v>
                </c:pt>
                <c:pt idx="46">
                  <c:v>0.21997641825225506</c:v>
                </c:pt>
                <c:pt idx="47">
                  <c:v>0.21997641825225506</c:v>
                </c:pt>
                <c:pt idx="48">
                  <c:v>0.21997641825225506</c:v>
                </c:pt>
                <c:pt idx="49">
                  <c:v>0.21997641825225506</c:v>
                </c:pt>
                <c:pt idx="50">
                  <c:v>0.21997641825225506</c:v>
                </c:pt>
                <c:pt idx="51">
                  <c:v>0.1114557166781447</c:v>
                </c:pt>
                <c:pt idx="52">
                  <c:v>3.0945065345325783E-3</c:v>
                </c:pt>
                <c:pt idx="53">
                  <c:v>0.20087000361603799</c:v>
                </c:pt>
                <c:pt idx="54">
                  <c:v>0.2839531631502058</c:v>
                </c:pt>
                <c:pt idx="55">
                  <c:v>0.26649030432894882</c:v>
                </c:pt>
                <c:pt idx="56">
                  <c:v>0.12434274036765977</c:v>
                </c:pt>
                <c:pt idx="57">
                  <c:v>7.5033284880886522E-2</c:v>
                </c:pt>
                <c:pt idx="58">
                  <c:v>0.2573033913138692</c:v>
                </c:pt>
                <c:pt idx="59">
                  <c:v>0.31156633659711819</c:v>
                </c:pt>
                <c:pt idx="60">
                  <c:v>0.36583846681572607</c:v>
                </c:pt>
                <c:pt idx="61">
                  <c:v>0.36583846681572607</c:v>
                </c:pt>
                <c:pt idx="62">
                  <c:v>0.32720680704544136</c:v>
                </c:pt>
                <c:pt idx="63">
                  <c:v>0.38244291201838443</c:v>
                </c:pt>
                <c:pt idx="64">
                  <c:v>0.45809483833362696</c:v>
                </c:pt>
                <c:pt idx="65">
                  <c:v>0.4368583299699792</c:v>
                </c:pt>
                <c:pt idx="66">
                  <c:v>0.49092957277300459</c:v>
                </c:pt>
                <c:pt idx="67">
                  <c:v>0.54490172659175828</c:v>
                </c:pt>
                <c:pt idx="68">
                  <c:v>0.59875537250324984</c:v>
                </c:pt>
                <c:pt idx="69">
                  <c:v>0.62936722437881742</c:v>
                </c:pt>
                <c:pt idx="70">
                  <c:v>0.78803884482923992</c:v>
                </c:pt>
                <c:pt idx="71">
                  <c:v>0.49676772953496612</c:v>
                </c:pt>
                <c:pt idx="72">
                  <c:v>0.17368734737942895</c:v>
                </c:pt>
                <c:pt idx="73">
                  <c:v>3.4907943559923729E-3</c:v>
                </c:pt>
                <c:pt idx="74">
                  <c:v>0.46059832153968716</c:v>
                </c:pt>
                <c:pt idx="75">
                  <c:v>0.65365127561266745</c:v>
                </c:pt>
                <c:pt idx="76">
                  <c:v>0.82362449608244248</c:v>
                </c:pt>
                <c:pt idx="77">
                  <c:v>0.88667702322200548</c:v>
                </c:pt>
                <c:pt idx="78">
                  <c:v>0.97145503933811095</c:v>
                </c:pt>
                <c:pt idx="79">
                  <c:v>0.94729330029094971</c:v>
                </c:pt>
                <c:pt idx="80">
                  <c:v>0.94729330029095093</c:v>
                </c:pt>
                <c:pt idx="81">
                  <c:v>0.94729330029094971</c:v>
                </c:pt>
                <c:pt idx="82">
                  <c:v>0.94729330029095093</c:v>
                </c:pt>
                <c:pt idx="83">
                  <c:v>0.94729330029094971</c:v>
                </c:pt>
                <c:pt idx="84">
                  <c:v>0.94729330029094971</c:v>
                </c:pt>
                <c:pt idx="85">
                  <c:v>0.75047701629428853</c:v>
                </c:pt>
                <c:pt idx="86">
                  <c:v>0.67539504039310194</c:v>
                </c:pt>
                <c:pt idx="87">
                  <c:v>0.69353072339516608</c:v>
                </c:pt>
                <c:pt idx="88">
                  <c:v>0.69353072339516708</c:v>
                </c:pt>
                <c:pt idx="89">
                  <c:v>0.67539504039310094</c:v>
                </c:pt>
                <c:pt idx="90">
                  <c:v>0.64290743654655924</c:v>
                </c:pt>
                <c:pt idx="91">
                  <c:v>0.62706576000730307</c:v>
                </c:pt>
                <c:pt idx="92">
                  <c:v>0.61147442156310716</c:v>
                </c:pt>
                <c:pt idx="93">
                  <c:v>0.44940483143855425</c:v>
                </c:pt>
                <c:pt idx="94">
                  <c:v>0.44940483143855425</c:v>
                </c:pt>
                <c:pt idx="95">
                  <c:v>0.39520694642642867</c:v>
                </c:pt>
                <c:pt idx="96">
                  <c:v>0.28669155464082763</c:v>
                </c:pt>
                <c:pt idx="97">
                  <c:v>0.12197070829745495</c:v>
                </c:pt>
                <c:pt idx="98">
                  <c:v>0.1454080172260066</c:v>
                </c:pt>
                <c:pt idx="99">
                  <c:v>0.15719678587296068</c:v>
                </c:pt>
                <c:pt idx="100">
                  <c:v>0.181014676767844</c:v>
                </c:pt>
                <c:pt idx="101">
                  <c:v>0.20724532268930684</c:v>
                </c:pt>
                <c:pt idx="102">
                  <c:v>0.22133099278029308</c:v>
                </c:pt>
                <c:pt idx="103">
                  <c:v>0.181014676767844</c:v>
                </c:pt>
                <c:pt idx="104">
                  <c:v>0.15719678587296068</c:v>
                </c:pt>
                <c:pt idx="105">
                  <c:v>0.15719678587296068</c:v>
                </c:pt>
                <c:pt idx="106">
                  <c:v>0.15719678587296068</c:v>
                </c:pt>
                <c:pt idx="107">
                  <c:v>0.15719678587296068</c:v>
                </c:pt>
                <c:pt idx="108">
                  <c:v>0.16881724974113732</c:v>
                </c:pt>
                <c:pt idx="109">
                  <c:v>0.181014676767844</c:v>
                </c:pt>
                <c:pt idx="110">
                  <c:v>0.19381529255119542</c:v>
                </c:pt>
                <c:pt idx="111">
                  <c:v>0.22133099278029308</c:v>
                </c:pt>
                <c:pt idx="112">
                  <c:v>0.22133099278029308</c:v>
                </c:pt>
                <c:pt idx="113">
                  <c:v>0.22133099278029308</c:v>
                </c:pt>
                <c:pt idx="114">
                  <c:v>0.181014676767844</c:v>
                </c:pt>
                <c:pt idx="115">
                  <c:v>0.15719678587296068</c:v>
                </c:pt>
                <c:pt idx="116">
                  <c:v>0.14612705956519892</c:v>
                </c:pt>
                <c:pt idx="117">
                  <c:v>0.14612705956519892</c:v>
                </c:pt>
                <c:pt idx="118">
                  <c:v>0.16881724974113732</c:v>
                </c:pt>
                <c:pt idx="119">
                  <c:v>0.19381529255119542</c:v>
                </c:pt>
                <c:pt idx="120">
                  <c:v>9.4661351378704475E-2</c:v>
                </c:pt>
                <c:pt idx="121">
                  <c:v>0.17537344881678338</c:v>
                </c:pt>
                <c:pt idx="122">
                  <c:v>0.35575225884198569</c:v>
                </c:pt>
                <c:pt idx="123">
                  <c:v>0.32099399554007085</c:v>
                </c:pt>
                <c:pt idx="124">
                  <c:v>0.32099399554007085</c:v>
                </c:pt>
                <c:pt idx="125">
                  <c:v>0.32099399554007185</c:v>
                </c:pt>
                <c:pt idx="126">
                  <c:v>0.21374171099066497</c:v>
                </c:pt>
                <c:pt idx="127">
                  <c:v>0.21374171099066497</c:v>
                </c:pt>
                <c:pt idx="128">
                  <c:v>0.21374171099066497</c:v>
                </c:pt>
                <c:pt idx="129">
                  <c:v>2.0909975820934859E-2</c:v>
                </c:pt>
                <c:pt idx="130">
                  <c:v>0.36583846681572607</c:v>
                </c:pt>
                <c:pt idx="131">
                  <c:v>0.52861812550029386</c:v>
                </c:pt>
                <c:pt idx="132">
                  <c:v>0.74522999917159793</c:v>
                </c:pt>
                <c:pt idx="133">
                  <c:v>0.79924592703195996</c:v>
                </c:pt>
                <c:pt idx="134">
                  <c:v>0.76047896264006576</c:v>
                </c:pt>
                <c:pt idx="135">
                  <c:v>0.70690692089997775</c:v>
                </c:pt>
                <c:pt idx="136">
                  <c:v>0.77951376973639308</c:v>
                </c:pt>
                <c:pt idx="137">
                  <c:v>0.77951376973639397</c:v>
                </c:pt>
                <c:pt idx="138">
                  <c:v>0.77951376973639397</c:v>
                </c:pt>
                <c:pt idx="139">
                  <c:v>0.77951376973639397</c:v>
                </c:pt>
                <c:pt idx="140">
                  <c:v>0.67180949276150814</c:v>
                </c:pt>
                <c:pt idx="141">
                  <c:v>0.50952870148310514</c:v>
                </c:pt>
                <c:pt idx="142">
                  <c:v>0.34678507650229295</c:v>
                </c:pt>
                <c:pt idx="143">
                  <c:v>0.18404145152148088</c:v>
                </c:pt>
                <c:pt idx="144">
                  <c:v>3.2150909184676162E-2</c:v>
                </c:pt>
                <c:pt idx="145">
                  <c:v>0.19310687021741327</c:v>
                </c:pt>
                <c:pt idx="146">
                  <c:v>0.19310687021741327</c:v>
                </c:pt>
                <c:pt idx="147">
                  <c:v>0.36844625038894202</c:v>
                </c:pt>
                <c:pt idx="148">
                  <c:v>0.41336835964725482</c:v>
                </c:pt>
                <c:pt idx="149">
                  <c:v>0.43668174621514866</c:v>
                </c:pt>
                <c:pt idx="150">
                  <c:v>0.46059832153968716</c:v>
                </c:pt>
                <c:pt idx="151">
                  <c:v>0.48514431121898577</c:v>
                </c:pt>
                <c:pt idx="152">
                  <c:v>0.48514431121898577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3B1-47BC-8EE0-5BD9B8EDB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766952"/>
        <c:axId val="739509656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(m/s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²)</a:t>
                </a: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layout>
            <c:manualLayout>
              <c:xMode val="edge"/>
              <c:yMode val="edge"/>
              <c:x val="2.858999935329708E-2"/>
              <c:y val="0.485077515310586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valAx>
        <c:axId val="739509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</a:t>
                </a:r>
                <a:r>
                  <a:rPr lang="en-GB" baseline="0"/>
                  <a:t> (g/s)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766952"/>
        <c:crosses val="max"/>
        <c:crossBetween val="midCat"/>
      </c:valAx>
      <c:valAx>
        <c:axId val="823766952"/>
        <c:scaling>
          <c:orientation val="minMax"/>
        </c:scaling>
        <c:delete val="1"/>
        <c:axPos val="b"/>
        <c:majorTickMark val="out"/>
        <c:minorTickMark val="none"/>
        <c:tickLblPos val="nextTo"/>
        <c:crossAx val="73950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Resistive Forces (N) Against Time (s)</a:t>
            </a:r>
            <a:endParaRPr lang="en-GB">
              <a:effectLst/>
            </a:endParaRPr>
          </a:p>
        </c:rich>
      </c:tx>
      <c:layout>
        <c:manualLayout>
          <c:xMode val="edge"/>
          <c:yMode val="edge"/>
          <c:x val="0.10750474180590562"/>
          <c:y val="0.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'!$Q$4:$Q$153</c:f>
              <c:numCache>
                <c:formatCode>General</c:formatCode>
                <c:ptCount val="150"/>
                <c:pt idx="0">
                  <c:v>127.39265999999999</c:v>
                </c:pt>
                <c:pt idx="1">
                  <c:v>127.39265999999999</c:v>
                </c:pt>
                <c:pt idx="2">
                  <c:v>127.39265999999999</c:v>
                </c:pt>
                <c:pt idx="3">
                  <c:v>127.39265999999999</c:v>
                </c:pt>
                <c:pt idx="4">
                  <c:v>127.39265999999999</c:v>
                </c:pt>
                <c:pt idx="5">
                  <c:v>127.39265999999999</c:v>
                </c:pt>
                <c:pt idx="6">
                  <c:v>127.39265999999999</c:v>
                </c:pt>
                <c:pt idx="7">
                  <c:v>127.39265999999999</c:v>
                </c:pt>
                <c:pt idx="8">
                  <c:v>127.39265999999999</c:v>
                </c:pt>
                <c:pt idx="9">
                  <c:v>127.39265999999999</c:v>
                </c:pt>
                <c:pt idx="10">
                  <c:v>127.39265999999999</c:v>
                </c:pt>
                <c:pt idx="11">
                  <c:v>127.39265999999999</c:v>
                </c:pt>
                <c:pt idx="12">
                  <c:v>127.39265999999999</c:v>
                </c:pt>
                <c:pt idx="13">
                  <c:v>127.39265999999999</c:v>
                </c:pt>
                <c:pt idx="14">
                  <c:v>127.39265999999999</c:v>
                </c:pt>
                <c:pt idx="15">
                  <c:v>127.39265999999999</c:v>
                </c:pt>
                <c:pt idx="16">
                  <c:v>127.39265999999999</c:v>
                </c:pt>
                <c:pt idx="17">
                  <c:v>127.39265999999999</c:v>
                </c:pt>
                <c:pt idx="18">
                  <c:v>127.39265999999999</c:v>
                </c:pt>
                <c:pt idx="19">
                  <c:v>127.39265999999999</c:v>
                </c:pt>
                <c:pt idx="20">
                  <c:v>127.39265999999999</c:v>
                </c:pt>
                <c:pt idx="21">
                  <c:v>127.39265999999999</c:v>
                </c:pt>
                <c:pt idx="22">
                  <c:v>127.39265999999999</c:v>
                </c:pt>
                <c:pt idx="23">
                  <c:v>127.39265999999999</c:v>
                </c:pt>
                <c:pt idx="24">
                  <c:v>127.39265999999999</c:v>
                </c:pt>
                <c:pt idx="25">
                  <c:v>127.39265999999999</c:v>
                </c:pt>
                <c:pt idx="26">
                  <c:v>127.39265999999999</c:v>
                </c:pt>
                <c:pt idx="27">
                  <c:v>127.39265999999999</c:v>
                </c:pt>
                <c:pt idx="28">
                  <c:v>127.39265999999999</c:v>
                </c:pt>
                <c:pt idx="29">
                  <c:v>127.39265999999999</c:v>
                </c:pt>
                <c:pt idx="30">
                  <c:v>127.39265999999999</c:v>
                </c:pt>
                <c:pt idx="31">
                  <c:v>127.39265999999999</c:v>
                </c:pt>
                <c:pt idx="32">
                  <c:v>127.39265999999999</c:v>
                </c:pt>
                <c:pt idx="33">
                  <c:v>127.39265999999999</c:v>
                </c:pt>
                <c:pt idx="34">
                  <c:v>127.39265999999999</c:v>
                </c:pt>
                <c:pt idx="35">
                  <c:v>127.39265999999999</c:v>
                </c:pt>
                <c:pt idx="36">
                  <c:v>127.39265999999999</c:v>
                </c:pt>
                <c:pt idx="37">
                  <c:v>254.78531999999998</c:v>
                </c:pt>
                <c:pt idx="38">
                  <c:v>254.78531999999998</c:v>
                </c:pt>
                <c:pt idx="39">
                  <c:v>254.78531999999998</c:v>
                </c:pt>
                <c:pt idx="40">
                  <c:v>254.78531999999998</c:v>
                </c:pt>
                <c:pt idx="41">
                  <c:v>254.78531999999998</c:v>
                </c:pt>
                <c:pt idx="42">
                  <c:v>254.78531999999998</c:v>
                </c:pt>
                <c:pt idx="43">
                  <c:v>254.78531999999998</c:v>
                </c:pt>
                <c:pt idx="44">
                  <c:v>254.78531999999998</c:v>
                </c:pt>
                <c:pt idx="45">
                  <c:v>254.78531999999998</c:v>
                </c:pt>
                <c:pt idx="46">
                  <c:v>254.78531999999998</c:v>
                </c:pt>
                <c:pt idx="47">
                  <c:v>254.78531999999998</c:v>
                </c:pt>
                <c:pt idx="48">
                  <c:v>254.78531999999998</c:v>
                </c:pt>
                <c:pt idx="49">
                  <c:v>254.78531999999998</c:v>
                </c:pt>
                <c:pt idx="50">
                  <c:v>254.78531999999998</c:v>
                </c:pt>
                <c:pt idx="51">
                  <c:v>254.78531999999998</c:v>
                </c:pt>
                <c:pt idx="52">
                  <c:v>254.78531999999998</c:v>
                </c:pt>
                <c:pt idx="53">
                  <c:v>254.78531999999998</c:v>
                </c:pt>
                <c:pt idx="54">
                  <c:v>254.78531999999998</c:v>
                </c:pt>
                <c:pt idx="55">
                  <c:v>254.78531999999998</c:v>
                </c:pt>
                <c:pt idx="56">
                  <c:v>254.78531999999998</c:v>
                </c:pt>
                <c:pt idx="57">
                  <c:v>254.78531999999998</c:v>
                </c:pt>
                <c:pt idx="58">
                  <c:v>254.78531999999998</c:v>
                </c:pt>
                <c:pt idx="59">
                  <c:v>254.78531999999998</c:v>
                </c:pt>
                <c:pt idx="60">
                  <c:v>254.78531999999998</c:v>
                </c:pt>
                <c:pt idx="61">
                  <c:v>254.78531999999998</c:v>
                </c:pt>
                <c:pt idx="62">
                  <c:v>254.78531999999998</c:v>
                </c:pt>
                <c:pt idx="63">
                  <c:v>254.78531999999998</c:v>
                </c:pt>
                <c:pt idx="64">
                  <c:v>254.78531999999998</c:v>
                </c:pt>
                <c:pt idx="65">
                  <c:v>254.78531999999998</c:v>
                </c:pt>
                <c:pt idx="66">
                  <c:v>254.78531999999998</c:v>
                </c:pt>
                <c:pt idx="67">
                  <c:v>382.17797999999999</c:v>
                </c:pt>
                <c:pt idx="68">
                  <c:v>382.17797999999999</c:v>
                </c:pt>
                <c:pt idx="69">
                  <c:v>382.17797999999999</c:v>
                </c:pt>
                <c:pt idx="70">
                  <c:v>382.17797999999999</c:v>
                </c:pt>
                <c:pt idx="71">
                  <c:v>382.17797999999999</c:v>
                </c:pt>
                <c:pt idx="72">
                  <c:v>382.17797999999999</c:v>
                </c:pt>
                <c:pt idx="73">
                  <c:v>382.17797999999999</c:v>
                </c:pt>
                <c:pt idx="74">
                  <c:v>382.17797999999999</c:v>
                </c:pt>
                <c:pt idx="75">
                  <c:v>382.17797999999999</c:v>
                </c:pt>
                <c:pt idx="76">
                  <c:v>382.17797999999999</c:v>
                </c:pt>
                <c:pt idx="77">
                  <c:v>382.17797999999999</c:v>
                </c:pt>
                <c:pt idx="78">
                  <c:v>382.17797999999999</c:v>
                </c:pt>
                <c:pt idx="79">
                  <c:v>382.17797999999999</c:v>
                </c:pt>
                <c:pt idx="80">
                  <c:v>382.17797999999999</c:v>
                </c:pt>
                <c:pt idx="81">
                  <c:v>382.17797999999999</c:v>
                </c:pt>
                <c:pt idx="82">
                  <c:v>382.17797999999999</c:v>
                </c:pt>
                <c:pt idx="83">
                  <c:v>382.17797999999999</c:v>
                </c:pt>
                <c:pt idx="84">
                  <c:v>382.17797999999999</c:v>
                </c:pt>
                <c:pt idx="85">
                  <c:v>382.17797999999999</c:v>
                </c:pt>
                <c:pt idx="86">
                  <c:v>382.17797999999999</c:v>
                </c:pt>
                <c:pt idx="87">
                  <c:v>382.17797999999999</c:v>
                </c:pt>
                <c:pt idx="88">
                  <c:v>382.17797999999999</c:v>
                </c:pt>
                <c:pt idx="89">
                  <c:v>382.17797999999999</c:v>
                </c:pt>
                <c:pt idx="90">
                  <c:v>382.17797999999999</c:v>
                </c:pt>
                <c:pt idx="91">
                  <c:v>382.17797999999999</c:v>
                </c:pt>
                <c:pt idx="92">
                  <c:v>382.17797999999999</c:v>
                </c:pt>
                <c:pt idx="93">
                  <c:v>382.17797999999999</c:v>
                </c:pt>
                <c:pt idx="94">
                  <c:v>127.39265999999999</c:v>
                </c:pt>
                <c:pt idx="95">
                  <c:v>127.39265999999999</c:v>
                </c:pt>
                <c:pt idx="96">
                  <c:v>127.39265999999999</c:v>
                </c:pt>
                <c:pt idx="97">
                  <c:v>127.39265999999999</c:v>
                </c:pt>
                <c:pt idx="98">
                  <c:v>127.39265999999999</c:v>
                </c:pt>
                <c:pt idx="99">
                  <c:v>127.39265999999999</c:v>
                </c:pt>
                <c:pt idx="100">
                  <c:v>127.39265999999999</c:v>
                </c:pt>
                <c:pt idx="101">
                  <c:v>127.39265999999999</c:v>
                </c:pt>
                <c:pt idx="102">
                  <c:v>127.39265999999999</c:v>
                </c:pt>
                <c:pt idx="103">
                  <c:v>127.39265999999999</c:v>
                </c:pt>
                <c:pt idx="104">
                  <c:v>127.39265999999999</c:v>
                </c:pt>
                <c:pt idx="105">
                  <c:v>127.39265999999999</c:v>
                </c:pt>
                <c:pt idx="106">
                  <c:v>127.39265999999999</c:v>
                </c:pt>
                <c:pt idx="107">
                  <c:v>127.39265999999999</c:v>
                </c:pt>
                <c:pt idx="108">
                  <c:v>127.39265999999999</c:v>
                </c:pt>
                <c:pt idx="109">
                  <c:v>127.39265999999999</c:v>
                </c:pt>
                <c:pt idx="110">
                  <c:v>127.39265999999999</c:v>
                </c:pt>
                <c:pt idx="111">
                  <c:v>127.39265999999999</c:v>
                </c:pt>
                <c:pt idx="112">
                  <c:v>127.39265999999999</c:v>
                </c:pt>
                <c:pt idx="113">
                  <c:v>127.39265999999999</c:v>
                </c:pt>
                <c:pt idx="114">
                  <c:v>127.39265999999999</c:v>
                </c:pt>
                <c:pt idx="115">
                  <c:v>127.39265999999999</c:v>
                </c:pt>
                <c:pt idx="116">
                  <c:v>127.39265999999999</c:v>
                </c:pt>
                <c:pt idx="117">
                  <c:v>254.78531999999998</c:v>
                </c:pt>
                <c:pt idx="118">
                  <c:v>254.78531999999998</c:v>
                </c:pt>
                <c:pt idx="119">
                  <c:v>254.78531999999998</c:v>
                </c:pt>
                <c:pt idx="120">
                  <c:v>254.78531999999998</c:v>
                </c:pt>
                <c:pt idx="121">
                  <c:v>254.78531999999998</c:v>
                </c:pt>
                <c:pt idx="122">
                  <c:v>254.78531999999998</c:v>
                </c:pt>
                <c:pt idx="123">
                  <c:v>254.78531999999998</c:v>
                </c:pt>
                <c:pt idx="124">
                  <c:v>254.78531999999998</c:v>
                </c:pt>
                <c:pt idx="125">
                  <c:v>254.78531999999998</c:v>
                </c:pt>
                <c:pt idx="126">
                  <c:v>254.78531999999998</c:v>
                </c:pt>
                <c:pt idx="127">
                  <c:v>254.78531999999998</c:v>
                </c:pt>
                <c:pt idx="128">
                  <c:v>254.78531999999998</c:v>
                </c:pt>
                <c:pt idx="129">
                  <c:v>254.78531999999998</c:v>
                </c:pt>
                <c:pt idx="130">
                  <c:v>254.78531999999998</c:v>
                </c:pt>
                <c:pt idx="131">
                  <c:v>254.78531999999998</c:v>
                </c:pt>
                <c:pt idx="132">
                  <c:v>254.78531999999998</c:v>
                </c:pt>
                <c:pt idx="133">
                  <c:v>382.17797999999999</c:v>
                </c:pt>
                <c:pt idx="134">
                  <c:v>382.17797999999999</c:v>
                </c:pt>
                <c:pt idx="135">
                  <c:v>382.17797999999999</c:v>
                </c:pt>
                <c:pt idx="136">
                  <c:v>382.17797999999999</c:v>
                </c:pt>
                <c:pt idx="137">
                  <c:v>382.17797999999999</c:v>
                </c:pt>
                <c:pt idx="138">
                  <c:v>382.17797999999999</c:v>
                </c:pt>
                <c:pt idx="139">
                  <c:v>382.17797999999999</c:v>
                </c:pt>
                <c:pt idx="140">
                  <c:v>382.17797999999999</c:v>
                </c:pt>
                <c:pt idx="141">
                  <c:v>382.17797999999999</c:v>
                </c:pt>
                <c:pt idx="142">
                  <c:v>382.17797999999999</c:v>
                </c:pt>
                <c:pt idx="143">
                  <c:v>382.17797999999999</c:v>
                </c:pt>
                <c:pt idx="144">
                  <c:v>382.17797999999999</c:v>
                </c:pt>
                <c:pt idx="145">
                  <c:v>382.17797999999999</c:v>
                </c:pt>
                <c:pt idx="146">
                  <c:v>382.17797999999999</c:v>
                </c:pt>
                <c:pt idx="147">
                  <c:v>382.17797999999999</c:v>
                </c:pt>
                <c:pt idx="148">
                  <c:v>382.17797999999999</c:v>
                </c:pt>
                <c:pt idx="149">
                  <c:v>382.17797999999999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45-4B8F-8743-6CBF3C7FFCB0}"/>
            </c:ext>
          </c:extLst>
        </c:ser>
        <c:ser>
          <c:idx val="1"/>
          <c:order val="1"/>
          <c:tx>
            <c:v>Aero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'Duty Cycle '!$B$3:$B$153</c:f>
              <c:numCache>
                <c:formatCode>General</c:formatCode>
                <c:ptCount val="1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</c:numCache>
            </c:numRef>
          </c:xVal>
          <c:yVal>
            <c:numRef>
              <c:f>'Duty Cycle '!$R$3:$R$153</c:f>
              <c:numCache>
                <c:formatCode>General</c:formatCode>
                <c:ptCount val="151"/>
                <c:pt idx="0">
                  <c:v>0</c:v>
                </c:pt>
                <c:pt idx="1">
                  <c:v>0.24685005894359213</c:v>
                </c:pt>
                <c:pt idx="2">
                  <c:v>0.68569460817664474</c:v>
                </c:pt>
                <c:pt idx="3">
                  <c:v>1.3439614320262234</c:v>
                </c:pt>
                <c:pt idx="4">
                  <c:v>2.742778432706579</c:v>
                </c:pt>
                <c:pt idx="5">
                  <c:v>4.635295551274119</c:v>
                </c:pt>
                <c:pt idx="6">
                  <c:v>7.9266296705220158</c:v>
                </c:pt>
                <c:pt idx="7">
                  <c:v>10.971113730826316</c:v>
                </c:pt>
                <c:pt idx="8">
                  <c:v>15.798403772389896</c:v>
                </c:pt>
                <c:pt idx="9">
                  <c:v>19.07918276794549</c:v>
                </c:pt>
                <c:pt idx="10">
                  <c:v>28.501001418782764</c:v>
                </c:pt>
                <c:pt idx="11">
                  <c:v>33.918547143014209</c:v>
                </c:pt>
                <c:pt idx="12">
                  <c:v>39.807183799787531</c:v>
                </c:pt>
                <c:pt idx="13">
                  <c:v>40.073897853277657</c:v>
                </c:pt>
                <c:pt idx="14">
                  <c:v>48.489416402465956</c:v>
                </c:pt>
                <c:pt idx="15">
                  <c:v>57.70641290871982</c:v>
                </c:pt>
                <c:pt idx="16">
                  <c:v>67.724887372039234</c:v>
                </c:pt>
                <c:pt idx="17">
                  <c:v>57.70641290871982</c:v>
                </c:pt>
                <c:pt idx="18">
                  <c:v>52.997729910959706</c:v>
                </c:pt>
                <c:pt idx="19">
                  <c:v>52.997729910959706</c:v>
                </c:pt>
                <c:pt idx="20">
                  <c:v>48.489416402465956</c:v>
                </c:pt>
                <c:pt idx="21">
                  <c:v>44.181472383238614</c:v>
                </c:pt>
                <c:pt idx="22">
                  <c:v>36.803979104833125</c:v>
                </c:pt>
                <c:pt idx="23">
                  <c:v>36.803979104833125</c:v>
                </c:pt>
                <c:pt idx="24">
                  <c:v>39.807183799787531</c:v>
                </c:pt>
                <c:pt idx="25">
                  <c:v>48.489416402465956</c:v>
                </c:pt>
                <c:pt idx="26">
                  <c:v>57.70641290871982</c:v>
                </c:pt>
                <c:pt idx="27">
                  <c:v>67.724887372039234</c:v>
                </c:pt>
                <c:pt idx="28">
                  <c:v>67.724887372039234</c:v>
                </c:pt>
                <c:pt idx="29">
                  <c:v>67.724887372039234</c:v>
                </c:pt>
                <c:pt idx="30">
                  <c:v>67.724887372039234</c:v>
                </c:pt>
                <c:pt idx="31">
                  <c:v>67.724887372039234</c:v>
                </c:pt>
                <c:pt idx="32">
                  <c:v>67.724887372039234</c:v>
                </c:pt>
                <c:pt idx="33">
                  <c:v>67.724887372039234</c:v>
                </c:pt>
                <c:pt idx="34">
                  <c:v>67.724887372039234</c:v>
                </c:pt>
                <c:pt idx="35">
                  <c:v>67.724887372039234</c:v>
                </c:pt>
                <c:pt idx="36">
                  <c:v>67.724887372039234</c:v>
                </c:pt>
                <c:pt idx="37">
                  <c:v>67.724887372039234</c:v>
                </c:pt>
                <c:pt idx="38">
                  <c:v>67.724887372039234</c:v>
                </c:pt>
                <c:pt idx="39">
                  <c:v>67.724887372039234</c:v>
                </c:pt>
                <c:pt idx="40">
                  <c:v>62.615465395746334</c:v>
                </c:pt>
                <c:pt idx="41">
                  <c:v>57.70641290871982</c:v>
                </c:pt>
                <c:pt idx="42">
                  <c:v>48.489416402465956</c:v>
                </c:pt>
                <c:pt idx="43">
                  <c:v>40.073897853277657</c:v>
                </c:pt>
                <c:pt idx="44">
                  <c:v>31.15088791433077</c:v>
                </c:pt>
                <c:pt idx="45">
                  <c:v>31.15088791433077</c:v>
                </c:pt>
                <c:pt idx="46">
                  <c:v>31.15088791433077</c:v>
                </c:pt>
                <c:pt idx="47">
                  <c:v>31.15088791433077</c:v>
                </c:pt>
                <c:pt idx="48">
                  <c:v>31.15088791433077</c:v>
                </c:pt>
                <c:pt idx="49">
                  <c:v>31.15088791433077</c:v>
                </c:pt>
                <c:pt idx="50">
                  <c:v>31.15088791433077</c:v>
                </c:pt>
                <c:pt idx="51">
                  <c:v>33.918547143014209</c:v>
                </c:pt>
                <c:pt idx="52">
                  <c:v>39.807183799787531</c:v>
                </c:pt>
                <c:pt idx="53">
                  <c:v>44.181472383238614</c:v>
                </c:pt>
                <c:pt idx="54">
                  <c:v>52.997729910959706</c:v>
                </c:pt>
                <c:pt idx="55">
                  <c:v>62.615465395746334</c:v>
                </c:pt>
                <c:pt idx="56">
                  <c:v>67.724887372039234</c:v>
                </c:pt>
                <c:pt idx="57">
                  <c:v>67.724887372039234</c:v>
                </c:pt>
                <c:pt idx="58">
                  <c:v>67.724887372039234</c:v>
                </c:pt>
                <c:pt idx="59">
                  <c:v>67.724887372039234</c:v>
                </c:pt>
                <c:pt idx="60">
                  <c:v>57.70641290871982</c:v>
                </c:pt>
                <c:pt idx="61">
                  <c:v>44.181472383238614</c:v>
                </c:pt>
                <c:pt idx="62">
                  <c:v>36.166692812583079</c:v>
                </c:pt>
                <c:pt idx="63">
                  <c:v>31.15088791433077</c:v>
                </c:pt>
                <c:pt idx="64">
                  <c:v>31.15088791433077</c:v>
                </c:pt>
                <c:pt idx="65">
                  <c:v>31.15088791433077</c:v>
                </c:pt>
                <c:pt idx="66">
                  <c:v>31.15088791433077</c:v>
                </c:pt>
                <c:pt idx="67">
                  <c:v>25.968887656370253</c:v>
                </c:pt>
                <c:pt idx="68">
                  <c:v>28.501001418782764</c:v>
                </c:pt>
                <c:pt idx="69">
                  <c:v>33.918547143014209</c:v>
                </c:pt>
                <c:pt idx="70">
                  <c:v>44.181472383238614</c:v>
                </c:pt>
                <c:pt idx="71">
                  <c:v>52.997729910959706</c:v>
                </c:pt>
                <c:pt idx="72">
                  <c:v>57.70641290871982</c:v>
                </c:pt>
                <c:pt idx="73">
                  <c:v>52.997729910959706</c:v>
                </c:pt>
                <c:pt idx="74">
                  <c:v>44.181472383238614</c:v>
                </c:pt>
                <c:pt idx="75">
                  <c:v>36.166692812583079</c:v>
                </c:pt>
                <c:pt idx="76">
                  <c:v>32.459857261154902</c:v>
                </c:pt>
                <c:pt idx="77">
                  <c:v>28.501001418782764</c:v>
                </c:pt>
                <c:pt idx="78">
                  <c:v>28.501001418782764</c:v>
                </c:pt>
                <c:pt idx="79">
                  <c:v>28.501001418782764</c:v>
                </c:pt>
                <c:pt idx="80">
                  <c:v>28.501001418782764</c:v>
                </c:pt>
                <c:pt idx="81">
                  <c:v>28.501001418782764</c:v>
                </c:pt>
                <c:pt idx="82">
                  <c:v>28.501001418782764</c:v>
                </c:pt>
                <c:pt idx="83">
                  <c:v>31.15088791433077</c:v>
                </c:pt>
                <c:pt idx="84">
                  <c:v>36.803979104833125</c:v>
                </c:pt>
                <c:pt idx="85">
                  <c:v>40.073897853277657</c:v>
                </c:pt>
                <c:pt idx="86">
                  <c:v>40.073897853277657</c:v>
                </c:pt>
                <c:pt idx="87">
                  <c:v>36.803979104833125</c:v>
                </c:pt>
                <c:pt idx="88">
                  <c:v>31.15088791433077</c:v>
                </c:pt>
                <c:pt idx="89">
                  <c:v>28.501001418782764</c:v>
                </c:pt>
                <c:pt idx="90">
                  <c:v>25.968887656370253</c:v>
                </c:pt>
                <c:pt idx="91">
                  <c:v>25.968887656370253</c:v>
                </c:pt>
                <c:pt idx="92">
                  <c:v>25.968887656370253</c:v>
                </c:pt>
                <c:pt idx="93">
                  <c:v>25.968887656370253</c:v>
                </c:pt>
                <c:pt idx="94">
                  <c:v>25.968887656370253</c:v>
                </c:pt>
                <c:pt idx="95">
                  <c:v>31.15088791433077</c:v>
                </c:pt>
                <c:pt idx="96">
                  <c:v>39.807183799787531</c:v>
                </c:pt>
                <c:pt idx="97">
                  <c:v>44.181472383238614</c:v>
                </c:pt>
                <c:pt idx="98">
                  <c:v>52.997729910959706</c:v>
                </c:pt>
                <c:pt idx="99">
                  <c:v>62.615465395746334</c:v>
                </c:pt>
                <c:pt idx="100">
                  <c:v>67.724887372039234</c:v>
                </c:pt>
                <c:pt idx="101">
                  <c:v>52.997729910959706</c:v>
                </c:pt>
                <c:pt idx="102">
                  <c:v>44.181472383238614</c:v>
                </c:pt>
                <c:pt idx="103">
                  <c:v>44.181472383238614</c:v>
                </c:pt>
                <c:pt idx="104">
                  <c:v>44.181472383238614</c:v>
                </c:pt>
                <c:pt idx="105">
                  <c:v>44.181472383238614</c:v>
                </c:pt>
                <c:pt idx="106">
                  <c:v>48.489416402465956</c:v>
                </c:pt>
                <c:pt idx="107">
                  <c:v>52.997729910959706</c:v>
                </c:pt>
                <c:pt idx="108">
                  <c:v>57.70641290871982</c:v>
                </c:pt>
                <c:pt idx="109">
                  <c:v>67.724887372039234</c:v>
                </c:pt>
                <c:pt idx="110">
                  <c:v>67.724887372039234</c:v>
                </c:pt>
                <c:pt idx="111">
                  <c:v>67.724887372039234</c:v>
                </c:pt>
                <c:pt idx="112">
                  <c:v>52.997729910959706</c:v>
                </c:pt>
                <c:pt idx="113">
                  <c:v>44.181472383238614</c:v>
                </c:pt>
                <c:pt idx="114">
                  <c:v>40.073897853277657</c:v>
                </c:pt>
                <c:pt idx="115">
                  <c:v>40.073897853277657</c:v>
                </c:pt>
                <c:pt idx="116">
                  <c:v>48.489416402465956</c:v>
                </c:pt>
                <c:pt idx="117">
                  <c:v>57.70641290871982</c:v>
                </c:pt>
                <c:pt idx="118">
                  <c:v>67.724887372039234</c:v>
                </c:pt>
                <c:pt idx="119">
                  <c:v>67.724887372039234</c:v>
                </c:pt>
                <c:pt idx="120">
                  <c:v>62.615465395746334</c:v>
                </c:pt>
                <c:pt idx="121">
                  <c:v>57.70641290871982</c:v>
                </c:pt>
                <c:pt idx="122">
                  <c:v>57.70641290871982</c:v>
                </c:pt>
                <c:pt idx="123">
                  <c:v>57.70641290871982</c:v>
                </c:pt>
                <c:pt idx="124">
                  <c:v>57.70641290871982</c:v>
                </c:pt>
                <c:pt idx="125">
                  <c:v>57.70641290871982</c:v>
                </c:pt>
                <c:pt idx="126">
                  <c:v>57.70641290871982</c:v>
                </c:pt>
                <c:pt idx="127">
                  <c:v>62.615465395746334</c:v>
                </c:pt>
                <c:pt idx="128">
                  <c:v>67.724887372039234</c:v>
                </c:pt>
                <c:pt idx="129">
                  <c:v>67.724887372039234</c:v>
                </c:pt>
                <c:pt idx="130">
                  <c:v>67.724887372039234</c:v>
                </c:pt>
                <c:pt idx="131">
                  <c:v>67.724887372039234</c:v>
                </c:pt>
                <c:pt idx="132">
                  <c:v>57.70641290871982</c:v>
                </c:pt>
                <c:pt idx="133">
                  <c:v>44.181472383238614</c:v>
                </c:pt>
                <c:pt idx="134">
                  <c:v>36.166692812583079</c:v>
                </c:pt>
                <c:pt idx="135">
                  <c:v>36.166692812583079</c:v>
                </c:pt>
                <c:pt idx="136">
                  <c:v>36.166692812583079</c:v>
                </c:pt>
                <c:pt idx="137">
                  <c:v>36.166692812583079</c:v>
                </c:pt>
                <c:pt idx="138">
                  <c:v>36.166692812583079</c:v>
                </c:pt>
                <c:pt idx="139">
                  <c:v>36.166692812583079</c:v>
                </c:pt>
                <c:pt idx="140">
                  <c:v>36.166692812583079</c:v>
                </c:pt>
                <c:pt idx="141">
                  <c:v>36.166692812583079</c:v>
                </c:pt>
                <c:pt idx="142">
                  <c:v>36.166692812583079</c:v>
                </c:pt>
                <c:pt idx="143">
                  <c:v>36.166692812583079</c:v>
                </c:pt>
                <c:pt idx="144">
                  <c:v>36.166692812583079</c:v>
                </c:pt>
                <c:pt idx="145">
                  <c:v>40.073897853277657</c:v>
                </c:pt>
                <c:pt idx="146">
                  <c:v>48.489416402465956</c:v>
                </c:pt>
                <c:pt idx="147">
                  <c:v>52.997729910959706</c:v>
                </c:pt>
                <c:pt idx="148">
                  <c:v>57.70641290871982</c:v>
                </c:pt>
                <c:pt idx="149">
                  <c:v>62.615465395746334</c:v>
                </c:pt>
                <c:pt idx="150">
                  <c:v>62.615465395746334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845-4B8F-8743-6CBF3C7FFCB0}"/>
            </c:ext>
          </c:extLst>
        </c:ser>
        <c:ser>
          <c:idx val="2"/>
          <c:order val="2"/>
          <c:tx>
            <c:v>Incline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'!$S:$S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158.45148858114885</c:v>
                </c:pt>
                <c:pt idx="4">
                  <c:v>95.089724886638422</c:v>
                </c:pt>
                <c:pt idx="5">
                  <c:v>135.82671187846304</c:v>
                </c:pt>
                <c:pt idx="6">
                  <c:v>166.36878679308276</c:v>
                </c:pt>
                <c:pt idx="7">
                  <c:v>456.03975244764194</c:v>
                </c:pt>
                <c:pt idx="8">
                  <c:v>557.26861544315739</c:v>
                </c:pt>
                <c:pt idx="9">
                  <c:v>591.80601565595862</c:v>
                </c:pt>
                <c:pt idx="10">
                  <c:v>591.80601565595828</c:v>
                </c:pt>
                <c:pt idx="11">
                  <c:v>672.30454043454552</c:v>
                </c:pt>
                <c:pt idx="12">
                  <c:v>638.43109504231484</c:v>
                </c:pt>
                <c:pt idx="13">
                  <c:v>525.54516770956195</c:v>
                </c:pt>
                <c:pt idx="14">
                  <c:v>311.66364271281947</c:v>
                </c:pt>
                <c:pt idx="15">
                  <c:v>434.38255141643998</c:v>
                </c:pt>
                <c:pt idx="16">
                  <c:v>282.44669437860978</c:v>
                </c:pt>
                <c:pt idx="17">
                  <c:v>155.45231808694783</c:v>
                </c:pt>
                <c:pt idx="18">
                  <c:v>95.680670247492102</c:v>
                </c:pt>
                <c:pt idx="19">
                  <c:v>258.95013568875851</c:v>
                </c:pt>
                <c:pt idx="20">
                  <c:v>216.22124076166915</c:v>
                </c:pt>
                <c:pt idx="21">
                  <c:v>216.22124076167105</c:v>
                </c:pt>
                <c:pt idx="22">
                  <c:v>226.03737094326749</c:v>
                </c:pt>
                <c:pt idx="23">
                  <c:v>177.64359786077785</c:v>
                </c:pt>
                <c:pt idx="24">
                  <c:v>129.78060832214851</c:v>
                </c:pt>
                <c:pt idx="25">
                  <c:v>-324.09853217022822</c:v>
                </c:pt>
                <c:pt idx="26">
                  <c:v>-621.1008038983781</c:v>
                </c:pt>
                <c:pt idx="27">
                  <c:v>-674.72190156773252</c:v>
                </c:pt>
                <c:pt idx="28">
                  <c:v>-516.62109765348362</c:v>
                </c:pt>
                <c:pt idx="29">
                  <c:v>-382.07663367814348</c:v>
                </c:pt>
                <c:pt idx="30">
                  <c:v>-95.680670247492003</c:v>
                </c:pt>
                <c:pt idx="31">
                  <c:v>0</c:v>
                </c:pt>
                <c:pt idx="32">
                  <c:v>0</c:v>
                </c:pt>
                <c:pt idx="33">
                  <c:v>-95.680670247492003</c:v>
                </c:pt>
                <c:pt idx="34">
                  <c:v>-286.78328623541336</c:v>
                </c:pt>
                <c:pt idx="35">
                  <c:v>-571.8304569407336</c:v>
                </c:pt>
                <c:pt idx="36">
                  <c:v>-477.11321519062119</c:v>
                </c:pt>
                <c:pt idx="37">
                  <c:v>-477.11321519062119</c:v>
                </c:pt>
                <c:pt idx="38">
                  <c:v>-477.11321519062119</c:v>
                </c:pt>
                <c:pt idx="39">
                  <c:v>-477.11321519062119</c:v>
                </c:pt>
                <c:pt idx="40">
                  <c:v>-477.11321519062119</c:v>
                </c:pt>
                <c:pt idx="41">
                  <c:v>-477.11321519062119</c:v>
                </c:pt>
                <c:pt idx="42">
                  <c:v>-248.60823742651846</c:v>
                </c:pt>
                <c:pt idx="43">
                  <c:v>-258.95013568875817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-141.06056519531387</c:v>
                </c:pt>
                <c:pt idx="52">
                  <c:v>-281.9138155557294</c:v>
                </c:pt>
                <c:pt idx="53">
                  <c:v>-538.92541630629921</c:v>
                </c:pt>
                <c:pt idx="54">
                  <c:v>-621.1008038983781</c:v>
                </c:pt>
                <c:pt idx="55">
                  <c:v>-589.83051774423768</c:v>
                </c:pt>
                <c:pt idx="56">
                  <c:v>-431.69695467287426</c:v>
                </c:pt>
                <c:pt idx="57">
                  <c:v>-248.60823742651846</c:v>
                </c:pt>
                <c:pt idx="58">
                  <c:v>-95.680670247492742</c:v>
                </c:pt>
                <c:pt idx="59">
                  <c:v>-47.84438368024874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118.45466093262323</c:v>
                </c:pt>
                <c:pt idx="64">
                  <c:v>261.67135031690606</c:v>
                </c:pt>
                <c:pt idx="65">
                  <c:v>281.91381555573156</c:v>
                </c:pt>
                <c:pt idx="66">
                  <c:v>352.19828626014368</c:v>
                </c:pt>
                <c:pt idx="67">
                  <c:v>422.35395621112121</c:v>
                </c:pt>
                <c:pt idx="68">
                  <c:v>492.35558373391677</c:v>
                </c:pt>
                <c:pt idx="69">
                  <c:v>615.24100768094593</c:v>
                </c:pt>
                <c:pt idx="70">
                  <c:v>660.21334788146839</c:v>
                </c:pt>
                <c:pt idx="71">
                  <c:v>202.72155729417051</c:v>
                </c:pt>
                <c:pt idx="72">
                  <c:v>-236.78651826068651</c:v>
                </c:pt>
                <c:pt idx="73">
                  <c:v>-431.69695467287448</c:v>
                </c:pt>
                <c:pt idx="74">
                  <c:v>0</c:v>
                </c:pt>
                <c:pt idx="75">
                  <c:v>216.22124076166986</c:v>
                </c:pt>
                <c:pt idx="76">
                  <c:v>472.59441324560242</c:v>
                </c:pt>
                <c:pt idx="77">
                  <c:v>651.29942177057103</c:v>
                </c:pt>
                <c:pt idx="78">
                  <c:v>822.38479246066856</c:v>
                </c:pt>
                <c:pt idx="79">
                  <c:v>876.62955106722484</c:v>
                </c:pt>
                <c:pt idx="80">
                  <c:v>876.62955106722609</c:v>
                </c:pt>
                <c:pt idx="81">
                  <c:v>876.62955106722484</c:v>
                </c:pt>
                <c:pt idx="82">
                  <c:v>876.62955106722609</c:v>
                </c:pt>
                <c:pt idx="83">
                  <c:v>876.62955106722484</c:v>
                </c:pt>
                <c:pt idx="84">
                  <c:v>876.62955106722484</c:v>
                </c:pt>
                <c:pt idx="85">
                  <c:v>562.17820630293227</c:v>
                </c:pt>
                <c:pt idx="86">
                  <c:v>388.6969110678632</c:v>
                </c:pt>
                <c:pt idx="87">
                  <c:v>372.55781282322135</c:v>
                </c:pt>
                <c:pt idx="88">
                  <c:v>372.55781282322249</c:v>
                </c:pt>
                <c:pt idx="89">
                  <c:v>388.69691106786206</c:v>
                </c:pt>
                <c:pt idx="90">
                  <c:v>422.35395621112218</c:v>
                </c:pt>
                <c:pt idx="91">
                  <c:v>441.4616418066683</c:v>
                </c:pt>
                <c:pt idx="92">
                  <c:v>462.37535657043196</c:v>
                </c:pt>
                <c:pt idx="93">
                  <c:v>231.64586879546172</c:v>
                </c:pt>
                <c:pt idx="94">
                  <c:v>231.64586879546172</c:v>
                </c:pt>
                <c:pt idx="95">
                  <c:v>154.48734548628218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-239.06011988126386</c:v>
                </c:pt>
                <c:pt idx="121">
                  <c:v>-477.11321519062324</c:v>
                </c:pt>
                <c:pt idx="122">
                  <c:v>-643.56409239208676</c:v>
                </c:pt>
                <c:pt idx="123">
                  <c:v>-619.05005553456976</c:v>
                </c:pt>
                <c:pt idx="124">
                  <c:v>-619.05005553456976</c:v>
                </c:pt>
                <c:pt idx="125">
                  <c:v>-619.05005553457067</c:v>
                </c:pt>
                <c:pt idx="126">
                  <c:v>-516.62109765348123</c:v>
                </c:pt>
                <c:pt idx="127">
                  <c:v>-516.62109765348123</c:v>
                </c:pt>
                <c:pt idx="128">
                  <c:v>-516.62109765348123</c:v>
                </c:pt>
                <c:pt idx="129">
                  <c:v>-298.22995318467412</c:v>
                </c:pt>
                <c:pt idx="130">
                  <c:v>0</c:v>
                </c:pt>
                <c:pt idx="131">
                  <c:v>143.50076943864175</c:v>
                </c:pt>
                <c:pt idx="132">
                  <c:v>334.45810890334792</c:v>
                </c:pt>
                <c:pt idx="133">
                  <c:v>382.07663367814513</c:v>
                </c:pt>
                <c:pt idx="134">
                  <c:v>413.78713342005028</c:v>
                </c:pt>
                <c:pt idx="135">
                  <c:v>472.59441324560294</c:v>
                </c:pt>
                <c:pt idx="136">
                  <c:v>522.02287772449529</c:v>
                </c:pt>
                <c:pt idx="137">
                  <c:v>522.02287772449642</c:v>
                </c:pt>
                <c:pt idx="138">
                  <c:v>522.02287772449642</c:v>
                </c:pt>
                <c:pt idx="139">
                  <c:v>522.02287772449642</c:v>
                </c:pt>
                <c:pt idx="140">
                  <c:v>392.09366921867286</c:v>
                </c:pt>
                <c:pt idx="141">
                  <c:v>196.32600465862717</c:v>
                </c:pt>
                <c:pt idx="142">
                  <c:v>0</c:v>
                </c:pt>
                <c:pt idx="143">
                  <c:v>-196.32600465862717</c:v>
                </c:pt>
                <c:pt idx="144">
                  <c:v>-457.12996807139302</c:v>
                </c:pt>
                <c:pt idx="145">
                  <c:v>-651.29942177056353</c:v>
                </c:pt>
                <c:pt idx="146">
                  <c:v>-651.29942177056353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845-4B8F-8743-6CBF3C7FF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Resitive Forces (N)</a:t>
                </a:r>
              </a:p>
              <a:p>
                <a:pPr>
                  <a:defRPr/>
                </a:pP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BSFC (g/KWh) </a:t>
            </a:r>
            <a:r>
              <a:rPr lang="en-GB" baseline="0"/>
              <a:t>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'!$AB:$AB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306.74480096579998</c:v>
                </c:pt>
                <c:pt idx="5">
                  <c:v>306.74480096579998</c:v>
                </c:pt>
                <c:pt idx="6">
                  <c:v>306.74480096579998</c:v>
                </c:pt>
                <c:pt idx="7">
                  <c:v>306.74480096579998</c:v>
                </c:pt>
                <c:pt idx="8">
                  <c:v>306.74480096579998</c:v>
                </c:pt>
                <c:pt idx="9">
                  <c:v>306.74480096579998</c:v>
                </c:pt>
                <c:pt idx="10">
                  <c:v>306.74480096579998</c:v>
                </c:pt>
                <c:pt idx="11">
                  <c:v>306.74480096579998</c:v>
                </c:pt>
                <c:pt idx="12">
                  <c:v>306.74480096579998</c:v>
                </c:pt>
                <c:pt idx="13">
                  <c:v>306.74480096579998</c:v>
                </c:pt>
                <c:pt idx="14">
                  <c:v>306.74480096579998</c:v>
                </c:pt>
                <c:pt idx="15">
                  <c:v>306.74480096579998</c:v>
                </c:pt>
                <c:pt idx="16">
                  <c:v>306.74480096579998</c:v>
                </c:pt>
                <c:pt idx="17">
                  <c:v>306.74480096579998</c:v>
                </c:pt>
                <c:pt idx="18">
                  <c:v>306.74480096579998</c:v>
                </c:pt>
                <c:pt idx="19">
                  <c:v>306.74480096579998</c:v>
                </c:pt>
                <c:pt idx="20">
                  <c:v>306.74480096579998</c:v>
                </c:pt>
                <c:pt idx="21">
                  <c:v>306.74480096579998</c:v>
                </c:pt>
                <c:pt idx="22">
                  <c:v>306.74480096579998</c:v>
                </c:pt>
                <c:pt idx="23">
                  <c:v>306.74480096579998</c:v>
                </c:pt>
                <c:pt idx="24">
                  <c:v>306.74480096579998</c:v>
                </c:pt>
                <c:pt idx="25">
                  <c:v>306.74480096579998</c:v>
                </c:pt>
                <c:pt idx="26">
                  <c:v>306.74480096579998</c:v>
                </c:pt>
                <c:pt idx="27">
                  <c:v>306.74480096579998</c:v>
                </c:pt>
                <c:pt idx="28">
                  <c:v>306.74480096579998</c:v>
                </c:pt>
                <c:pt idx="29">
                  <c:v>306.74480096579998</c:v>
                </c:pt>
                <c:pt idx="30">
                  <c:v>306.74480096579998</c:v>
                </c:pt>
                <c:pt idx="31">
                  <c:v>306.74480096579998</c:v>
                </c:pt>
                <c:pt idx="32">
                  <c:v>306.74480096579998</c:v>
                </c:pt>
                <c:pt idx="33">
                  <c:v>306.74480096579998</c:v>
                </c:pt>
                <c:pt idx="34">
                  <c:v>306.74480096579998</c:v>
                </c:pt>
                <c:pt idx="35">
                  <c:v>306.74480096579998</c:v>
                </c:pt>
                <c:pt idx="36">
                  <c:v>306.74480096579998</c:v>
                </c:pt>
                <c:pt idx="37">
                  <c:v>306.74480096579998</c:v>
                </c:pt>
                <c:pt idx="38">
                  <c:v>306.74480096579998</c:v>
                </c:pt>
                <c:pt idx="39">
                  <c:v>306.74480096579998</c:v>
                </c:pt>
                <c:pt idx="40">
                  <c:v>306.74480096579998</c:v>
                </c:pt>
                <c:pt idx="41">
                  <c:v>306.74480096579998</c:v>
                </c:pt>
                <c:pt idx="42">
                  <c:v>306.74480096579998</c:v>
                </c:pt>
                <c:pt idx="43">
                  <c:v>306.74480096579998</c:v>
                </c:pt>
                <c:pt idx="44">
                  <c:v>306.74480096579998</c:v>
                </c:pt>
                <c:pt idx="45">
                  <c:v>306.74480096579998</c:v>
                </c:pt>
                <c:pt idx="46">
                  <c:v>306.74480096579998</c:v>
                </c:pt>
                <c:pt idx="47">
                  <c:v>306.74480096579998</c:v>
                </c:pt>
                <c:pt idx="48">
                  <c:v>306.74480096579998</c:v>
                </c:pt>
                <c:pt idx="49">
                  <c:v>306.74480096579998</c:v>
                </c:pt>
                <c:pt idx="50">
                  <c:v>306.74480096579998</c:v>
                </c:pt>
                <c:pt idx="51">
                  <c:v>306.74480096579998</c:v>
                </c:pt>
                <c:pt idx="52">
                  <c:v>306.74480096579998</c:v>
                </c:pt>
                <c:pt idx="53">
                  <c:v>306.74480096579998</c:v>
                </c:pt>
                <c:pt idx="54">
                  <c:v>306.74480096579998</c:v>
                </c:pt>
                <c:pt idx="55">
                  <c:v>306.74480096579998</c:v>
                </c:pt>
                <c:pt idx="56">
                  <c:v>306.74480096579998</c:v>
                </c:pt>
                <c:pt idx="57">
                  <c:v>306.74480096579998</c:v>
                </c:pt>
                <c:pt idx="58">
                  <c:v>306.74480096579998</c:v>
                </c:pt>
                <c:pt idx="59">
                  <c:v>306.74480096579998</c:v>
                </c:pt>
                <c:pt idx="60">
                  <c:v>306.74480096579998</c:v>
                </c:pt>
                <c:pt idx="61">
                  <c:v>306.74480096579998</c:v>
                </c:pt>
                <c:pt idx="62">
                  <c:v>306.74480096579998</c:v>
                </c:pt>
                <c:pt idx="63">
                  <c:v>306.74480096579998</c:v>
                </c:pt>
                <c:pt idx="64">
                  <c:v>306.74480096579998</c:v>
                </c:pt>
                <c:pt idx="65">
                  <c:v>306.74480096579998</c:v>
                </c:pt>
                <c:pt idx="66">
                  <c:v>306.74480096579998</c:v>
                </c:pt>
                <c:pt idx="67">
                  <c:v>306.74480096579998</c:v>
                </c:pt>
                <c:pt idx="68">
                  <c:v>306.74480096579998</c:v>
                </c:pt>
                <c:pt idx="69">
                  <c:v>306.74480096579998</c:v>
                </c:pt>
                <c:pt idx="70">
                  <c:v>306.74480096579998</c:v>
                </c:pt>
                <c:pt idx="71">
                  <c:v>306.74480096579998</c:v>
                </c:pt>
                <c:pt idx="72">
                  <c:v>306.74480096579998</c:v>
                </c:pt>
                <c:pt idx="73">
                  <c:v>306.74480096579998</c:v>
                </c:pt>
                <c:pt idx="74">
                  <c:v>306.74480096579998</c:v>
                </c:pt>
                <c:pt idx="75">
                  <c:v>306.74480096579998</c:v>
                </c:pt>
                <c:pt idx="76">
                  <c:v>306.74480096579998</c:v>
                </c:pt>
                <c:pt idx="77">
                  <c:v>306.74480096579998</c:v>
                </c:pt>
                <c:pt idx="78">
                  <c:v>306.74480096579998</c:v>
                </c:pt>
                <c:pt idx="79">
                  <c:v>306.74480096579998</c:v>
                </c:pt>
                <c:pt idx="80">
                  <c:v>306.74480096579998</c:v>
                </c:pt>
                <c:pt idx="81">
                  <c:v>306.74480096579998</c:v>
                </c:pt>
                <c:pt idx="82">
                  <c:v>306.74480096579998</c:v>
                </c:pt>
                <c:pt idx="83">
                  <c:v>306.74480096579998</c:v>
                </c:pt>
                <c:pt idx="84">
                  <c:v>306.74480096579998</c:v>
                </c:pt>
                <c:pt idx="85">
                  <c:v>306.74480096579998</c:v>
                </c:pt>
                <c:pt idx="86">
                  <c:v>306.74480096579998</c:v>
                </c:pt>
                <c:pt idx="87">
                  <c:v>306.74480096579998</c:v>
                </c:pt>
                <c:pt idx="88">
                  <c:v>306.74480096579998</c:v>
                </c:pt>
                <c:pt idx="89">
                  <c:v>306.74480096579998</c:v>
                </c:pt>
                <c:pt idx="90">
                  <c:v>306.74480096579998</c:v>
                </c:pt>
                <c:pt idx="91">
                  <c:v>306.74480096579998</c:v>
                </c:pt>
                <c:pt idx="92">
                  <c:v>306.74480096579998</c:v>
                </c:pt>
                <c:pt idx="93">
                  <c:v>306.74480096579998</c:v>
                </c:pt>
                <c:pt idx="94">
                  <c:v>306.74480096579998</c:v>
                </c:pt>
                <c:pt idx="95">
                  <c:v>306.74480096579998</c:v>
                </c:pt>
                <c:pt idx="96">
                  <c:v>306.74480096579998</c:v>
                </c:pt>
                <c:pt idx="97">
                  <c:v>306.74480096579998</c:v>
                </c:pt>
                <c:pt idx="98">
                  <c:v>306.74480096579998</c:v>
                </c:pt>
                <c:pt idx="99">
                  <c:v>306.74480096579998</c:v>
                </c:pt>
                <c:pt idx="100">
                  <c:v>306.74480096579998</c:v>
                </c:pt>
                <c:pt idx="101">
                  <c:v>306.74480096579998</c:v>
                </c:pt>
                <c:pt idx="102">
                  <c:v>306.74480096579998</c:v>
                </c:pt>
                <c:pt idx="103">
                  <c:v>306.74480096579998</c:v>
                </c:pt>
                <c:pt idx="104">
                  <c:v>306.74480096579998</c:v>
                </c:pt>
                <c:pt idx="105">
                  <c:v>306.74480096579998</c:v>
                </c:pt>
                <c:pt idx="106">
                  <c:v>306.74480096579998</c:v>
                </c:pt>
                <c:pt idx="107">
                  <c:v>306.74480096579998</c:v>
                </c:pt>
                <c:pt idx="108">
                  <c:v>306.74480096579998</c:v>
                </c:pt>
                <c:pt idx="109">
                  <c:v>306.74480096579998</c:v>
                </c:pt>
                <c:pt idx="110">
                  <c:v>306.74480096579998</c:v>
                </c:pt>
                <c:pt idx="111">
                  <c:v>306.74480096579998</c:v>
                </c:pt>
                <c:pt idx="112">
                  <c:v>306.74480096579998</c:v>
                </c:pt>
                <c:pt idx="113">
                  <c:v>306.74480096579998</c:v>
                </c:pt>
                <c:pt idx="114">
                  <c:v>306.74480096579998</c:v>
                </c:pt>
                <c:pt idx="115">
                  <c:v>306.74480096579998</c:v>
                </c:pt>
                <c:pt idx="116">
                  <c:v>306.74480096579998</c:v>
                </c:pt>
                <c:pt idx="117">
                  <c:v>306.74480096579998</c:v>
                </c:pt>
                <c:pt idx="118">
                  <c:v>306.74480096579998</c:v>
                </c:pt>
                <c:pt idx="119">
                  <c:v>306.74480096579998</c:v>
                </c:pt>
                <c:pt idx="120">
                  <c:v>306.74480096579998</c:v>
                </c:pt>
                <c:pt idx="121">
                  <c:v>306.74480096579998</c:v>
                </c:pt>
                <c:pt idx="122">
                  <c:v>306.74480096579998</c:v>
                </c:pt>
                <c:pt idx="123">
                  <c:v>306.74480096579998</c:v>
                </c:pt>
                <c:pt idx="124">
                  <c:v>306.74480096579998</c:v>
                </c:pt>
                <c:pt idx="125">
                  <c:v>306.74480096579998</c:v>
                </c:pt>
                <c:pt idx="126">
                  <c:v>306.74480096579998</c:v>
                </c:pt>
                <c:pt idx="127">
                  <c:v>306.74480096579998</c:v>
                </c:pt>
                <c:pt idx="128">
                  <c:v>306.74480096579998</c:v>
                </c:pt>
                <c:pt idx="129">
                  <c:v>306.74480096579998</c:v>
                </c:pt>
                <c:pt idx="130">
                  <c:v>306.74480096579998</c:v>
                </c:pt>
                <c:pt idx="131">
                  <c:v>306.74480096579998</c:v>
                </c:pt>
                <c:pt idx="132">
                  <c:v>306.74480096579998</c:v>
                </c:pt>
                <c:pt idx="133">
                  <c:v>306.74480096579998</c:v>
                </c:pt>
                <c:pt idx="134">
                  <c:v>306.74480096579998</c:v>
                </c:pt>
                <c:pt idx="135">
                  <c:v>306.74480096579998</c:v>
                </c:pt>
                <c:pt idx="136">
                  <c:v>306.74480096579998</c:v>
                </c:pt>
                <c:pt idx="137">
                  <c:v>306.74480096579998</c:v>
                </c:pt>
                <c:pt idx="138">
                  <c:v>306.74480096579998</c:v>
                </c:pt>
                <c:pt idx="139">
                  <c:v>306.74480096579998</c:v>
                </c:pt>
                <c:pt idx="140">
                  <c:v>306.74480096579998</c:v>
                </c:pt>
                <c:pt idx="141">
                  <c:v>306.74480096579998</c:v>
                </c:pt>
                <c:pt idx="142">
                  <c:v>306.74480096579998</c:v>
                </c:pt>
                <c:pt idx="143">
                  <c:v>306.74480096579998</c:v>
                </c:pt>
                <c:pt idx="144">
                  <c:v>306.74480096579998</c:v>
                </c:pt>
                <c:pt idx="145">
                  <c:v>306.74480096579998</c:v>
                </c:pt>
                <c:pt idx="146">
                  <c:v>306.74480096579998</c:v>
                </c:pt>
                <c:pt idx="147">
                  <c:v>306.74480096579998</c:v>
                </c:pt>
                <c:pt idx="148">
                  <c:v>306.74480096579998</c:v>
                </c:pt>
                <c:pt idx="149">
                  <c:v>306.74480096579998</c:v>
                </c:pt>
                <c:pt idx="150">
                  <c:v>306.74480096579998</c:v>
                </c:pt>
                <c:pt idx="151">
                  <c:v>306.74480096579998</c:v>
                </c:pt>
                <c:pt idx="152">
                  <c:v>306.74480096579998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47-4F3A-9570-8DE72E633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BSFC (g/KWh)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Resistive Forces (N) </a:t>
            </a:r>
            <a:r>
              <a:rPr lang="en-GB" baseline="0"/>
              <a:t>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'!$T:$T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286.09099864009244</c:v>
                </c:pt>
                <c:pt idx="4">
                  <c:v>223.16807949481506</c:v>
                </c:pt>
                <c:pt idx="5">
                  <c:v>264.56333331048927</c:v>
                </c:pt>
                <c:pt idx="6">
                  <c:v>296.50422522578936</c:v>
                </c:pt>
                <c:pt idx="7">
                  <c:v>588.06770799891603</c:v>
                </c:pt>
                <c:pt idx="8">
                  <c:v>692.58790511367943</c:v>
                </c:pt>
                <c:pt idx="9">
                  <c:v>730.16978938678494</c:v>
                </c:pt>
                <c:pt idx="10">
                  <c:v>734.99707942834812</c:v>
                </c:pt>
                <c:pt idx="11">
                  <c:v>818.77638320249093</c:v>
                </c:pt>
                <c:pt idx="12">
                  <c:v>794.32475646109765</c:v>
                </c:pt>
                <c:pt idx="13">
                  <c:v>686.85637485257621</c:v>
                </c:pt>
                <c:pt idx="14">
                  <c:v>478.86348651260698</c:v>
                </c:pt>
                <c:pt idx="15">
                  <c:v>601.8491092697177</c:v>
                </c:pt>
                <c:pt idx="16">
                  <c:v>458.32877078107572</c:v>
                </c:pt>
                <c:pt idx="17">
                  <c:v>340.55139099566765</c:v>
                </c:pt>
                <c:pt idx="18">
                  <c:v>290.79821761953133</c:v>
                </c:pt>
                <c:pt idx="19">
                  <c:v>444.04920859747835</c:v>
                </c:pt>
                <c:pt idx="20">
                  <c:v>396.61163067262885</c:v>
                </c:pt>
                <c:pt idx="21">
                  <c:v>396.61163067263078</c:v>
                </c:pt>
                <c:pt idx="22">
                  <c:v>401.91944734573343</c:v>
                </c:pt>
                <c:pt idx="23">
                  <c:v>349.21773024401648</c:v>
                </c:pt>
                <c:pt idx="24">
                  <c:v>293.97724742698165</c:v>
                </c:pt>
                <c:pt idx="25">
                  <c:v>-159.90189306539511</c:v>
                </c:pt>
                <c:pt idx="26">
                  <c:v>-453.90096009859059</c:v>
                </c:pt>
                <c:pt idx="27">
                  <c:v>-498.83982516526657</c:v>
                </c:pt>
                <c:pt idx="28">
                  <c:v>-331.52202474476383</c:v>
                </c:pt>
                <c:pt idx="29">
                  <c:v>-186.95908630610427</c:v>
                </c:pt>
                <c:pt idx="30">
                  <c:v>99.436877124547209</c:v>
                </c:pt>
                <c:pt idx="31">
                  <c:v>195.11754737203921</c:v>
                </c:pt>
                <c:pt idx="32">
                  <c:v>195.11754737203921</c:v>
                </c:pt>
                <c:pt idx="33">
                  <c:v>99.436877124547209</c:v>
                </c:pt>
                <c:pt idx="34">
                  <c:v>-91.665738863374145</c:v>
                </c:pt>
                <c:pt idx="35">
                  <c:v>-376.71290956869439</c:v>
                </c:pt>
                <c:pt idx="36">
                  <c:v>-281.99566781858198</c:v>
                </c:pt>
                <c:pt idx="37">
                  <c:v>-281.99566781858198</c:v>
                </c:pt>
                <c:pt idx="38">
                  <c:v>-281.99566781858198</c:v>
                </c:pt>
                <c:pt idx="39">
                  <c:v>-281.99566781858198</c:v>
                </c:pt>
                <c:pt idx="40">
                  <c:v>-154.603007818582</c:v>
                </c:pt>
                <c:pt idx="41">
                  <c:v>-154.603007818582</c:v>
                </c:pt>
                <c:pt idx="42">
                  <c:v>68.792547969227854</c:v>
                </c:pt>
                <c:pt idx="43">
                  <c:v>53.541597219961659</c:v>
                </c:pt>
                <c:pt idx="44">
                  <c:v>303.27473640246592</c:v>
                </c:pt>
                <c:pt idx="45">
                  <c:v>294.85921785327764</c:v>
                </c:pt>
                <c:pt idx="46">
                  <c:v>285.93620791433074</c:v>
                </c:pt>
                <c:pt idx="47">
                  <c:v>285.93620791433074</c:v>
                </c:pt>
                <c:pt idx="48">
                  <c:v>285.93620791433074</c:v>
                </c:pt>
                <c:pt idx="49">
                  <c:v>285.93620791433074</c:v>
                </c:pt>
                <c:pt idx="50">
                  <c:v>285.93620791433074</c:v>
                </c:pt>
                <c:pt idx="51">
                  <c:v>144.87564271901687</c:v>
                </c:pt>
                <c:pt idx="52">
                  <c:v>4.022392358601337</c:v>
                </c:pt>
                <c:pt idx="53">
                  <c:v>-250.22154916328503</c:v>
                </c:pt>
                <c:pt idx="54">
                  <c:v>-326.50830009859061</c:v>
                </c:pt>
                <c:pt idx="55">
                  <c:v>-290.86372536099907</c:v>
                </c:pt>
                <c:pt idx="56">
                  <c:v>-123.91390476191458</c:v>
                </c:pt>
                <c:pt idx="57">
                  <c:v>68.792547969227854</c:v>
                </c:pt>
                <c:pt idx="58">
                  <c:v>226.82953712454645</c:v>
                </c:pt>
                <c:pt idx="59">
                  <c:v>274.66582369179048</c:v>
                </c:pt>
                <c:pt idx="60">
                  <c:v>322.51020737203919</c:v>
                </c:pt>
                <c:pt idx="61">
                  <c:v>322.51020737203919</c:v>
                </c:pt>
                <c:pt idx="62">
                  <c:v>312.49173290871983</c:v>
                </c:pt>
                <c:pt idx="63">
                  <c:v>417.42145331586187</c:v>
                </c:pt>
                <c:pt idx="64">
                  <c:v>552.62336312948912</c:v>
                </c:pt>
                <c:pt idx="65">
                  <c:v>567.8500234700623</c:v>
                </c:pt>
                <c:pt idx="66">
                  <c:v>638.13449417447441</c:v>
                </c:pt>
                <c:pt idx="67">
                  <c:v>708.29016412545195</c:v>
                </c:pt>
                <c:pt idx="68">
                  <c:v>778.29179164824745</c:v>
                </c:pt>
                <c:pt idx="69">
                  <c:v>895.99521533731615</c:v>
                </c:pt>
                <c:pt idx="70">
                  <c:v>1070.8923293002513</c:v>
                </c:pt>
                <c:pt idx="71">
                  <c:v>618.81808443718478</c:v>
                </c:pt>
                <c:pt idx="72">
                  <c:v>189.57293412255208</c:v>
                </c:pt>
                <c:pt idx="73">
                  <c:v>3.4787552380852276</c:v>
                </c:pt>
                <c:pt idx="74">
                  <c:v>439.8843929087198</c:v>
                </c:pt>
                <c:pt idx="75">
                  <c:v>651.3969506726296</c:v>
                </c:pt>
                <c:pt idx="76">
                  <c:v>898.95386562884096</c:v>
                </c:pt>
                <c:pt idx="77">
                  <c:v>1069.6440945831541</c:v>
                </c:pt>
                <c:pt idx="78">
                  <c:v>1237.0226297218235</c:v>
                </c:pt>
                <c:pt idx="79">
                  <c:v>1287.3085324860076</c:v>
                </c:pt>
                <c:pt idx="80">
                  <c:v>1287.308532486009</c:v>
                </c:pt>
                <c:pt idx="81">
                  <c:v>1287.3085324860076</c:v>
                </c:pt>
                <c:pt idx="82">
                  <c:v>1287.308532486009</c:v>
                </c:pt>
                <c:pt idx="83">
                  <c:v>1287.3085324860076</c:v>
                </c:pt>
                <c:pt idx="84">
                  <c:v>1287.3085324860076</c:v>
                </c:pt>
                <c:pt idx="85">
                  <c:v>975.50707421726304</c:v>
                </c:pt>
                <c:pt idx="86">
                  <c:v>807.67887017269629</c:v>
                </c:pt>
                <c:pt idx="87">
                  <c:v>794.80969067649903</c:v>
                </c:pt>
                <c:pt idx="88">
                  <c:v>794.80969067650017</c:v>
                </c:pt>
                <c:pt idx="89">
                  <c:v>807.67887017269516</c:v>
                </c:pt>
                <c:pt idx="90">
                  <c:v>835.68282412545295</c:v>
                </c:pt>
                <c:pt idx="91">
                  <c:v>852.14062322545101</c:v>
                </c:pt>
                <c:pt idx="92">
                  <c:v>870.52222422680222</c:v>
                </c:pt>
                <c:pt idx="93">
                  <c:v>639.79273645183196</c:v>
                </c:pt>
                <c:pt idx="94">
                  <c:v>639.79273645183196</c:v>
                </c:pt>
                <c:pt idx="95">
                  <c:v>562.63421314265247</c:v>
                </c:pt>
                <c:pt idx="96">
                  <c:v>408.14686765637026</c:v>
                </c:pt>
                <c:pt idx="97">
                  <c:v>158.54354791433076</c:v>
                </c:pt>
                <c:pt idx="98">
                  <c:v>167.19984379978752</c:v>
                </c:pt>
                <c:pt idx="99">
                  <c:v>171.57413238323861</c:v>
                </c:pt>
                <c:pt idx="100">
                  <c:v>180.3903899109597</c:v>
                </c:pt>
                <c:pt idx="101">
                  <c:v>190.00812539574633</c:v>
                </c:pt>
                <c:pt idx="102">
                  <c:v>195.11754737203921</c:v>
                </c:pt>
                <c:pt idx="103">
                  <c:v>180.3903899109597</c:v>
                </c:pt>
                <c:pt idx="104">
                  <c:v>171.57413238323861</c:v>
                </c:pt>
                <c:pt idx="105">
                  <c:v>171.57413238323861</c:v>
                </c:pt>
                <c:pt idx="106">
                  <c:v>171.57413238323861</c:v>
                </c:pt>
                <c:pt idx="107">
                  <c:v>171.57413238323861</c:v>
                </c:pt>
                <c:pt idx="108">
                  <c:v>175.88207640246594</c:v>
                </c:pt>
                <c:pt idx="109">
                  <c:v>180.3903899109597</c:v>
                </c:pt>
                <c:pt idx="110">
                  <c:v>185.09907290871982</c:v>
                </c:pt>
                <c:pt idx="111">
                  <c:v>195.11754737203921</c:v>
                </c:pt>
                <c:pt idx="112">
                  <c:v>195.11754737203921</c:v>
                </c:pt>
                <c:pt idx="113">
                  <c:v>195.11754737203921</c:v>
                </c:pt>
                <c:pt idx="114">
                  <c:v>180.3903899109597</c:v>
                </c:pt>
                <c:pt idx="115">
                  <c:v>171.57413238323861</c:v>
                </c:pt>
                <c:pt idx="116">
                  <c:v>167.46655785327766</c:v>
                </c:pt>
                <c:pt idx="117">
                  <c:v>167.46655785327766</c:v>
                </c:pt>
                <c:pt idx="118">
                  <c:v>175.88207640246594</c:v>
                </c:pt>
                <c:pt idx="119">
                  <c:v>185.09907290871982</c:v>
                </c:pt>
                <c:pt idx="120">
                  <c:v>83.450087490775331</c:v>
                </c:pt>
                <c:pt idx="121">
                  <c:v>-154.60300781858405</c:v>
                </c:pt>
                <c:pt idx="122">
                  <c:v>-326.16330699634045</c:v>
                </c:pt>
                <c:pt idx="123">
                  <c:v>-306.55832262584994</c:v>
                </c:pt>
                <c:pt idx="124">
                  <c:v>-306.55832262584994</c:v>
                </c:pt>
                <c:pt idx="125">
                  <c:v>-306.55832262585085</c:v>
                </c:pt>
                <c:pt idx="126">
                  <c:v>-204.1293647447614</c:v>
                </c:pt>
                <c:pt idx="127">
                  <c:v>-204.1293647447614</c:v>
                </c:pt>
                <c:pt idx="128">
                  <c:v>-204.1293647447614</c:v>
                </c:pt>
                <c:pt idx="129">
                  <c:v>19.170832211072195</c:v>
                </c:pt>
                <c:pt idx="130">
                  <c:v>322.51020737203919</c:v>
                </c:pt>
                <c:pt idx="131">
                  <c:v>466.01097681068097</c:v>
                </c:pt>
                <c:pt idx="132">
                  <c:v>656.96831627538711</c:v>
                </c:pt>
                <c:pt idx="133">
                  <c:v>704.58684105018438</c:v>
                </c:pt>
                <c:pt idx="134">
                  <c:v>726.27886632877016</c:v>
                </c:pt>
                <c:pt idx="135">
                  <c:v>771.56120562884155</c:v>
                </c:pt>
                <c:pt idx="136">
                  <c:v>940.36755053707839</c:v>
                </c:pt>
                <c:pt idx="137">
                  <c:v>940.36755053707952</c:v>
                </c:pt>
                <c:pt idx="138">
                  <c:v>940.36755053707952</c:v>
                </c:pt>
                <c:pt idx="139">
                  <c:v>940.36755053707952</c:v>
                </c:pt>
                <c:pt idx="140">
                  <c:v>810.43834203125596</c:v>
                </c:pt>
                <c:pt idx="141">
                  <c:v>614.6706774712103</c:v>
                </c:pt>
                <c:pt idx="142">
                  <c:v>418.3446728125831</c:v>
                </c:pt>
                <c:pt idx="143">
                  <c:v>222.01866815395593</c:v>
                </c:pt>
                <c:pt idx="144">
                  <c:v>-38.785295258809924</c:v>
                </c:pt>
                <c:pt idx="145">
                  <c:v>-232.95474895798043</c:v>
                </c:pt>
                <c:pt idx="146">
                  <c:v>-232.95474895798043</c:v>
                </c:pt>
                <c:pt idx="147">
                  <c:v>422.25187785327762</c:v>
                </c:pt>
                <c:pt idx="148">
                  <c:v>430.66739640246595</c:v>
                </c:pt>
                <c:pt idx="149">
                  <c:v>435.17570991095971</c:v>
                </c:pt>
                <c:pt idx="150">
                  <c:v>439.8843929087198</c:v>
                </c:pt>
                <c:pt idx="151">
                  <c:v>444.79344539574635</c:v>
                </c:pt>
                <c:pt idx="152">
                  <c:v>444.79344539574635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A9-4704-B48E-9C447C0723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Resistive Forces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0930684822410376E-2"/>
              <c:y val="0.3859888013998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Velocity (mph) &amp; Aero Resistance (N)</a:t>
            </a:r>
            <a:endParaRPr lang="en-GB">
              <a:effectLst/>
            </a:endParaRPr>
          </a:p>
        </c:rich>
      </c:tx>
      <c:layout>
        <c:manualLayout>
          <c:xMode val="edge"/>
          <c:yMode val="edge"/>
          <c:x val="0.10750474180590562"/>
          <c:y val="3.111111111111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 (m/s)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'!$M:$M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1.7979584450673736</c:v>
                </c:pt>
                <c:pt idx="4">
                  <c:v>2.9965974084456226</c:v>
                </c:pt>
                <c:pt idx="5">
                  <c:v>4.1952363718238717</c:v>
                </c:pt>
                <c:pt idx="6">
                  <c:v>5.9931948168912452</c:v>
                </c:pt>
                <c:pt idx="7">
                  <c:v>7.7911532619586188</c:v>
                </c:pt>
                <c:pt idx="8">
                  <c:v>10.188431188715118</c:v>
                </c:pt>
                <c:pt idx="9">
                  <c:v>11.98638963378249</c:v>
                </c:pt>
                <c:pt idx="10">
                  <c:v>14.383667560538989</c:v>
                </c:pt>
                <c:pt idx="11">
                  <c:v>15.806762082696562</c:v>
                </c:pt>
                <c:pt idx="12">
                  <c:v>19.31937587885135</c:v>
                </c:pt>
                <c:pt idx="13">
                  <c:v>21.075682776928751</c:v>
                </c:pt>
                <c:pt idx="14">
                  <c:v>22.831989675006152</c:v>
                </c:pt>
                <c:pt idx="15">
                  <c:v>22.908350844487774</c:v>
                </c:pt>
                <c:pt idx="16">
                  <c:v>25.199185928936547</c:v>
                </c:pt>
                <c:pt idx="17">
                  <c:v>27.490021013385324</c:v>
                </c:pt>
                <c:pt idx="18">
                  <c:v>29.780856097834103</c:v>
                </c:pt>
                <c:pt idx="19">
                  <c:v>27.490021013385324</c:v>
                </c:pt>
                <c:pt idx="20">
                  <c:v>26.344603471160941</c:v>
                </c:pt>
                <c:pt idx="21">
                  <c:v>26.344603471160941</c:v>
                </c:pt>
                <c:pt idx="22">
                  <c:v>25.199185928936547</c:v>
                </c:pt>
                <c:pt idx="23">
                  <c:v>24.053768386712161</c:v>
                </c:pt>
                <c:pt idx="24">
                  <c:v>21.95383622596745</c:v>
                </c:pt>
                <c:pt idx="25">
                  <c:v>21.95383622596745</c:v>
                </c:pt>
                <c:pt idx="26">
                  <c:v>22.831989675006152</c:v>
                </c:pt>
                <c:pt idx="27">
                  <c:v>25.199185928936547</c:v>
                </c:pt>
                <c:pt idx="28">
                  <c:v>27.490021013385324</c:v>
                </c:pt>
                <c:pt idx="29">
                  <c:v>29.780856097834103</c:v>
                </c:pt>
                <c:pt idx="30">
                  <c:v>29.780856097834103</c:v>
                </c:pt>
                <c:pt idx="31">
                  <c:v>29.780856097834103</c:v>
                </c:pt>
                <c:pt idx="32">
                  <c:v>29.780856097834103</c:v>
                </c:pt>
                <c:pt idx="33">
                  <c:v>29.780856097834103</c:v>
                </c:pt>
                <c:pt idx="34">
                  <c:v>29.780856097834103</c:v>
                </c:pt>
                <c:pt idx="35">
                  <c:v>29.780856097834103</c:v>
                </c:pt>
                <c:pt idx="36">
                  <c:v>29.780856097834103</c:v>
                </c:pt>
                <c:pt idx="37">
                  <c:v>29.780856097834103</c:v>
                </c:pt>
                <c:pt idx="38">
                  <c:v>29.780856097834103</c:v>
                </c:pt>
                <c:pt idx="39">
                  <c:v>29.780856097834103</c:v>
                </c:pt>
                <c:pt idx="40">
                  <c:v>29.780856097834103</c:v>
                </c:pt>
                <c:pt idx="41">
                  <c:v>29.780856097834103</c:v>
                </c:pt>
                <c:pt idx="42">
                  <c:v>28.635438555609714</c:v>
                </c:pt>
                <c:pt idx="43">
                  <c:v>27.490021013385324</c:v>
                </c:pt>
                <c:pt idx="44">
                  <c:v>25.199185928936547</c:v>
                </c:pt>
                <c:pt idx="45">
                  <c:v>22.908350844487774</c:v>
                </c:pt>
                <c:pt idx="46">
                  <c:v>20.197529327890056</c:v>
                </c:pt>
                <c:pt idx="47">
                  <c:v>20.197529327890056</c:v>
                </c:pt>
                <c:pt idx="48">
                  <c:v>20.197529327890056</c:v>
                </c:pt>
                <c:pt idx="49">
                  <c:v>20.197529327890056</c:v>
                </c:pt>
                <c:pt idx="50">
                  <c:v>20.197529327890056</c:v>
                </c:pt>
                <c:pt idx="51">
                  <c:v>20.197529327890056</c:v>
                </c:pt>
                <c:pt idx="52">
                  <c:v>20.197529327890056</c:v>
                </c:pt>
                <c:pt idx="53">
                  <c:v>21.075682776928751</c:v>
                </c:pt>
                <c:pt idx="54">
                  <c:v>22.831989675006152</c:v>
                </c:pt>
                <c:pt idx="55">
                  <c:v>24.053768386712161</c:v>
                </c:pt>
                <c:pt idx="56">
                  <c:v>26.344603471160941</c:v>
                </c:pt>
                <c:pt idx="57">
                  <c:v>28.635438555609714</c:v>
                </c:pt>
                <c:pt idx="58">
                  <c:v>29.780856097834103</c:v>
                </c:pt>
                <c:pt idx="59">
                  <c:v>29.780856097834103</c:v>
                </c:pt>
                <c:pt idx="60">
                  <c:v>29.780856097834103</c:v>
                </c:pt>
                <c:pt idx="61">
                  <c:v>29.780856097834103</c:v>
                </c:pt>
                <c:pt idx="62">
                  <c:v>27.490021013385324</c:v>
                </c:pt>
                <c:pt idx="63">
                  <c:v>24.053768386712161</c:v>
                </c:pt>
                <c:pt idx="64">
                  <c:v>21.762933302263384</c:v>
                </c:pt>
                <c:pt idx="65">
                  <c:v>20.197529327890056</c:v>
                </c:pt>
                <c:pt idx="66">
                  <c:v>20.197529327890056</c:v>
                </c:pt>
                <c:pt idx="67">
                  <c:v>20.197529327890056</c:v>
                </c:pt>
                <c:pt idx="68">
                  <c:v>20.197529327890056</c:v>
                </c:pt>
                <c:pt idx="69">
                  <c:v>18.441222429812658</c:v>
                </c:pt>
                <c:pt idx="70">
                  <c:v>19.31937587885135</c:v>
                </c:pt>
                <c:pt idx="71">
                  <c:v>21.075682776928751</c:v>
                </c:pt>
                <c:pt idx="72">
                  <c:v>24.053768386712161</c:v>
                </c:pt>
                <c:pt idx="73">
                  <c:v>26.344603471160941</c:v>
                </c:pt>
                <c:pt idx="74">
                  <c:v>27.490021013385324</c:v>
                </c:pt>
                <c:pt idx="75">
                  <c:v>26.344603471160941</c:v>
                </c:pt>
                <c:pt idx="76">
                  <c:v>24.053768386712161</c:v>
                </c:pt>
                <c:pt idx="77">
                  <c:v>21.762933302263384</c:v>
                </c:pt>
                <c:pt idx="78">
                  <c:v>20.617515760038998</c:v>
                </c:pt>
                <c:pt idx="79">
                  <c:v>19.31937587885135</c:v>
                </c:pt>
                <c:pt idx="80">
                  <c:v>19.31937587885135</c:v>
                </c:pt>
                <c:pt idx="81">
                  <c:v>19.31937587885135</c:v>
                </c:pt>
                <c:pt idx="82">
                  <c:v>19.31937587885135</c:v>
                </c:pt>
                <c:pt idx="83">
                  <c:v>19.31937587885135</c:v>
                </c:pt>
                <c:pt idx="84">
                  <c:v>19.31937587885135</c:v>
                </c:pt>
                <c:pt idx="85">
                  <c:v>20.197529327890056</c:v>
                </c:pt>
                <c:pt idx="86">
                  <c:v>21.95383622596745</c:v>
                </c:pt>
                <c:pt idx="87">
                  <c:v>22.908350844487774</c:v>
                </c:pt>
                <c:pt idx="88">
                  <c:v>22.908350844487774</c:v>
                </c:pt>
                <c:pt idx="89">
                  <c:v>21.95383622596745</c:v>
                </c:pt>
                <c:pt idx="90">
                  <c:v>20.197529327890056</c:v>
                </c:pt>
                <c:pt idx="91">
                  <c:v>19.31937587885135</c:v>
                </c:pt>
                <c:pt idx="92">
                  <c:v>18.441222429812658</c:v>
                </c:pt>
                <c:pt idx="93">
                  <c:v>18.441222429812658</c:v>
                </c:pt>
                <c:pt idx="94">
                  <c:v>18.441222429812658</c:v>
                </c:pt>
                <c:pt idx="95">
                  <c:v>18.441222429812658</c:v>
                </c:pt>
                <c:pt idx="96">
                  <c:v>18.441222429812658</c:v>
                </c:pt>
                <c:pt idx="97">
                  <c:v>20.197529327890056</c:v>
                </c:pt>
                <c:pt idx="98">
                  <c:v>22.831989675006152</c:v>
                </c:pt>
                <c:pt idx="99">
                  <c:v>24.053768386712161</c:v>
                </c:pt>
                <c:pt idx="100">
                  <c:v>26.344603471160941</c:v>
                </c:pt>
                <c:pt idx="101">
                  <c:v>28.635438555609714</c:v>
                </c:pt>
                <c:pt idx="102">
                  <c:v>29.780856097834103</c:v>
                </c:pt>
                <c:pt idx="103">
                  <c:v>26.344603471160941</c:v>
                </c:pt>
                <c:pt idx="104">
                  <c:v>24.053768386712161</c:v>
                </c:pt>
                <c:pt idx="105">
                  <c:v>24.053768386712161</c:v>
                </c:pt>
                <c:pt idx="106">
                  <c:v>24.053768386712161</c:v>
                </c:pt>
                <c:pt idx="107">
                  <c:v>24.053768386712161</c:v>
                </c:pt>
                <c:pt idx="108">
                  <c:v>25.199185928936547</c:v>
                </c:pt>
                <c:pt idx="109">
                  <c:v>26.344603471160941</c:v>
                </c:pt>
                <c:pt idx="110">
                  <c:v>27.490021013385324</c:v>
                </c:pt>
                <c:pt idx="111">
                  <c:v>29.780856097834103</c:v>
                </c:pt>
                <c:pt idx="112">
                  <c:v>29.780856097834103</c:v>
                </c:pt>
                <c:pt idx="113">
                  <c:v>29.780856097834103</c:v>
                </c:pt>
                <c:pt idx="114">
                  <c:v>26.344603471160941</c:v>
                </c:pt>
                <c:pt idx="115">
                  <c:v>24.053768386712161</c:v>
                </c:pt>
                <c:pt idx="116">
                  <c:v>22.908350844487774</c:v>
                </c:pt>
                <c:pt idx="117">
                  <c:v>22.908350844487774</c:v>
                </c:pt>
                <c:pt idx="118">
                  <c:v>25.199185928936547</c:v>
                </c:pt>
                <c:pt idx="119">
                  <c:v>27.490021013385324</c:v>
                </c:pt>
                <c:pt idx="120">
                  <c:v>29.780856097834103</c:v>
                </c:pt>
                <c:pt idx="121">
                  <c:v>29.780856097834103</c:v>
                </c:pt>
                <c:pt idx="122">
                  <c:v>28.635438555609714</c:v>
                </c:pt>
                <c:pt idx="123">
                  <c:v>27.490021013385324</c:v>
                </c:pt>
                <c:pt idx="124">
                  <c:v>27.490021013385324</c:v>
                </c:pt>
                <c:pt idx="125">
                  <c:v>27.490021013385324</c:v>
                </c:pt>
                <c:pt idx="126">
                  <c:v>27.490021013385324</c:v>
                </c:pt>
                <c:pt idx="127">
                  <c:v>27.490021013385324</c:v>
                </c:pt>
                <c:pt idx="128">
                  <c:v>27.490021013385324</c:v>
                </c:pt>
                <c:pt idx="129">
                  <c:v>28.635438555609714</c:v>
                </c:pt>
                <c:pt idx="130">
                  <c:v>29.780856097834103</c:v>
                </c:pt>
                <c:pt idx="131">
                  <c:v>29.780856097834103</c:v>
                </c:pt>
                <c:pt idx="132">
                  <c:v>29.780856097834103</c:v>
                </c:pt>
                <c:pt idx="133">
                  <c:v>29.780856097834103</c:v>
                </c:pt>
                <c:pt idx="134">
                  <c:v>27.490021013385324</c:v>
                </c:pt>
                <c:pt idx="135">
                  <c:v>24.053768386712161</c:v>
                </c:pt>
                <c:pt idx="136">
                  <c:v>21.762933302263384</c:v>
                </c:pt>
                <c:pt idx="137">
                  <c:v>21.762933302263384</c:v>
                </c:pt>
                <c:pt idx="138">
                  <c:v>21.762933302263384</c:v>
                </c:pt>
                <c:pt idx="139">
                  <c:v>21.762933302263384</c:v>
                </c:pt>
                <c:pt idx="140">
                  <c:v>21.762933302263384</c:v>
                </c:pt>
                <c:pt idx="141">
                  <c:v>21.762933302263384</c:v>
                </c:pt>
                <c:pt idx="142">
                  <c:v>21.762933302263384</c:v>
                </c:pt>
                <c:pt idx="143">
                  <c:v>21.762933302263384</c:v>
                </c:pt>
                <c:pt idx="144">
                  <c:v>21.762933302263384</c:v>
                </c:pt>
                <c:pt idx="145">
                  <c:v>21.762933302263384</c:v>
                </c:pt>
                <c:pt idx="146">
                  <c:v>21.762933302263384</c:v>
                </c:pt>
                <c:pt idx="147">
                  <c:v>22.908350844487774</c:v>
                </c:pt>
                <c:pt idx="148">
                  <c:v>25.199185928936547</c:v>
                </c:pt>
                <c:pt idx="149">
                  <c:v>26.344603471160941</c:v>
                </c:pt>
                <c:pt idx="150">
                  <c:v>27.490021013385324</c:v>
                </c:pt>
                <c:pt idx="151">
                  <c:v>28.635438555609714</c:v>
                </c:pt>
                <c:pt idx="152">
                  <c:v>28.635438555609714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17-4160-9CCE-07F938B18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scatterChart>
        <c:scatterStyle val="smoothMarker"/>
        <c:varyColors val="0"/>
        <c:ser>
          <c:idx val="1"/>
          <c:order val="1"/>
          <c:tx>
            <c:v>Aero Resistance (N)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'!$R:$R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0.24685005894359213</c:v>
                </c:pt>
                <c:pt idx="4">
                  <c:v>0.68569460817664474</c:v>
                </c:pt>
                <c:pt idx="5">
                  <c:v>1.3439614320262234</c:v>
                </c:pt>
                <c:pt idx="6">
                  <c:v>2.742778432706579</c:v>
                </c:pt>
                <c:pt idx="7">
                  <c:v>4.635295551274119</c:v>
                </c:pt>
                <c:pt idx="8">
                  <c:v>7.9266296705220158</c:v>
                </c:pt>
                <c:pt idx="9">
                  <c:v>10.971113730826316</c:v>
                </c:pt>
                <c:pt idx="10">
                  <c:v>15.798403772389896</c:v>
                </c:pt>
                <c:pt idx="11">
                  <c:v>19.07918276794549</c:v>
                </c:pt>
                <c:pt idx="12">
                  <c:v>28.501001418782764</c:v>
                </c:pt>
                <c:pt idx="13">
                  <c:v>33.918547143014209</c:v>
                </c:pt>
                <c:pt idx="14">
                  <c:v>39.807183799787531</c:v>
                </c:pt>
                <c:pt idx="15">
                  <c:v>40.073897853277657</c:v>
                </c:pt>
                <c:pt idx="16">
                  <c:v>48.489416402465956</c:v>
                </c:pt>
                <c:pt idx="17">
                  <c:v>57.70641290871982</c:v>
                </c:pt>
                <c:pt idx="18">
                  <c:v>67.724887372039234</c:v>
                </c:pt>
                <c:pt idx="19">
                  <c:v>57.70641290871982</c:v>
                </c:pt>
                <c:pt idx="20">
                  <c:v>52.997729910959706</c:v>
                </c:pt>
                <c:pt idx="21">
                  <c:v>52.997729910959706</c:v>
                </c:pt>
                <c:pt idx="22">
                  <c:v>48.489416402465956</c:v>
                </c:pt>
                <c:pt idx="23">
                  <c:v>44.181472383238614</c:v>
                </c:pt>
                <c:pt idx="24">
                  <c:v>36.803979104833125</c:v>
                </c:pt>
                <c:pt idx="25">
                  <c:v>36.803979104833125</c:v>
                </c:pt>
                <c:pt idx="26">
                  <c:v>39.807183799787531</c:v>
                </c:pt>
                <c:pt idx="27">
                  <c:v>48.489416402465956</c:v>
                </c:pt>
                <c:pt idx="28">
                  <c:v>57.70641290871982</c:v>
                </c:pt>
                <c:pt idx="29">
                  <c:v>67.724887372039234</c:v>
                </c:pt>
                <c:pt idx="30">
                  <c:v>67.724887372039234</c:v>
                </c:pt>
                <c:pt idx="31">
                  <c:v>67.724887372039234</c:v>
                </c:pt>
                <c:pt idx="32">
                  <c:v>67.724887372039234</c:v>
                </c:pt>
                <c:pt idx="33">
                  <c:v>67.724887372039234</c:v>
                </c:pt>
                <c:pt idx="34">
                  <c:v>67.724887372039234</c:v>
                </c:pt>
                <c:pt idx="35">
                  <c:v>67.724887372039234</c:v>
                </c:pt>
                <c:pt idx="36">
                  <c:v>67.724887372039234</c:v>
                </c:pt>
                <c:pt idx="37">
                  <c:v>67.724887372039234</c:v>
                </c:pt>
                <c:pt idx="38">
                  <c:v>67.724887372039234</c:v>
                </c:pt>
                <c:pt idx="39">
                  <c:v>67.724887372039234</c:v>
                </c:pt>
                <c:pt idx="40">
                  <c:v>67.724887372039234</c:v>
                </c:pt>
                <c:pt idx="41">
                  <c:v>67.724887372039234</c:v>
                </c:pt>
                <c:pt idx="42">
                  <c:v>62.615465395746334</c:v>
                </c:pt>
                <c:pt idx="43">
                  <c:v>57.70641290871982</c:v>
                </c:pt>
                <c:pt idx="44">
                  <c:v>48.489416402465956</c:v>
                </c:pt>
                <c:pt idx="45">
                  <c:v>40.073897853277657</c:v>
                </c:pt>
                <c:pt idx="46">
                  <c:v>31.15088791433077</c:v>
                </c:pt>
                <c:pt idx="47">
                  <c:v>31.15088791433077</c:v>
                </c:pt>
                <c:pt idx="48">
                  <c:v>31.15088791433077</c:v>
                </c:pt>
                <c:pt idx="49">
                  <c:v>31.15088791433077</c:v>
                </c:pt>
                <c:pt idx="50">
                  <c:v>31.15088791433077</c:v>
                </c:pt>
                <c:pt idx="51">
                  <c:v>31.15088791433077</c:v>
                </c:pt>
                <c:pt idx="52">
                  <c:v>31.15088791433077</c:v>
                </c:pt>
                <c:pt idx="53">
                  <c:v>33.918547143014209</c:v>
                </c:pt>
                <c:pt idx="54">
                  <c:v>39.807183799787531</c:v>
                </c:pt>
                <c:pt idx="55">
                  <c:v>44.181472383238614</c:v>
                </c:pt>
                <c:pt idx="56">
                  <c:v>52.997729910959706</c:v>
                </c:pt>
                <c:pt idx="57">
                  <c:v>62.615465395746334</c:v>
                </c:pt>
                <c:pt idx="58">
                  <c:v>67.724887372039234</c:v>
                </c:pt>
                <c:pt idx="59">
                  <c:v>67.724887372039234</c:v>
                </c:pt>
                <c:pt idx="60">
                  <c:v>67.724887372039234</c:v>
                </c:pt>
                <c:pt idx="61">
                  <c:v>67.724887372039234</c:v>
                </c:pt>
                <c:pt idx="62">
                  <c:v>57.70641290871982</c:v>
                </c:pt>
                <c:pt idx="63">
                  <c:v>44.181472383238614</c:v>
                </c:pt>
                <c:pt idx="64">
                  <c:v>36.166692812583079</c:v>
                </c:pt>
                <c:pt idx="65">
                  <c:v>31.15088791433077</c:v>
                </c:pt>
                <c:pt idx="66">
                  <c:v>31.15088791433077</c:v>
                </c:pt>
                <c:pt idx="67">
                  <c:v>31.15088791433077</c:v>
                </c:pt>
                <c:pt idx="68">
                  <c:v>31.15088791433077</c:v>
                </c:pt>
                <c:pt idx="69">
                  <c:v>25.968887656370253</c:v>
                </c:pt>
                <c:pt idx="70">
                  <c:v>28.501001418782764</c:v>
                </c:pt>
                <c:pt idx="71">
                  <c:v>33.918547143014209</c:v>
                </c:pt>
                <c:pt idx="72">
                  <c:v>44.181472383238614</c:v>
                </c:pt>
                <c:pt idx="73">
                  <c:v>52.997729910959706</c:v>
                </c:pt>
                <c:pt idx="74">
                  <c:v>57.70641290871982</c:v>
                </c:pt>
                <c:pt idx="75">
                  <c:v>52.997729910959706</c:v>
                </c:pt>
                <c:pt idx="76">
                  <c:v>44.181472383238614</c:v>
                </c:pt>
                <c:pt idx="77">
                  <c:v>36.166692812583079</c:v>
                </c:pt>
                <c:pt idx="78">
                  <c:v>32.459857261154902</c:v>
                </c:pt>
                <c:pt idx="79">
                  <c:v>28.501001418782764</c:v>
                </c:pt>
                <c:pt idx="80">
                  <c:v>28.501001418782764</c:v>
                </c:pt>
                <c:pt idx="81">
                  <c:v>28.501001418782764</c:v>
                </c:pt>
                <c:pt idx="82">
                  <c:v>28.501001418782764</c:v>
                </c:pt>
                <c:pt idx="83">
                  <c:v>28.501001418782764</c:v>
                </c:pt>
                <c:pt idx="84">
                  <c:v>28.501001418782764</c:v>
                </c:pt>
                <c:pt idx="85">
                  <c:v>31.15088791433077</c:v>
                </c:pt>
                <c:pt idx="86">
                  <c:v>36.803979104833125</c:v>
                </c:pt>
                <c:pt idx="87">
                  <c:v>40.073897853277657</c:v>
                </c:pt>
                <c:pt idx="88">
                  <c:v>40.073897853277657</c:v>
                </c:pt>
                <c:pt idx="89">
                  <c:v>36.803979104833125</c:v>
                </c:pt>
                <c:pt idx="90">
                  <c:v>31.15088791433077</c:v>
                </c:pt>
                <c:pt idx="91">
                  <c:v>28.501001418782764</c:v>
                </c:pt>
                <c:pt idx="92">
                  <c:v>25.968887656370253</c:v>
                </c:pt>
                <c:pt idx="93">
                  <c:v>25.968887656370253</c:v>
                </c:pt>
                <c:pt idx="94">
                  <c:v>25.968887656370253</c:v>
                </c:pt>
                <c:pt idx="95">
                  <c:v>25.968887656370253</c:v>
                </c:pt>
                <c:pt idx="96">
                  <c:v>25.968887656370253</c:v>
                </c:pt>
                <c:pt idx="97">
                  <c:v>31.15088791433077</c:v>
                </c:pt>
                <c:pt idx="98">
                  <c:v>39.807183799787531</c:v>
                </c:pt>
                <c:pt idx="99">
                  <c:v>44.181472383238614</c:v>
                </c:pt>
                <c:pt idx="100">
                  <c:v>52.997729910959706</c:v>
                </c:pt>
                <c:pt idx="101">
                  <c:v>62.615465395746334</c:v>
                </c:pt>
                <c:pt idx="102">
                  <c:v>67.724887372039234</c:v>
                </c:pt>
                <c:pt idx="103">
                  <c:v>52.997729910959706</c:v>
                </c:pt>
                <c:pt idx="104">
                  <c:v>44.181472383238614</c:v>
                </c:pt>
                <c:pt idx="105">
                  <c:v>44.181472383238614</c:v>
                </c:pt>
                <c:pt idx="106">
                  <c:v>44.181472383238614</c:v>
                </c:pt>
                <c:pt idx="107">
                  <c:v>44.181472383238614</c:v>
                </c:pt>
                <c:pt idx="108">
                  <c:v>48.489416402465956</c:v>
                </c:pt>
                <c:pt idx="109">
                  <c:v>52.997729910959706</c:v>
                </c:pt>
                <c:pt idx="110">
                  <c:v>57.70641290871982</c:v>
                </c:pt>
                <c:pt idx="111">
                  <c:v>67.724887372039234</c:v>
                </c:pt>
                <c:pt idx="112">
                  <c:v>67.724887372039234</c:v>
                </c:pt>
                <c:pt idx="113">
                  <c:v>67.724887372039234</c:v>
                </c:pt>
                <c:pt idx="114">
                  <c:v>52.997729910959706</c:v>
                </c:pt>
                <c:pt idx="115">
                  <c:v>44.181472383238614</c:v>
                </c:pt>
                <c:pt idx="116">
                  <c:v>40.073897853277657</c:v>
                </c:pt>
                <c:pt idx="117">
                  <c:v>40.073897853277657</c:v>
                </c:pt>
                <c:pt idx="118">
                  <c:v>48.489416402465956</c:v>
                </c:pt>
                <c:pt idx="119">
                  <c:v>57.70641290871982</c:v>
                </c:pt>
                <c:pt idx="120">
                  <c:v>67.724887372039234</c:v>
                </c:pt>
                <c:pt idx="121">
                  <c:v>67.724887372039234</c:v>
                </c:pt>
                <c:pt idx="122">
                  <c:v>62.615465395746334</c:v>
                </c:pt>
                <c:pt idx="123">
                  <c:v>57.70641290871982</c:v>
                </c:pt>
                <c:pt idx="124">
                  <c:v>57.70641290871982</c:v>
                </c:pt>
                <c:pt idx="125">
                  <c:v>57.70641290871982</c:v>
                </c:pt>
                <c:pt idx="126">
                  <c:v>57.70641290871982</c:v>
                </c:pt>
                <c:pt idx="127">
                  <c:v>57.70641290871982</c:v>
                </c:pt>
                <c:pt idx="128">
                  <c:v>57.70641290871982</c:v>
                </c:pt>
                <c:pt idx="129">
                  <c:v>62.615465395746334</c:v>
                </c:pt>
                <c:pt idx="130">
                  <c:v>67.724887372039234</c:v>
                </c:pt>
                <c:pt idx="131">
                  <c:v>67.724887372039234</c:v>
                </c:pt>
                <c:pt idx="132">
                  <c:v>67.724887372039234</c:v>
                </c:pt>
                <c:pt idx="133">
                  <c:v>67.724887372039234</c:v>
                </c:pt>
                <c:pt idx="134">
                  <c:v>57.70641290871982</c:v>
                </c:pt>
                <c:pt idx="135">
                  <c:v>44.181472383238614</c:v>
                </c:pt>
                <c:pt idx="136">
                  <c:v>36.166692812583079</c:v>
                </c:pt>
                <c:pt idx="137">
                  <c:v>36.166692812583079</c:v>
                </c:pt>
                <c:pt idx="138">
                  <c:v>36.166692812583079</c:v>
                </c:pt>
                <c:pt idx="139">
                  <c:v>36.166692812583079</c:v>
                </c:pt>
                <c:pt idx="140">
                  <c:v>36.166692812583079</c:v>
                </c:pt>
                <c:pt idx="141">
                  <c:v>36.166692812583079</c:v>
                </c:pt>
                <c:pt idx="142">
                  <c:v>36.166692812583079</c:v>
                </c:pt>
                <c:pt idx="143">
                  <c:v>36.166692812583079</c:v>
                </c:pt>
                <c:pt idx="144">
                  <c:v>36.166692812583079</c:v>
                </c:pt>
                <c:pt idx="145">
                  <c:v>36.166692812583079</c:v>
                </c:pt>
                <c:pt idx="146">
                  <c:v>36.166692812583079</c:v>
                </c:pt>
                <c:pt idx="147">
                  <c:v>40.073897853277657</c:v>
                </c:pt>
                <c:pt idx="148">
                  <c:v>48.489416402465956</c:v>
                </c:pt>
                <c:pt idx="149">
                  <c:v>52.997729910959706</c:v>
                </c:pt>
                <c:pt idx="150">
                  <c:v>57.70641290871982</c:v>
                </c:pt>
                <c:pt idx="151">
                  <c:v>62.615465395746334</c:v>
                </c:pt>
                <c:pt idx="152">
                  <c:v>62.615465395746334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17-4160-9CCE-07F938B18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766952"/>
        <c:axId val="739509656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Work Done (J)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valAx>
        <c:axId val="739509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Consumption</a:t>
                </a:r>
                <a:r>
                  <a:rPr lang="en-GB" baseline="0"/>
                  <a:t> (g/s)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766952"/>
        <c:crosses val="max"/>
        <c:crossBetween val="midCat"/>
      </c:valAx>
      <c:valAx>
        <c:axId val="823766952"/>
        <c:scaling>
          <c:orientation val="minMax"/>
        </c:scaling>
        <c:delete val="1"/>
        <c:axPos val="b"/>
        <c:majorTickMark val="out"/>
        <c:minorTickMark val="none"/>
        <c:tickLblPos val="nextTo"/>
        <c:crossAx val="73950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Required Power (KW) &amp; Total Resistive Forces (N) Against Time (s)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(KW)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'!$W:$W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0.22994176444466369</c:v>
                </c:pt>
                <c:pt idx="4">
                  <c:v>0.29894720101115307</c:v>
                </c:pt>
                <c:pt idx="5">
                  <c:v>0.49615812183957375</c:v>
                </c:pt>
                <c:pt idx="6">
                  <c:v>0.79437084747856734</c:v>
                </c:pt>
                <c:pt idx="7">
                  <c:v>2.0481562992526969</c:v>
                </c:pt>
                <c:pt idx="8">
                  <c:v>3.1543961615498786</c:v>
                </c:pt>
                <c:pt idx="9">
                  <c:v>3.9124271767576677</c:v>
                </c:pt>
                <c:pt idx="10">
                  <c:v>4.725951563908998</c:v>
                </c:pt>
                <c:pt idx="11">
                  <c:v>5.7855178758214407</c:v>
                </c:pt>
                <c:pt idx="12">
                  <c:v>6.8600172284081369</c:v>
                </c:pt>
                <c:pt idx="13">
                  <c:v>6.4711520204310053</c:v>
                </c:pt>
                <c:pt idx="14">
                  <c:v>4.8875307017404062</c:v>
                </c:pt>
                <c:pt idx="15">
                  <c:v>6.1633305992816947</c:v>
                </c:pt>
                <c:pt idx="16">
                  <c:v>5.1629467641901057</c:v>
                </c:pt>
                <c:pt idx="17">
                  <c:v>4.1849641907056352</c:v>
                </c:pt>
                <c:pt idx="18">
                  <c:v>3.8713544355985281</c:v>
                </c:pt>
                <c:pt idx="19">
                  <c:v>5.4568270341179268</c:v>
                </c:pt>
                <c:pt idx="20">
                  <c:v>4.6707984542337684</c:v>
                </c:pt>
                <c:pt idx="21">
                  <c:v>4.6707984542337906</c:v>
                </c:pt>
                <c:pt idx="22">
                  <c:v>4.5275113465000256</c:v>
                </c:pt>
                <c:pt idx="23">
                  <c:v>3.7550301295587389</c:v>
                </c:pt>
                <c:pt idx="24">
                  <c:v>2.8850819598447321</c:v>
                </c:pt>
                <c:pt idx="25">
                  <c:v>1.5692713332945214</c:v>
                </c:pt>
                <c:pt idx="26">
                  <c:v>4.6327501271552975</c:v>
                </c:pt>
                <c:pt idx="27">
                  <c:v>5.6192925807321199</c:v>
                </c:pt>
                <c:pt idx="28">
                  <c:v>4.0740042139622741</c:v>
                </c:pt>
                <c:pt idx="29">
                  <c:v>2.488959162031577</c:v>
                </c:pt>
                <c:pt idx="30">
                  <c:v>1.3237887029343549</c:v>
                </c:pt>
                <c:pt idx="31">
                  <c:v>2.5975715692664409</c:v>
                </c:pt>
                <c:pt idx="32">
                  <c:v>2.5975715692664409</c:v>
                </c:pt>
                <c:pt idx="33">
                  <c:v>1.3237887029343549</c:v>
                </c:pt>
                <c:pt idx="34">
                  <c:v>1.2203326679444721</c:v>
                </c:pt>
                <c:pt idx="35">
                  <c:v>5.0151242512568972</c:v>
                </c:pt>
                <c:pt idx="36">
                  <c:v>3.7541673685819474</c:v>
                </c:pt>
                <c:pt idx="37">
                  <c:v>3.7541673685819474</c:v>
                </c:pt>
                <c:pt idx="38">
                  <c:v>3.7541673685819474</c:v>
                </c:pt>
                <c:pt idx="39">
                  <c:v>3.7541673685819474</c:v>
                </c:pt>
                <c:pt idx="40">
                  <c:v>2.0582073885281673</c:v>
                </c:pt>
                <c:pt idx="41">
                  <c:v>2.0582073885281673</c:v>
                </c:pt>
                <c:pt idx="42">
                  <c:v>0.88060115353449164</c:v>
                </c:pt>
                <c:pt idx="43">
                  <c:v>0.65796139144700905</c:v>
                </c:pt>
                <c:pt idx="44">
                  <c:v>3.4163059768238533</c:v>
                </c:pt>
                <c:pt idx="45">
                  <c:v>3.0195522629924616</c:v>
                </c:pt>
                <c:pt idx="46">
                  <c:v>2.5816740926487993</c:v>
                </c:pt>
                <c:pt idx="47">
                  <c:v>2.5816740926487993</c:v>
                </c:pt>
                <c:pt idx="48">
                  <c:v>2.5816740926487993</c:v>
                </c:pt>
                <c:pt idx="49">
                  <c:v>2.5816740926487993</c:v>
                </c:pt>
                <c:pt idx="50">
                  <c:v>2.5816740926487993</c:v>
                </c:pt>
                <c:pt idx="51">
                  <c:v>1.308059920748442</c:v>
                </c:pt>
                <c:pt idx="52">
                  <c:v>3.6317562642436907E-2</c:v>
                </c:pt>
                <c:pt idx="53">
                  <c:v>2.357438531120732</c:v>
                </c:pt>
                <c:pt idx="54">
                  <c:v>3.3325141424473985</c:v>
                </c:pt>
                <c:pt idx="55">
                  <c:v>3.1275675824451175</c:v>
                </c:pt>
                <c:pt idx="56">
                  <c:v>1.4593038379596965</c:v>
                </c:pt>
                <c:pt idx="57">
                  <c:v>0.88060115353449164</c:v>
                </c:pt>
                <c:pt idx="58">
                  <c:v>3.019748682988125</c:v>
                </c:pt>
                <c:pt idx="59">
                  <c:v>3.6565862183094699</c:v>
                </c:pt>
                <c:pt idx="60">
                  <c:v>4.2935315493202202</c:v>
                </c:pt>
                <c:pt idx="61">
                  <c:v>4.2935315493202202</c:v>
                </c:pt>
                <c:pt idx="62">
                  <c:v>3.8401449728072876</c:v>
                </c:pt>
                <c:pt idx="63">
                  <c:v>4.488403646716371</c:v>
                </c:pt>
                <c:pt idx="64">
                  <c:v>5.376265262878654</c:v>
                </c:pt>
                <c:pt idx="65">
                  <c:v>5.1270306226551812</c:v>
                </c:pt>
                <c:pt idx="66">
                  <c:v>5.761618310785531</c:v>
                </c:pt>
                <c:pt idx="67">
                  <c:v>6.3950430767008841</c:v>
                </c:pt>
                <c:pt idx="68">
                  <c:v>7.0270770171978425</c:v>
                </c:pt>
                <c:pt idx="69">
                  <c:v>7.3863420036134713</c:v>
                </c:pt>
                <c:pt idx="70">
                  <c:v>9.2485343922799323</c:v>
                </c:pt>
                <c:pt idx="71">
                  <c:v>5.8301357372484652</c:v>
                </c:pt>
                <c:pt idx="72">
                  <c:v>2.0384190656116719</c:v>
                </c:pt>
                <c:pt idx="73">
                  <c:v>4.0968452087876348E-2</c:v>
                </c:pt>
                <c:pt idx="74">
                  <c:v>5.4056464928569303</c:v>
                </c:pt>
                <c:pt idx="75">
                  <c:v>7.6713430343289275</c:v>
                </c:pt>
                <c:pt idx="76">
                  <c:v>9.6661725856842668</c:v>
                </c:pt>
                <c:pt idx="77">
                  <c:v>10.406165886264233</c:v>
                </c:pt>
                <c:pt idx="78">
                  <c:v>11.401132572112015</c:v>
                </c:pt>
                <c:pt idx="79">
                  <c:v>11.117567014371794</c:v>
                </c:pt>
                <c:pt idx="80">
                  <c:v>11.117567014371808</c:v>
                </c:pt>
                <c:pt idx="81">
                  <c:v>11.117567014371794</c:v>
                </c:pt>
                <c:pt idx="82">
                  <c:v>11.117567014371808</c:v>
                </c:pt>
                <c:pt idx="83">
                  <c:v>11.117567014371794</c:v>
                </c:pt>
                <c:pt idx="84">
                  <c:v>11.117567014371794</c:v>
                </c:pt>
                <c:pt idx="85">
                  <c:v>8.8077035051709398</c:v>
                </c:pt>
                <c:pt idx="86">
                  <c:v>7.9265309069940999</c:v>
                </c:pt>
                <c:pt idx="87">
                  <c:v>8.1393738259347526</c:v>
                </c:pt>
                <c:pt idx="88">
                  <c:v>8.139373825934765</c:v>
                </c:pt>
                <c:pt idx="89">
                  <c:v>7.9265309069940884</c:v>
                </c:pt>
                <c:pt idx="90">
                  <c:v>7.5452518324040341</c:v>
                </c:pt>
                <c:pt idx="91">
                  <c:v>7.3593316950072127</c:v>
                </c:pt>
                <c:pt idx="92">
                  <c:v>7.17634956059978</c:v>
                </c:pt>
                <c:pt idx="93">
                  <c:v>5.2742781233288962</c:v>
                </c:pt>
                <c:pt idx="94">
                  <c:v>5.2742781233288962</c:v>
                </c:pt>
                <c:pt idx="95">
                  <c:v>4.6382041444730788</c:v>
                </c:pt>
                <c:pt idx="96">
                  <c:v>3.3646522889952761</c:v>
                </c:pt>
                <c:pt idx="97">
                  <c:v>1.4314653369456585</c:v>
                </c:pt>
                <c:pt idx="98">
                  <c:v>1.706528881224582</c:v>
                </c:pt>
                <c:pt idx="99">
                  <c:v>1.8448835232443057</c:v>
                </c:pt>
                <c:pt idx="100">
                  <c:v>2.1244136308504</c:v>
                </c:pt>
                <c:pt idx="101">
                  <c:v>2.4322601697972641</c:v>
                </c:pt>
                <c:pt idx="102">
                  <c:v>2.5975715692664409</c:v>
                </c:pt>
                <c:pt idx="103">
                  <c:v>2.1244136308504</c:v>
                </c:pt>
                <c:pt idx="104">
                  <c:v>1.8448835232443057</c:v>
                </c:pt>
                <c:pt idx="105">
                  <c:v>1.8448835232443057</c:v>
                </c:pt>
                <c:pt idx="106">
                  <c:v>1.8448835232443057</c:v>
                </c:pt>
                <c:pt idx="107">
                  <c:v>1.8448835232443057</c:v>
                </c:pt>
                <c:pt idx="108">
                  <c:v>1.9812629167783471</c:v>
                </c:pt>
                <c:pt idx="109">
                  <c:v>2.1244136308504</c:v>
                </c:pt>
                <c:pt idx="110">
                  <c:v>2.274643452757644</c:v>
                </c:pt>
                <c:pt idx="111">
                  <c:v>2.5975715692664409</c:v>
                </c:pt>
                <c:pt idx="112">
                  <c:v>2.5975715692664409</c:v>
                </c:pt>
                <c:pt idx="113">
                  <c:v>2.5975715692664409</c:v>
                </c:pt>
                <c:pt idx="114">
                  <c:v>2.1244136308504</c:v>
                </c:pt>
                <c:pt idx="115">
                  <c:v>1.8448835232443057</c:v>
                </c:pt>
                <c:pt idx="116">
                  <c:v>1.7149676629510926</c:v>
                </c:pt>
                <c:pt idx="117">
                  <c:v>1.7149676629510926</c:v>
                </c:pt>
                <c:pt idx="118">
                  <c:v>1.9812629167783471</c:v>
                </c:pt>
                <c:pt idx="119">
                  <c:v>2.274643452757644</c:v>
                </c:pt>
                <c:pt idx="120">
                  <c:v>1.1109588944633195</c:v>
                </c:pt>
                <c:pt idx="121">
                  <c:v>2.0582073885281948</c:v>
                </c:pt>
                <c:pt idx="122">
                  <c:v>4.1751583981171985</c:v>
                </c:pt>
                <c:pt idx="123">
                  <c:v>3.7672305457365991</c:v>
                </c:pt>
                <c:pt idx="124">
                  <c:v>3.7672305457365991</c:v>
                </c:pt>
                <c:pt idx="125">
                  <c:v>3.7672305457366102</c:v>
                </c:pt>
                <c:pt idx="126">
                  <c:v>2.5085026939126012</c:v>
                </c:pt>
                <c:pt idx="127">
                  <c:v>2.5085026939126012</c:v>
                </c:pt>
                <c:pt idx="128">
                  <c:v>2.5085026939126012</c:v>
                </c:pt>
                <c:pt idx="129">
                  <c:v>0.24540240851142661</c:v>
                </c:pt>
                <c:pt idx="130">
                  <c:v>4.2935315493202202</c:v>
                </c:pt>
                <c:pt idx="131">
                  <c:v>6.2039364507867649</c:v>
                </c:pt>
                <c:pt idx="132">
                  <c:v>8.7461237764120092</c:v>
                </c:pt>
                <c:pt idx="133">
                  <c:v>9.3800622806182599</c:v>
                </c:pt>
                <c:pt idx="134">
                  <c:v>8.9250877500918921</c:v>
                </c:pt>
                <c:pt idx="135">
                  <c:v>8.2963587556408349</c:v>
                </c:pt>
                <c:pt idx="136">
                  <c:v>9.1484829154900442</c:v>
                </c:pt>
                <c:pt idx="137">
                  <c:v>9.1484829154900549</c:v>
                </c:pt>
                <c:pt idx="138">
                  <c:v>9.1484829154900549</c:v>
                </c:pt>
                <c:pt idx="139">
                  <c:v>9.1484829154900549</c:v>
                </c:pt>
                <c:pt idx="140">
                  <c:v>7.8844504171761916</c:v>
                </c:pt>
                <c:pt idx="141">
                  <c:v>5.9799002935462662</c:v>
                </c:pt>
                <c:pt idx="142">
                  <c:v>4.0699182886801264</c:v>
                </c:pt>
                <c:pt idx="143">
                  <c:v>2.1599362838139875</c:v>
                </c:pt>
                <c:pt idx="144">
                  <c:v>0.37732757882256263</c:v>
                </c:pt>
                <c:pt idx="145">
                  <c:v>2.2663293089039063</c:v>
                </c:pt>
                <c:pt idx="146">
                  <c:v>2.2663293089039063</c:v>
                </c:pt>
                <c:pt idx="147">
                  <c:v>4.3241368630338313</c:v>
                </c:pt>
                <c:pt idx="148">
                  <c:v>4.8513490368693599</c:v>
                </c:pt>
                <c:pt idx="149">
                  <c:v>5.1249582109455503</c:v>
                </c:pt>
                <c:pt idx="150">
                  <c:v>5.4056464928569303</c:v>
                </c:pt>
                <c:pt idx="151">
                  <c:v>5.6937216699006878</c:v>
                </c:pt>
                <c:pt idx="152">
                  <c:v>5.6937216699006878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CA-44FF-B737-293F2CC892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9226936"/>
        <c:axId val="739231200"/>
      </c:scatterChart>
      <c:scatterChart>
        <c:scatterStyle val="smoothMarker"/>
        <c:varyColors val="0"/>
        <c:ser>
          <c:idx val="1"/>
          <c:order val="1"/>
          <c:tx>
            <c:v>Total Resistive Forces (N)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'Duty Cycle '!$B:$B</c:f>
              <c:strCache>
                <c:ptCount val="153"/>
                <c:pt idx="1">
                  <c:v>Time (s)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</c:strCache>
            </c:strRef>
          </c:xVal>
          <c:yVal>
            <c:numRef>
              <c:f>'Duty Cycle '!$T:$T</c:f>
              <c:numCache>
                <c:formatCode>General</c:formatCode>
                <c:ptCount val="1048576"/>
                <c:pt idx="1">
                  <c:v>0</c:v>
                </c:pt>
                <c:pt idx="2">
                  <c:v>0</c:v>
                </c:pt>
                <c:pt idx="3">
                  <c:v>286.09099864009244</c:v>
                </c:pt>
                <c:pt idx="4">
                  <c:v>223.16807949481506</c:v>
                </c:pt>
                <c:pt idx="5">
                  <c:v>264.56333331048927</c:v>
                </c:pt>
                <c:pt idx="6">
                  <c:v>296.50422522578936</c:v>
                </c:pt>
                <c:pt idx="7">
                  <c:v>588.06770799891603</c:v>
                </c:pt>
                <c:pt idx="8">
                  <c:v>692.58790511367943</c:v>
                </c:pt>
                <c:pt idx="9">
                  <c:v>730.16978938678494</c:v>
                </c:pt>
                <c:pt idx="10">
                  <c:v>734.99707942834812</c:v>
                </c:pt>
                <c:pt idx="11">
                  <c:v>818.77638320249093</c:v>
                </c:pt>
                <c:pt idx="12">
                  <c:v>794.32475646109765</c:v>
                </c:pt>
                <c:pt idx="13">
                  <c:v>686.85637485257621</c:v>
                </c:pt>
                <c:pt idx="14">
                  <c:v>478.86348651260698</c:v>
                </c:pt>
                <c:pt idx="15">
                  <c:v>601.8491092697177</c:v>
                </c:pt>
                <c:pt idx="16">
                  <c:v>458.32877078107572</c:v>
                </c:pt>
                <c:pt idx="17">
                  <c:v>340.55139099566765</c:v>
                </c:pt>
                <c:pt idx="18">
                  <c:v>290.79821761953133</c:v>
                </c:pt>
                <c:pt idx="19">
                  <c:v>444.04920859747835</c:v>
                </c:pt>
                <c:pt idx="20">
                  <c:v>396.61163067262885</c:v>
                </c:pt>
                <c:pt idx="21">
                  <c:v>396.61163067263078</c:v>
                </c:pt>
                <c:pt idx="22">
                  <c:v>401.91944734573343</c:v>
                </c:pt>
                <c:pt idx="23">
                  <c:v>349.21773024401648</c:v>
                </c:pt>
                <c:pt idx="24">
                  <c:v>293.97724742698165</c:v>
                </c:pt>
                <c:pt idx="25">
                  <c:v>-159.90189306539511</c:v>
                </c:pt>
                <c:pt idx="26">
                  <c:v>-453.90096009859059</c:v>
                </c:pt>
                <c:pt idx="27">
                  <c:v>-498.83982516526657</c:v>
                </c:pt>
                <c:pt idx="28">
                  <c:v>-331.52202474476383</c:v>
                </c:pt>
                <c:pt idx="29">
                  <c:v>-186.95908630610427</c:v>
                </c:pt>
                <c:pt idx="30">
                  <c:v>99.436877124547209</c:v>
                </c:pt>
                <c:pt idx="31">
                  <c:v>195.11754737203921</c:v>
                </c:pt>
                <c:pt idx="32">
                  <c:v>195.11754737203921</c:v>
                </c:pt>
                <c:pt idx="33">
                  <c:v>99.436877124547209</c:v>
                </c:pt>
                <c:pt idx="34">
                  <c:v>-91.665738863374145</c:v>
                </c:pt>
                <c:pt idx="35">
                  <c:v>-376.71290956869439</c:v>
                </c:pt>
                <c:pt idx="36">
                  <c:v>-281.99566781858198</c:v>
                </c:pt>
                <c:pt idx="37">
                  <c:v>-281.99566781858198</c:v>
                </c:pt>
                <c:pt idx="38">
                  <c:v>-281.99566781858198</c:v>
                </c:pt>
                <c:pt idx="39">
                  <c:v>-281.99566781858198</c:v>
                </c:pt>
                <c:pt idx="40">
                  <c:v>-154.603007818582</c:v>
                </c:pt>
                <c:pt idx="41">
                  <c:v>-154.603007818582</c:v>
                </c:pt>
                <c:pt idx="42">
                  <c:v>68.792547969227854</c:v>
                </c:pt>
                <c:pt idx="43">
                  <c:v>53.541597219961659</c:v>
                </c:pt>
                <c:pt idx="44">
                  <c:v>303.27473640246592</c:v>
                </c:pt>
                <c:pt idx="45">
                  <c:v>294.85921785327764</c:v>
                </c:pt>
                <c:pt idx="46">
                  <c:v>285.93620791433074</c:v>
                </c:pt>
                <c:pt idx="47">
                  <c:v>285.93620791433074</c:v>
                </c:pt>
                <c:pt idx="48">
                  <c:v>285.93620791433074</c:v>
                </c:pt>
                <c:pt idx="49">
                  <c:v>285.93620791433074</c:v>
                </c:pt>
                <c:pt idx="50">
                  <c:v>285.93620791433074</c:v>
                </c:pt>
                <c:pt idx="51">
                  <c:v>144.87564271901687</c:v>
                </c:pt>
                <c:pt idx="52">
                  <c:v>4.022392358601337</c:v>
                </c:pt>
                <c:pt idx="53">
                  <c:v>-250.22154916328503</c:v>
                </c:pt>
                <c:pt idx="54">
                  <c:v>-326.50830009859061</c:v>
                </c:pt>
                <c:pt idx="55">
                  <c:v>-290.86372536099907</c:v>
                </c:pt>
                <c:pt idx="56">
                  <c:v>-123.91390476191458</c:v>
                </c:pt>
                <c:pt idx="57">
                  <c:v>68.792547969227854</c:v>
                </c:pt>
                <c:pt idx="58">
                  <c:v>226.82953712454645</c:v>
                </c:pt>
                <c:pt idx="59">
                  <c:v>274.66582369179048</c:v>
                </c:pt>
                <c:pt idx="60">
                  <c:v>322.51020737203919</c:v>
                </c:pt>
                <c:pt idx="61">
                  <c:v>322.51020737203919</c:v>
                </c:pt>
                <c:pt idx="62">
                  <c:v>312.49173290871983</c:v>
                </c:pt>
                <c:pt idx="63">
                  <c:v>417.42145331586187</c:v>
                </c:pt>
                <c:pt idx="64">
                  <c:v>552.62336312948912</c:v>
                </c:pt>
                <c:pt idx="65">
                  <c:v>567.8500234700623</c:v>
                </c:pt>
                <c:pt idx="66">
                  <c:v>638.13449417447441</c:v>
                </c:pt>
                <c:pt idx="67">
                  <c:v>708.29016412545195</c:v>
                </c:pt>
                <c:pt idx="68">
                  <c:v>778.29179164824745</c:v>
                </c:pt>
                <c:pt idx="69">
                  <c:v>895.99521533731615</c:v>
                </c:pt>
                <c:pt idx="70">
                  <c:v>1070.8923293002513</c:v>
                </c:pt>
                <c:pt idx="71">
                  <c:v>618.81808443718478</c:v>
                </c:pt>
                <c:pt idx="72">
                  <c:v>189.57293412255208</c:v>
                </c:pt>
                <c:pt idx="73">
                  <c:v>3.4787552380852276</c:v>
                </c:pt>
                <c:pt idx="74">
                  <c:v>439.8843929087198</c:v>
                </c:pt>
                <c:pt idx="75">
                  <c:v>651.3969506726296</c:v>
                </c:pt>
                <c:pt idx="76">
                  <c:v>898.95386562884096</c:v>
                </c:pt>
                <c:pt idx="77">
                  <c:v>1069.6440945831541</c:v>
                </c:pt>
                <c:pt idx="78">
                  <c:v>1237.0226297218235</c:v>
                </c:pt>
                <c:pt idx="79">
                  <c:v>1287.3085324860076</c:v>
                </c:pt>
                <c:pt idx="80">
                  <c:v>1287.308532486009</c:v>
                </c:pt>
                <c:pt idx="81">
                  <c:v>1287.3085324860076</c:v>
                </c:pt>
                <c:pt idx="82">
                  <c:v>1287.308532486009</c:v>
                </c:pt>
                <c:pt idx="83">
                  <c:v>1287.3085324860076</c:v>
                </c:pt>
                <c:pt idx="84">
                  <c:v>1287.3085324860076</c:v>
                </c:pt>
                <c:pt idx="85">
                  <c:v>975.50707421726304</c:v>
                </c:pt>
                <c:pt idx="86">
                  <c:v>807.67887017269629</c:v>
                </c:pt>
                <c:pt idx="87">
                  <c:v>794.80969067649903</c:v>
                </c:pt>
                <c:pt idx="88">
                  <c:v>794.80969067650017</c:v>
                </c:pt>
                <c:pt idx="89">
                  <c:v>807.67887017269516</c:v>
                </c:pt>
                <c:pt idx="90">
                  <c:v>835.68282412545295</c:v>
                </c:pt>
                <c:pt idx="91">
                  <c:v>852.14062322545101</c:v>
                </c:pt>
                <c:pt idx="92">
                  <c:v>870.52222422680222</c:v>
                </c:pt>
                <c:pt idx="93">
                  <c:v>639.79273645183196</c:v>
                </c:pt>
                <c:pt idx="94">
                  <c:v>639.79273645183196</c:v>
                </c:pt>
                <c:pt idx="95">
                  <c:v>562.63421314265247</c:v>
                </c:pt>
                <c:pt idx="96">
                  <c:v>408.14686765637026</c:v>
                </c:pt>
                <c:pt idx="97">
                  <c:v>158.54354791433076</c:v>
                </c:pt>
                <c:pt idx="98">
                  <c:v>167.19984379978752</c:v>
                </c:pt>
                <c:pt idx="99">
                  <c:v>171.57413238323861</c:v>
                </c:pt>
                <c:pt idx="100">
                  <c:v>180.3903899109597</c:v>
                </c:pt>
                <c:pt idx="101">
                  <c:v>190.00812539574633</c:v>
                </c:pt>
                <c:pt idx="102">
                  <c:v>195.11754737203921</c:v>
                </c:pt>
                <c:pt idx="103">
                  <c:v>180.3903899109597</c:v>
                </c:pt>
                <c:pt idx="104">
                  <c:v>171.57413238323861</c:v>
                </c:pt>
                <c:pt idx="105">
                  <c:v>171.57413238323861</c:v>
                </c:pt>
                <c:pt idx="106">
                  <c:v>171.57413238323861</c:v>
                </c:pt>
                <c:pt idx="107">
                  <c:v>171.57413238323861</c:v>
                </c:pt>
                <c:pt idx="108">
                  <c:v>175.88207640246594</c:v>
                </c:pt>
                <c:pt idx="109">
                  <c:v>180.3903899109597</c:v>
                </c:pt>
                <c:pt idx="110">
                  <c:v>185.09907290871982</c:v>
                </c:pt>
                <c:pt idx="111">
                  <c:v>195.11754737203921</c:v>
                </c:pt>
                <c:pt idx="112">
                  <c:v>195.11754737203921</c:v>
                </c:pt>
                <c:pt idx="113">
                  <c:v>195.11754737203921</c:v>
                </c:pt>
                <c:pt idx="114">
                  <c:v>180.3903899109597</c:v>
                </c:pt>
                <c:pt idx="115">
                  <c:v>171.57413238323861</c:v>
                </c:pt>
                <c:pt idx="116">
                  <c:v>167.46655785327766</c:v>
                </c:pt>
                <c:pt idx="117">
                  <c:v>167.46655785327766</c:v>
                </c:pt>
                <c:pt idx="118">
                  <c:v>175.88207640246594</c:v>
                </c:pt>
                <c:pt idx="119">
                  <c:v>185.09907290871982</c:v>
                </c:pt>
                <c:pt idx="120">
                  <c:v>83.450087490775331</c:v>
                </c:pt>
                <c:pt idx="121">
                  <c:v>-154.60300781858405</c:v>
                </c:pt>
                <c:pt idx="122">
                  <c:v>-326.16330699634045</c:v>
                </c:pt>
                <c:pt idx="123">
                  <c:v>-306.55832262584994</c:v>
                </c:pt>
                <c:pt idx="124">
                  <c:v>-306.55832262584994</c:v>
                </c:pt>
                <c:pt idx="125">
                  <c:v>-306.55832262585085</c:v>
                </c:pt>
                <c:pt idx="126">
                  <c:v>-204.1293647447614</c:v>
                </c:pt>
                <c:pt idx="127">
                  <c:v>-204.1293647447614</c:v>
                </c:pt>
                <c:pt idx="128">
                  <c:v>-204.1293647447614</c:v>
                </c:pt>
                <c:pt idx="129">
                  <c:v>19.170832211072195</c:v>
                </c:pt>
                <c:pt idx="130">
                  <c:v>322.51020737203919</c:v>
                </c:pt>
                <c:pt idx="131">
                  <c:v>466.01097681068097</c:v>
                </c:pt>
                <c:pt idx="132">
                  <c:v>656.96831627538711</c:v>
                </c:pt>
                <c:pt idx="133">
                  <c:v>704.58684105018438</c:v>
                </c:pt>
                <c:pt idx="134">
                  <c:v>726.27886632877016</c:v>
                </c:pt>
                <c:pt idx="135">
                  <c:v>771.56120562884155</c:v>
                </c:pt>
                <c:pt idx="136">
                  <c:v>940.36755053707839</c:v>
                </c:pt>
                <c:pt idx="137">
                  <c:v>940.36755053707952</c:v>
                </c:pt>
                <c:pt idx="138">
                  <c:v>940.36755053707952</c:v>
                </c:pt>
                <c:pt idx="139">
                  <c:v>940.36755053707952</c:v>
                </c:pt>
                <c:pt idx="140">
                  <c:v>810.43834203125596</c:v>
                </c:pt>
                <c:pt idx="141">
                  <c:v>614.6706774712103</c:v>
                </c:pt>
                <c:pt idx="142">
                  <c:v>418.3446728125831</c:v>
                </c:pt>
                <c:pt idx="143">
                  <c:v>222.01866815395593</c:v>
                </c:pt>
                <c:pt idx="144">
                  <c:v>-38.785295258809924</c:v>
                </c:pt>
                <c:pt idx="145">
                  <c:v>-232.95474895798043</c:v>
                </c:pt>
                <c:pt idx="146">
                  <c:v>-232.95474895798043</c:v>
                </c:pt>
                <c:pt idx="147">
                  <c:v>422.25187785327762</c:v>
                </c:pt>
                <c:pt idx="148">
                  <c:v>430.66739640246595</c:v>
                </c:pt>
                <c:pt idx="149">
                  <c:v>435.17570991095971</c:v>
                </c:pt>
                <c:pt idx="150">
                  <c:v>439.8843929087198</c:v>
                </c:pt>
                <c:pt idx="151">
                  <c:v>444.79344539574635</c:v>
                </c:pt>
                <c:pt idx="152">
                  <c:v>444.79344539574635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1CA-44FF-B737-293F2CC892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766952"/>
        <c:axId val="739509656"/>
      </c:scatterChart>
      <c:valAx>
        <c:axId val="739226936"/>
        <c:scaling>
          <c:orientation val="minMax"/>
          <c:max val="1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31200"/>
        <c:crosses val="autoZero"/>
        <c:crossBetween val="midCat"/>
      </c:valAx>
      <c:valAx>
        <c:axId val="73923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9226936"/>
        <c:crosses val="autoZero"/>
        <c:crossBetween val="midCat"/>
      </c:valAx>
      <c:valAx>
        <c:axId val="739509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Resistive Forces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3766952"/>
        <c:crosses val="max"/>
        <c:crossBetween val="midCat"/>
      </c:valAx>
      <c:valAx>
        <c:axId val="823766952"/>
        <c:scaling>
          <c:orientation val="minMax"/>
        </c:scaling>
        <c:delete val="1"/>
        <c:axPos val="b"/>
        <c:majorTickMark val="out"/>
        <c:minorTickMark val="none"/>
        <c:tickLblPos val="nextTo"/>
        <c:crossAx val="739509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12" Type="http://schemas.openxmlformats.org/officeDocument/2006/relationships/chart" Target="../charts/chart16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11" Type="http://schemas.openxmlformats.org/officeDocument/2006/relationships/chart" Target="../charts/chart15.xml"/><Relationship Id="rId5" Type="http://schemas.openxmlformats.org/officeDocument/2006/relationships/chart" Target="../charts/chart9.xml"/><Relationship Id="rId10" Type="http://schemas.openxmlformats.org/officeDocument/2006/relationships/chart" Target="../charts/chart14.xml"/><Relationship Id="rId4" Type="http://schemas.openxmlformats.org/officeDocument/2006/relationships/chart" Target="../charts/chart8.xml"/><Relationship Id="rId9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593911</xdr:colOff>
      <xdr:row>74</xdr:row>
      <xdr:rowOff>179294</xdr:rowOff>
    </xdr:from>
    <xdr:to>
      <xdr:col>16</xdr:col>
      <xdr:colOff>369794</xdr:colOff>
      <xdr:row>125</xdr:row>
      <xdr:rowOff>11206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DC3FC6-BB8E-43F6-8928-DADFFAF289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11205</xdr:colOff>
      <xdr:row>28</xdr:row>
      <xdr:rowOff>8405</xdr:rowOff>
    </xdr:from>
    <xdr:to>
      <xdr:col>16</xdr:col>
      <xdr:colOff>403411</xdr:colOff>
      <xdr:row>74</xdr:row>
      <xdr:rowOff>179295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8494795-0419-43D4-ACCF-4AE0BA0B3A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369795</xdr:colOff>
      <xdr:row>74</xdr:row>
      <xdr:rowOff>168088</xdr:rowOff>
    </xdr:from>
    <xdr:to>
      <xdr:col>31</xdr:col>
      <xdr:colOff>1</xdr:colOff>
      <xdr:row>125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9B419D-6C63-4D81-B23F-47253BD040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369794</xdr:colOff>
      <xdr:row>28</xdr:row>
      <xdr:rowOff>11206</xdr:rowOff>
    </xdr:from>
    <xdr:to>
      <xdr:col>31</xdr:col>
      <xdr:colOff>1</xdr:colOff>
      <xdr:row>74</xdr:row>
      <xdr:rowOff>182096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DD8C350-AC2C-4628-8C7C-16F85A1A43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342900</xdr:colOff>
      <xdr:row>35</xdr:row>
      <xdr:rowOff>180975</xdr:rowOff>
    </xdr:from>
    <xdr:ext cx="7210425" cy="6686735"/>
    <xdr:pic>
      <xdr:nvPicPr>
        <xdr:cNvPr id="2" name="Picture 1">
          <a:extLst>
            <a:ext uri="{FF2B5EF4-FFF2-40B4-BE49-F238E27FC236}">
              <a16:creationId xmlns:a16="http://schemas.microsoft.com/office/drawing/2014/main" id="{82D9A047-F378-4AFD-A93F-C2F16DD75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58100" y="6848475"/>
          <a:ext cx="7210425" cy="6686735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180975</xdr:rowOff>
    </xdr:from>
    <xdr:ext cx="6711148" cy="6677025"/>
    <xdr:pic>
      <xdr:nvPicPr>
        <xdr:cNvPr id="3" name="Picture 2">
          <a:extLst>
            <a:ext uri="{FF2B5EF4-FFF2-40B4-BE49-F238E27FC236}">
              <a16:creationId xmlns:a16="http://schemas.microsoft.com/office/drawing/2014/main" id="{61F9129C-6E2A-493F-B950-D6D6D5B49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86325" y="180975"/>
          <a:ext cx="6711148" cy="6677025"/>
        </a:xfrm>
        <a:prstGeom prst="rect">
          <a:avLst/>
        </a:prstGeom>
      </xdr:spPr>
    </xdr:pic>
    <xdr:clientData/>
  </xdr:oneCellAnchor>
  <xdr:oneCellAnchor>
    <xdr:from>
      <xdr:col>19</xdr:col>
      <xdr:colOff>28575</xdr:colOff>
      <xdr:row>0</xdr:row>
      <xdr:rowOff>180975</xdr:rowOff>
    </xdr:from>
    <xdr:ext cx="6962775" cy="6677025"/>
    <xdr:pic>
      <xdr:nvPicPr>
        <xdr:cNvPr id="4" name="Picture 3">
          <a:extLst>
            <a:ext uri="{FF2B5EF4-FFF2-40B4-BE49-F238E27FC236}">
              <a16:creationId xmlns:a16="http://schemas.microsoft.com/office/drawing/2014/main" id="{CBBF3420-673E-43F0-B72B-D195261D6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10975" y="180975"/>
          <a:ext cx="6962775" cy="667702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9524</xdr:colOff>
      <xdr:row>15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ADE2081-F1A8-47C5-8758-89B17C0172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0</xdr:row>
      <xdr:rowOff>0</xdr:rowOff>
    </xdr:from>
    <xdr:to>
      <xdr:col>16</xdr:col>
      <xdr:colOff>19049</xdr:colOff>
      <xdr:row>15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4034E36-A84E-45FE-A59A-F2F790731C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19050</xdr:rowOff>
    </xdr:from>
    <xdr:to>
      <xdr:col>7</xdr:col>
      <xdr:colOff>602795</xdr:colOff>
      <xdr:row>45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9F5D267-1C2F-4F90-A305-40F275AB91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30</xdr:row>
      <xdr:rowOff>21772</xdr:rowOff>
    </xdr:from>
    <xdr:to>
      <xdr:col>15</xdr:col>
      <xdr:colOff>600074</xdr:colOff>
      <xdr:row>45</xdr:row>
      <xdr:rowOff>21772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16A21F5-F0EB-4CA9-A5EF-CF36AF6250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598714</xdr:colOff>
      <xdr:row>45</xdr:row>
      <xdr:rowOff>4082</xdr:rowOff>
    </xdr:from>
    <xdr:to>
      <xdr:col>15</xdr:col>
      <xdr:colOff>586467</xdr:colOff>
      <xdr:row>60</xdr:row>
      <xdr:rowOff>4082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6607B0E-9380-48FE-82A6-36A5E85A7D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13608</xdr:colOff>
      <xdr:row>14</xdr:row>
      <xdr:rowOff>182335</xdr:rowOff>
    </xdr:from>
    <xdr:to>
      <xdr:col>16</xdr:col>
      <xdr:colOff>1360</xdr:colOff>
      <xdr:row>29</xdr:row>
      <xdr:rowOff>182335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D708BC3-CD0A-48F9-ACFC-195579DF59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44</xdr:row>
      <xdr:rowOff>176893</xdr:rowOff>
    </xdr:from>
    <xdr:to>
      <xdr:col>7</xdr:col>
      <xdr:colOff>600074</xdr:colOff>
      <xdr:row>59</xdr:row>
      <xdr:rowOff>176893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3E034F6-73B5-45F9-9848-171496B409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60</xdr:row>
      <xdr:rowOff>0</xdr:rowOff>
    </xdr:from>
    <xdr:to>
      <xdr:col>7</xdr:col>
      <xdr:colOff>600074</xdr:colOff>
      <xdr:row>75</xdr:row>
      <xdr:rowOff>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3F125450-521E-4484-A8B3-7F030028F6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13607</xdr:colOff>
      <xdr:row>15</xdr:row>
      <xdr:rowOff>0</xdr:rowOff>
    </xdr:from>
    <xdr:to>
      <xdr:col>8</xdr:col>
      <xdr:colOff>42182</xdr:colOff>
      <xdr:row>30</xdr:row>
      <xdr:rowOff>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7874BBC3-3A52-4CE6-AB75-1C30F120A2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60</xdr:row>
      <xdr:rowOff>0</xdr:rowOff>
    </xdr:from>
    <xdr:to>
      <xdr:col>16</xdr:col>
      <xdr:colOff>28574</xdr:colOff>
      <xdr:row>75</xdr:row>
      <xdr:rowOff>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3E81020-CC32-4BD7-8C29-4E7F5936E1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75</xdr:row>
      <xdr:rowOff>0</xdr:rowOff>
    </xdr:from>
    <xdr:to>
      <xdr:col>7</xdr:col>
      <xdr:colOff>600074</xdr:colOff>
      <xdr:row>90</xdr:row>
      <xdr:rowOff>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5819BADC-4268-4860-B25C-4E10EB8E42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0</xdr:colOff>
      <xdr:row>75</xdr:row>
      <xdr:rowOff>0</xdr:rowOff>
    </xdr:from>
    <xdr:to>
      <xdr:col>15</xdr:col>
      <xdr:colOff>600074</xdr:colOff>
      <xdr:row>90</xdr:row>
      <xdr:rowOff>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7BD74121-1D5C-4840-8D7A-2618C349DB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n/Desktop/Hybrid_Assign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hicle "/>
      <sheetName val="Gearing "/>
      <sheetName val="BSFC "/>
      <sheetName val="Track "/>
      <sheetName val="Duty Cycle "/>
      <sheetName val="Graphs"/>
    </sheetNames>
    <sheetDataSet>
      <sheetData sheetId="0">
        <row r="9">
          <cell r="F9">
            <v>13.422818791946309</v>
          </cell>
        </row>
        <row r="18">
          <cell r="F18">
            <v>29</v>
          </cell>
        </row>
        <row r="38">
          <cell r="F38">
            <v>584.29999999999995</v>
          </cell>
        </row>
      </sheetData>
      <sheetData sheetId="1">
        <row r="2">
          <cell r="L2" t="str">
            <v>RPM</v>
          </cell>
        </row>
        <row r="17">
          <cell r="C17">
            <v>611.82746530979352</v>
          </cell>
        </row>
        <row r="18">
          <cell r="C18">
            <v>604.73334974067836</v>
          </cell>
        </row>
        <row r="19">
          <cell r="C19">
            <v>602.18369579698663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2CD2-6092-4306-BB06-7D09A021CF12}">
  <dimension ref="A1:I95"/>
  <sheetViews>
    <sheetView zoomScale="71" zoomScaleNormal="71" workbookViewId="0">
      <selection activeCell="F9" sqref="F9:I9"/>
    </sheetView>
  </sheetViews>
  <sheetFormatPr defaultRowHeight="15" x14ac:dyDescent="0.25"/>
  <cols>
    <col min="1" max="1" width="9.140625" style="1"/>
    <col min="2" max="9" width="12.7109375" style="1" customWidth="1"/>
    <col min="10" max="16384" width="9.140625" style="1"/>
  </cols>
  <sheetData>
    <row r="1" spans="1:9" ht="24.95" customHeight="1" x14ac:dyDescent="0.25"/>
    <row r="2" spans="1:9" ht="24.95" customHeight="1" x14ac:dyDescent="0.25">
      <c r="B2" s="19" t="s">
        <v>0</v>
      </c>
      <c r="C2" s="19"/>
      <c r="D2" s="19"/>
      <c r="E2" s="19"/>
      <c r="F2" s="19"/>
      <c r="G2" s="19"/>
      <c r="H2" s="19"/>
      <c r="I2" s="19"/>
    </row>
    <row r="3" spans="1:9" ht="24.95" customHeight="1" x14ac:dyDescent="0.25">
      <c r="B3" s="19"/>
      <c r="C3" s="19"/>
      <c r="D3" s="19"/>
      <c r="E3" s="19"/>
      <c r="F3" s="19"/>
      <c r="G3" s="19"/>
      <c r="H3" s="19"/>
      <c r="I3" s="19"/>
    </row>
    <row r="4" spans="1:9" ht="24.95" customHeight="1" x14ac:dyDescent="0.25">
      <c r="A4" s="1" t="s">
        <v>1</v>
      </c>
      <c r="B4" s="20" t="s">
        <v>2</v>
      </c>
      <c r="C4" s="20"/>
      <c r="D4" s="20"/>
      <c r="E4" s="20"/>
      <c r="F4" s="20"/>
      <c r="G4" s="20"/>
      <c r="H4" s="20"/>
      <c r="I4" s="20"/>
    </row>
    <row r="5" spans="1:9" ht="24.95" customHeight="1" x14ac:dyDescent="0.25">
      <c r="A5" s="1" t="s">
        <v>3</v>
      </c>
      <c r="B5" s="20"/>
      <c r="C5" s="20"/>
      <c r="D5" s="20"/>
      <c r="E5" s="20"/>
      <c r="F5" s="20"/>
      <c r="G5" s="20"/>
      <c r="H5" s="20"/>
      <c r="I5" s="20"/>
    </row>
    <row r="6" spans="1:9" ht="24.95" customHeight="1" x14ac:dyDescent="0.25">
      <c r="B6" s="21" t="s">
        <v>4</v>
      </c>
      <c r="C6" s="21"/>
      <c r="D6" s="21"/>
      <c r="E6" s="21"/>
      <c r="F6" s="21" t="s">
        <v>5</v>
      </c>
      <c r="G6" s="21"/>
      <c r="H6" s="21"/>
      <c r="I6" s="21"/>
    </row>
    <row r="7" spans="1:9" ht="24.95" customHeight="1" x14ac:dyDescent="0.25">
      <c r="B7" s="21"/>
      <c r="C7" s="21"/>
      <c r="D7" s="21"/>
      <c r="E7" s="21"/>
      <c r="F7" s="21"/>
      <c r="G7" s="21"/>
      <c r="H7" s="21"/>
      <c r="I7" s="21"/>
    </row>
    <row r="8" spans="1:9" ht="24.95" customHeight="1" x14ac:dyDescent="0.25">
      <c r="B8" s="21" t="s">
        <v>6</v>
      </c>
      <c r="C8" s="21"/>
      <c r="D8" s="21"/>
      <c r="E8" s="21"/>
      <c r="F8" s="21">
        <v>18</v>
      </c>
      <c r="G8" s="21"/>
      <c r="H8" s="21"/>
      <c r="I8" s="21"/>
    </row>
    <row r="9" spans="1:9" ht="24.95" customHeight="1" x14ac:dyDescent="0.25">
      <c r="B9" s="21" t="s">
        <v>7</v>
      </c>
      <c r="C9" s="21"/>
      <c r="D9" s="21"/>
      <c r="E9" s="21"/>
      <c r="F9" s="21">
        <f>F8/1.341</f>
        <v>13.422818791946309</v>
      </c>
      <c r="G9" s="21"/>
      <c r="H9" s="21"/>
      <c r="I9" s="21"/>
    </row>
    <row r="10" spans="1:9" ht="24.95" customHeight="1" x14ac:dyDescent="0.25">
      <c r="B10" s="21" t="s">
        <v>8</v>
      </c>
      <c r="C10" s="21"/>
      <c r="D10" s="21"/>
      <c r="E10" s="21"/>
      <c r="F10" s="21">
        <v>22</v>
      </c>
      <c r="G10" s="21"/>
      <c r="H10" s="21"/>
      <c r="I10" s="21"/>
    </row>
    <row r="11" spans="1:9" ht="24.95" customHeight="1" x14ac:dyDescent="0.25">
      <c r="B11" s="21" t="s">
        <v>9</v>
      </c>
      <c r="C11" s="21"/>
      <c r="D11" s="21"/>
      <c r="E11" s="21"/>
      <c r="F11" s="21">
        <v>30</v>
      </c>
      <c r="G11" s="21"/>
      <c r="H11" s="21"/>
      <c r="I11" s="21"/>
    </row>
    <row r="12" spans="1:9" ht="24.95" customHeight="1" x14ac:dyDescent="0.25">
      <c r="B12" s="21" t="s">
        <v>10</v>
      </c>
      <c r="C12" s="21"/>
      <c r="D12" s="21"/>
      <c r="E12" s="21"/>
      <c r="F12" s="21">
        <f>F11/2.237</f>
        <v>13.410818059901654</v>
      </c>
      <c r="G12" s="21"/>
      <c r="H12" s="21"/>
      <c r="I12" s="21"/>
    </row>
    <row r="13" spans="1:9" ht="24.95" customHeight="1" x14ac:dyDescent="0.25">
      <c r="B13" s="20" t="s">
        <v>11</v>
      </c>
      <c r="C13" s="20"/>
      <c r="D13" s="20"/>
      <c r="E13" s="20"/>
      <c r="F13" s="20"/>
      <c r="G13" s="20"/>
      <c r="H13" s="20"/>
      <c r="I13" s="20"/>
    </row>
    <row r="14" spans="1:9" ht="24.95" customHeight="1" x14ac:dyDescent="0.25">
      <c r="B14" s="20"/>
      <c r="C14" s="20"/>
      <c r="D14" s="20"/>
      <c r="E14" s="20"/>
      <c r="F14" s="20"/>
      <c r="G14" s="20"/>
      <c r="H14" s="20"/>
      <c r="I14" s="20"/>
    </row>
    <row r="15" spans="1:9" ht="24.95" customHeight="1" x14ac:dyDescent="0.25">
      <c r="B15" s="21" t="s">
        <v>12</v>
      </c>
      <c r="C15" s="21"/>
      <c r="D15" s="21"/>
      <c r="E15" s="21"/>
      <c r="F15" s="21" t="s">
        <v>13</v>
      </c>
      <c r="G15" s="21"/>
      <c r="H15" s="21"/>
      <c r="I15" s="21"/>
    </row>
    <row r="16" spans="1:9" ht="24.95" customHeight="1" x14ac:dyDescent="0.25">
      <c r="B16" s="21" t="s">
        <v>14</v>
      </c>
      <c r="C16" s="21"/>
      <c r="D16" s="21"/>
      <c r="E16" s="21"/>
      <c r="F16" s="21" t="s">
        <v>15</v>
      </c>
      <c r="G16" s="21"/>
      <c r="H16" s="21"/>
      <c r="I16" s="21"/>
    </row>
    <row r="17" spans="2:9" ht="24.95" customHeight="1" x14ac:dyDescent="0.25">
      <c r="B17" s="21" t="s">
        <v>16</v>
      </c>
      <c r="C17" s="21"/>
      <c r="D17" s="21"/>
      <c r="E17" s="21"/>
      <c r="F17" s="21" t="s">
        <v>17</v>
      </c>
      <c r="G17" s="21"/>
      <c r="H17" s="21"/>
      <c r="I17" s="21"/>
    </row>
    <row r="18" spans="2:9" ht="24.95" customHeight="1" x14ac:dyDescent="0.25">
      <c r="B18" s="21" t="s">
        <v>18</v>
      </c>
      <c r="C18" s="21"/>
      <c r="D18" s="21"/>
      <c r="E18" s="21"/>
      <c r="F18" s="21">
        <v>29</v>
      </c>
      <c r="G18" s="21"/>
      <c r="H18" s="21"/>
      <c r="I18" s="21"/>
    </row>
    <row r="19" spans="2:9" ht="24.95" customHeight="1" x14ac:dyDescent="0.25">
      <c r="B19" s="20" t="s">
        <v>19</v>
      </c>
      <c r="C19" s="20"/>
      <c r="D19" s="20"/>
      <c r="E19" s="20"/>
      <c r="F19" s="20"/>
      <c r="G19" s="20"/>
      <c r="H19" s="20"/>
      <c r="I19" s="20"/>
    </row>
    <row r="20" spans="2:9" ht="24.95" customHeight="1" x14ac:dyDescent="0.25">
      <c r="B20" s="20"/>
      <c r="C20" s="20"/>
      <c r="D20" s="20"/>
      <c r="E20" s="20"/>
      <c r="F20" s="20"/>
      <c r="G20" s="20"/>
      <c r="H20" s="20"/>
      <c r="I20" s="20"/>
    </row>
    <row r="21" spans="2:9" ht="24.95" customHeight="1" x14ac:dyDescent="0.25">
      <c r="B21" s="21" t="s">
        <v>20</v>
      </c>
      <c r="C21" s="21"/>
      <c r="D21" s="21"/>
      <c r="E21" s="21"/>
      <c r="F21" s="21">
        <v>2.62</v>
      </c>
      <c r="G21" s="21"/>
      <c r="H21" s="21"/>
      <c r="I21" s="21"/>
    </row>
    <row r="22" spans="2:9" ht="24.95" customHeight="1" x14ac:dyDescent="0.25">
      <c r="B22" s="21" t="s">
        <v>21</v>
      </c>
      <c r="C22" s="21"/>
      <c r="D22" s="21"/>
      <c r="E22" s="21"/>
      <c r="F22" s="21">
        <v>1.65</v>
      </c>
      <c r="G22" s="21"/>
      <c r="H22" s="21"/>
      <c r="I22" s="21"/>
    </row>
    <row r="23" spans="2:9" ht="24.95" customHeight="1" x14ac:dyDescent="0.25">
      <c r="B23" s="21" t="s">
        <v>22</v>
      </c>
      <c r="C23" s="21"/>
      <c r="D23" s="21"/>
      <c r="E23" s="21"/>
      <c r="F23" s="21">
        <v>1.62</v>
      </c>
      <c r="G23" s="21"/>
      <c r="H23" s="21"/>
      <c r="I23" s="21"/>
    </row>
    <row r="24" spans="2:9" ht="24.95" customHeight="1" x14ac:dyDescent="0.25">
      <c r="B24" s="21" t="s">
        <v>23</v>
      </c>
      <c r="C24" s="21"/>
      <c r="D24" s="21"/>
      <c r="E24" s="21"/>
      <c r="F24" s="21">
        <v>0.3</v>
      </c>
      <c r="G24" s="21"/>
      <c r="H24" s="21"/>
      <c r="I24" s="21"/>
    </row>
    <row r="25" spans="2:9" ht="24.95" customHeight="1" x14ac:dyDescent="0.25">
      <c r="B25" s="21" t="s">
        <v>24</v>
      </c>
      <c r="C25" s="21"/>
      <c r="D25" s="21"/>
      <c r="E25" s="21"/>
      <c r="F25" s="21">
        <f>0.7*F22*F23</f>
        <v>1.8710999999999998</v>
      </c>
      <c r="G25" s="21"/>
      <c r="H25" s="21"/>
      <c r="I25" s="21"/>
    </row>
    <row r="26" spans="2:9" ht="24.95" customHeight="1" x14ac:dyDescent="0.25">
      <c r="B26" s="21" t="s">
        <v>25</v>
      </c>
      <c r="C26" s="21"/>
      <c r="D26" s="21"/>
      <c r="E26" s="21"/>
      <c r="F26" s="21">
        <f>(F23-F24)*F22</f>
        <v>2.1779999999999999</v>
      </c>
      <c r="G26" s="21"/>
      <c r="H26" s="21"/>
      <c r="I26" s="21"/>
    </row>
    <row r="27" spans="2:9" ht="24.95" customHeight="1" x14ac:dyDescent="0.25">
      <c r="B27" s="21" t="s">
        <v>148</v>
      </c>
      <c r="C27" s="21"/>
      <c r="D27" s="21"/>
      <c r="E27" s="21"/>
      <c r="F27" s="21">
        <v>0.5</v>
      </c>
      <c r="G27" s="21"/>
      <c r="H27" s="21"/>
      <c r="I27" s="21"/>
    </row>
    <row r="28" spans="2:9" ht="24.95" customHeight="1" x14ac:dyDescent="0.25">
      <c r="B28" s="21" t="s">
        <v>149</v>
      </c>
      <c r="C28" s="21"/>
      <c r="D28" s="21"/>
      <c r="E28" s="21"/>
      <c r="F28" s="21">
        <v>0.3</v>
      </c>
      <c r="G28" s="21"/>
      <c r="H28" s="21"/>
      <c r="I28" s="21"/>
    </row>
    <row r="29" spans="2:9" ht="24.95" customHeight="1" x14ac:dyDescent="0.25">
      <c r="B29" s="20" t="s">
        <v>26</v>
      </c>
      <c r="C29" s="20"/>
      <c r="D29" s="20"/>
      <c r="E29" s="20"/>
      <c r="F29" s="20"/>
      <c r="G29" s="20"/>
      <c r="H29" s="20"/>
      <c r="I29" s="20"/>
    </row>
    <row r="30" spans="2:9" ht="24.95" customHeight="1" x14ac:dyDescent="0.25">
      <c r="B30" s="20"/>
      <c r="C30" s="20"/>
      <c r="D30" s="20"/>
      <c r="E30" s="20"/>
      <c r="F30" s="20"/>
      <c r="G30" s="20"/>
      <c r="H30" s="20"/>
      <c r="I30" s="20"/>
    </row>
    <row r="31" spans="2:9" ht="24.95" customHeight="1" x14ac:dyDescent="0.25">
      <c r="B31" s="21" t="s">
        <v>27</v>
      </c>
      <c r="C31" s="21"/>
      <c r="D31" s="21"/>
      <c r="E31" s="21"/>
      <c r="F31" s="21">
        <v>365</v>
      </c>
      <c r="G31" s="21"/>
      <c r="H31" s="21"/>
      <c r="I31" s="21"/>
    </row>
    <row r="32" spans="2:9" ht="24.95" customHeight="1" x14ac:dyDescent="0.25">
      <c r="B32" s="21" t="s">
        <v>28</v>
      </c>
      <c r="C32" s="21"/>
      <c r="D32" s="21"/>
      <c r="E32" s="21"/>
      <c r="F32" s="21">
        <v>75</v>
      </c>
      <c r="G32" s="21"/>
      <c r="H32" s="21"/>
      <c r="I32" s="21"/>
    </row>
    <row r="33" spans="2:9" ht="24.95" customHeight="1" x14ac:dyDescent="0.25">
      <c r="B33" s="21" t="s">
        <v>29</v>
      </c>
      <c r="C33" s="21"/>
      <c r="D33" s="21"/>
      <c r="E33" s="21"/>
      <c r="F33" s="21">
        <v>10</v>
      </c>
      <c r="G33" s="21"/>
      <c r="H33" s="21"/>
      <c r="I33" s="21"/>
    </row>
    <row r="34" spans="2:9" ht="24.95" customHeight="1" x14ac:dyDescent="0.25">
      <c r="B34" s="21" t="s">
        <v>30</v>
      </c>
      <c r="C34" s="21"/>
      <c r="D34" s="21"/>
      <c r="E34" s="21"/>
      <c r="F34" s="21" t="s">
        <v>1</v>
      </c>
      <c r="G34" s="21"/>
      <c r="H34" s="21"/>
      <c r="I34" s="21"/>
    </row>
    <row r="35" spans="2:9" ht="24.95" customHeight="1" x14ac:dyDescent="0.25">
      <c r="B35" s="21" t="s">
        <v>31</v>
      </c>
      <c r="C35" s="21"/>
      <c r="D35" s="21"/>
      <c r="E35" s="21"/>
      <c r="F35" s="21">
        <f>IF(F34=A4, 75, 0)</f>
        <v>75</v>
      </c>
      <c r="G35" s="21"/>
      <c r="H35" s="21"/>
      <c r="I35" s="21"/>
    </row>
    <row r="36" spans="2:9" ht="24.95" customHeight="1" x14ac:dyDescent="0.25">
      <c r="B36" s="21" t="s">
        <v>32</v>
      </c>
      <c r="C36" s="21"/>
      <c r="D36" s="21"/>
      <c r="E36" s="21"/>
      <c r="F36" s="21">
        <f>IF(F34=A4, 10, 0)</f>
        <v>10</v>
      </c>
      <c r="G36" s="21"/>
      <c r="H36" s="21"/>
      <c r="I36" s="21"/>
    </row>
    <row r="37" spans="2:9" ht="24.95" customHeight="1" x14ac:dyDescent="0.25">
      <c r="B37" s="21" t="s">
        <v>33</v>
      </c>
      <c r="C37" s="21"/>
      <c r="D37" s="21"/>
      <c r="E37" s="21"/>
      <c r="F37" s="21">
        <v>29</v>
      </c>
      <c r="G37" s="21"/>
      <c r="H37" s="21"/>
      <c r="I37" s="21"/>
    </row>
    <row r="38" spans="2:9" ht="24.95" customHeight="1" x14ac:dyDescent="0.25">
      <c r="B38" s="21" t="s">
        <v>34</v>
      </c>
      <c r="C38" s="21"/>
      <c r="D38" s="21"/>
      <c r="E38" s="21"/>
      <c r="F38" s="21">
        <f>F37*0.7</f>
        <v>20.299999999999997</v>
      </c>
      <c r="G38" s="21"/>
      <c r="H38" s="21"/>
      <c r="I38" s="21"/>
    </row>
    <row r="39" spans="2:9" ht="24.95" customHeight="1" x14ac:dyDescent="0.25">
      <c r="B39" s="21" t="s">
        <v>144</v>
      </c>
      <c r="C39" s="21"/>
      <c r="D39" s="21"/>
      <c r="E39" s="21"/>
      <c r="F39" s="21">
        <v>65</v>
      </c>
      <c r="G39" s="21"/>
      <c r="H39" s="21"/>
      <c r="I39" s="21"/>
    </row>
    <row r="40" spans="2:9" ht="24.95" customHeight="1" x14ac:dyDescent="0.25">
      <c r="B40" s="21" t="s">
        <v>35</v>
      </c>
      <c r="C40" s="21"/>
      <c r="D40" s="21"/>
      <c r="E40" s="21"/>
      <c r="F40" s="21">
        <f>SUM(F31:I39)</f>
        <v>649.29999999999995</v>
      </c>
      <c r="G40" s="21"/>
      <c r="H40" s="21"/>
      <c r="I40" s="21"/>
    </row>
    <row r="41" spans="2:9" ht="24.95" customHeight="1" x14ac:dyDescent="0.25">
      <c r="B41" s="20" t="s">
        <v>36</v>
      </c>
      <c r="C41" s="20"/>
      <c r="D41" s="20"/>
      <c r="E41" s="20"/>
      <c r="F41" s="20"/>
      <c r="G41" s="20"/>
      <c r="H41" s="20"/>
      <c r="I41" s="20"/>
    </row>
    <row r="42" spans="2:9" ht="24.95" customHeight="1" x14ac:dyDescent="0.25">
      <c r="B42" s="20"/>
      <c r="C42" s="20"/>
      <c r="D42" s="20"/>
      <c r="E42" s="20"/>
      <c r="F42" s="20"/>
      <c r="G42" s="20"/>
      <c r="H42" s="20"/>
      <c r="I42" s="20"/>
    </row>
    <row r="43" spans="2:9" ht="24.95" customHeight="1" x14ac:dyDescent="0.25">
      <c r="B43" s="21" t="s">
        <v>37</v>
      </c>
      <c r="C43" s="21"/>
      <c r="D43" s="21"/>
      <c r="E43" s="21"/>
      <c r="F43" s="21">
        <v>12</v>
      </c>
      <c r="G43" s="21"/>
      <c r="H43" s="21"/>
      <c r="I43" s="21"/>
    </row>
    <row r="44" spans="2:9" ht="24.95" customHeight="1" x14ac:dyDescent="0.25">
      <c r="B44" s="21" t="s">
        <v>38</v>
      </c>
      <c r="C44" s="21"/>
      <c r="D44" s="21"/>
      <c r="E44" s="21"/>
      <c r="F44" s="21">
        <f>F43/39.37</f>
        <v>0.30480060960121924</v>
      </c>
      <c r="G44" s="21"/>
      <c r="H44" s="21"/>
      <c r="I44" s="21"/>
    </row>
    <row r="45" spans="2:9" ht="24.95" customHeight="1" x14ac:dyDescent="0.25">
      <c r="B45" s="21" t="s">
        <v>39</v>
      </c>
      <c r="C45" s="21"/>
      <c r="D45" s="21"/>
      <c r="E45" s="21"/>
      <c r="F45" s="21">
        <v>0.15240000000000001</v>
      </c>
      <c r="G45" s="21"/>
      <c r="H45" s="21"/>
      <c r="I45" s="21"/>
    </row>
    <row r="46" spans="2:9" ht="24.95" customHeight="1" x14ac:dyDescent="0.25">
      <c r="B46" s="21" t="s">
        <v>40</v>
      </c>
      <c r="C46" s="21"/>
      <c r="D46" s="21"/>
      <c r="E46" s="21"/>
      <c r="F46" s="21">
        <v>10</v>
      </c>
      <c r="G46" s="21"/>
      <c r="H46" s="21"/>
      <c r="I46" s="21"/>
    </row>
    <row r="47" spans="2:9" ht="24.95" customHeight="1" x14ac:dyDescent="0.25">
      <c r="B47" s="21" t="s">
        <v>41</v>
      </c>
      <c r="C47" s="21"/>
      <c r="D47" s="21"/>
      <c r="E47" s="21"/>
      <c r="F47" s="21">
        <f>F46/39.37</f>
        <v>0.25400050800101603</v>
      </c>
      <c r="G47" s="21"/>
      <c r="H47" s="21"/>
      <c r="I47" s="21"/>
    </row>
    <row r="48" spans="2:9" ht="24.95" customHeight="1" x14ac:dyDescent="0.25">
      <c r="B48" s="21" t="s">
        <v>42</v>
      </c>
      <c r="C48" s="21"/>
      <c r="D48" s="21"/>
      <c r="E48" s="21"/>
      <c r="F48" s="21">
        <v>0.13969999999999999</v>
      </c>
      <c r="G48" s="21"/>
      <c r="H48" s="21"/>
      <c r="I48" s="21"/>
    </row>
    <row r="49" spans="2:9" ht="24.95" customHeight="1" x14ac:dyDescent="0.25">
      <c r="B49" s="21" t="s">
        <v>43</v>
      </c>
      <c r="C49" s="21"/>
      <c r="D49" s="21"/>
      <c r="E49" s="21"/>
      <c r="F49" s="21">
        <f>F47/2+F48</f>
        <v>0.26670025400050801</v>
      </c>
      <c r="G49" s="21"/>
      <c r="H49" s="21"/>
      <c r="I49" s="21"/>
    </row>
    <row r="50" spans="2:9" ht="24.95" customHeight="1" x14ac:dyDescent="0.25">
      <c r="B50" s="21" t="s">
        <v>44</v>
      </c>
      <c r="C50" s="21"/>
      <c r="D50" s="21"/>
      <c r="E50" s="21"/>
      <c r="F50" s="21">
        <f>F49*2*PI()</f>
        <v>1.6757271173570556</v>
      </c>
      <c r="G50" s="21"/>
      <c r="H50" s="21"/>
      <c r="I50" s="21"/>
    </row>
    <row r="51" spans="2:9" ht="24.95" customHeight="1" x14ac:dyDescent="0.25">
      <c r="B51" s="20" t="s">
        <v>45</v>
      </c>
      <c r="C51" s="20"/>
      <c r="D51" s="20"/>
      <c r="E51" s="20"/>
      <c r="F51" s="20"/>
      <c r="G51" s="20"/>
      <c r="H51" s="20"/>
      <c r="I51" s="20"/>
    </row>
    <row r="52" spans="2:9" ht="24.95" customHeight="1" x14ac:dyDescent="0.25">
      <c r="B52" s="20"/>
      <c r="C52" s="20"/>
      <c r="D52" s="20"/>
      <c r="E52" s="20"/>
      <c r="F52" s="20"/>
      <c r="G52" s="20"/>
      <c r="H52" s="20"/>
      <c r="I52" s="20"/>
    </row>
    <row r="53" spans="2:9" ht="24.95" customHeight="1" x14ac:dyDescent="0.25">
      <c r="B53" s="21" t="s">
        <v>46</v>
      </c>
      <c r="C53" s="21"/>
      <c r="D53" s="21"/>
      <c r="E53" s="21"/>
      <c r="F53" s="21">
        <v>0.35</v>
      </c>
      <c r="G53" s="21"/>
      <c r="H53" s="21"/>
      <c r="I53" s="21"/>
    </row>
    <row r="54" spans="2:9" ht="24.95" customHeight="1" x14ac:dyDescent="0.25">
      <c r="B54" s="21" t="s">
        <v>47</v>
      </c>
      <c r="C54" s="21"/>
      <c r="D54" s="21"/>
      <c r="E54" s="21"/>
      <c r="F54" s="21">
        <v>0.95</v>
      </c>
      <c r="G54" s="21"/>
      <c r="H54" s="21"/>
      <c r="I54" s="21"/>
    </row>
    <row r="55" spans="2:9" ht="24.95" customHeight="1" x14ac:dyDescent="0.25">
      <c r="B55" s="21" t="s">
        <v>48</v>
      </c>
      <c r="C55" s="21"/>
      <c r="D55" s="21"/>
      <c r="E55" s="21"/>
      <c r="F55" s="21">
        <v>0.17</v>
      </c>
      <c r="G55" s="21"/>
      <c r="H55" s="21"/>
      <c r="I55" s="21"/>
    </row>
    <row r="56" spans="2:9" ht="24.95" customHeight="1" x14ac:dyDescent="0.25"/>
    <row r="57" spans="2:9" ht="24.95" customHeight="1" x14ac:dyDescent="0.25"/>
    <row r="58" spans="2:9" ht="24.95" customHeight="1" x14ac:dyDescent="0.25"/>
    <row r="59" spans="2:9" ht="24.95" customHeight="1" x14ac:dyDescent="0.25"/>
    <row r="60" spans="2:9" ht="24.95" customHeight="1" x14ac:dyDescent="0.25"/>
    <row r="61" spans="2:9" ht="24.95" customHeight="1" x14ac:dyDescent="0.25"/>
    <row r="62" spans="2:9" ht="24.95" customHeight="1" x14ac:dyDescent="0.25"/>
    <row r="63" spans="2:9" ht="24.95" customHeight="1" x14ac:dyDescent="0.25"/>
    <row r="64" spans="2:9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</sheetData>
  <mergeCells count="85">
    <mergeCell ref="B54:E54"/>
    <mergeCell ref="F54:I54"/>
    <mergeCell ref="B55:E55"/>
    <mergeCell ref="F55:I55"/>
    <mergeCell ref="B39:E39"/>
    <mergeCell ref="F39:I39"/>
    <mergeCell ref="B49:E49"/>
    <mergeCell ref="F49:I49"/>
    <mergeCell ref="B50:E50"/>
    <mergeCell ref="F50:I50"/>
    <mergeCell ref="B51:I52"/>
    <mergeCell ref="B53:E53"/>
    <mergeCell ref="F53:I53"/>
    <mergeCell ref="B46:E46"/>
    <mergeCell ref="F46:I46"/>
    <mergeCell ref="B47:E47"/>
    <mergeCell ref="F47:I47"/>
    <mergeCell ref="B48:E48"/>
    <mergeCell ref="F48:I48"/>
    <mergeCell ref="B45:E45"/>
    <mergeCell ref="F45:I45"/>
    <mergeCell ref="B37:E37"/>
    <mergeCell ref="F37:I37"/>
    <mergeCell ref="B38:E38"/>
    <mergeCell ref="F38:I38"/>
    <mergeCell ref="B40:E40"/>
    <mergeCell ref="F40:I40"/>
    <mergeCell ref="B41:I42"/>
    <mergeCell ref="B43:E43"/>
    <mergeCell ref="F43:I43"/>
    <mergeCell ref="B44:E44"/>
    <mergeCell ref="F44:I44"/>
    <mergeCell ref="B34:E34"/>
    <mergeCell ref="F34:I34"/>
    <mergeCell ref="B35:E35"/>
    <mergeCell ref="F35:I35"/>
    <mergeCell ref="B36:E36"/>
    <mergeCell ref="F36:I36"/>
    <mergeCell ref="B33:E33"/>
    <mergeCell ref="F33:I33"/>
    <mergeCell ref="B25:E25"/>
    <mergeCell ref="F25:I25"/>
    <mergeCell ref="B26:E26"/>
    <mergeCell ref="F26:I26"/>
    <mergeCell ref="B27:E27"/>
    <mergeCell ref="F27:I27"/>
    <mergeCell ref="B29:I30"/>
    <mergeCell ref="B31:E31"/>
    <mergeCell ref="F31:I31"/>
    <mergeCell ref="B32:E32"/>
    <mergeCell ref="F32:I32"/>
    <mergeCell ref="B28:E28"/>
    <mergeCell ref="F28:I28"/>
    <mergeCell ref="B22:E22"/>
    <mergeCell ref="F22:I22"/>
    <mergeCell ref="B23:E23"/>
    <mergeCell ref="F23:I23"/>
    <mergeCell ref="B24:E24"/>
    <mergeCell ref="F24:I24"/>
    <mergeCell ref="B21:E21"/>
    <mergeCell ref="F21:I21"/>
    <mergeCell ref="B12:E12"/>
    <mergeCell ref="F12:I12"/>
    <mergeCell ref="B13:I14"/>
    <mergeCell ref="B15:E15"/>
    <mergeCell ref="F15:I15"/>
    <mergeCell ref="B16:E16"/>
    <mergeCell ref="F16:I16"/>
    <mergeCell ref="B17:E17"/>
    <mergeCell ref="F17:I17"/>
    <mergeCell ref="B18:E18"/>
    <mergeCell ref="F18:I18"/>
    <mergeCell ref="B19:I20"/>
    <mergeCell ref="B9:E9"/>
    <mergeCell ref="F9:I9"/>
    <mergeCell ref="B10:E10"/>
    <mergeCell ref="F10:I10"/>
    <mergeCell ref="B11:E11"/>
    <mergeCell ref="F11:I11"/>
    <mergeCell ref="B2:I3"/>
    <mergeCell ref="B4:I5"/>
    <mergeCell ref="B6:E7"/>
    <mergeCell ref="F6:I7"/>
    <mergeCell ref="B8:E8"/>
    <mergeCell ref="F8:I8"/>
  </mergeCells>
  <dataValidations count="1">
    <dataValidation type="list" allowBlank="1" showInputMessage="1" showErrorMessage="1" sqref="F34:I34" xr:uid="{6EFFA442-D9EA-47F2-B568-38785158ED27}">
      <formula1>$A$4:$A$5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1BDD-59ED-4F70-BB9B-02C589227A23}">
  <dimension ref="B2:AE52"/>
  <sheetViews>
    <sheetView topLeftCell="A13" zoomScale="55" zoomScaleNormal="55" workbookViewId="0">
      <selection activeCell="X14" sqref="X14"/>
    </sheetView>
  </sheetViews>
  <sheetFormatPr defaultRowHeight="15" x14ac:dyDescent="0.25"/>
  <cols>
    <col min="1" max="3" width="9.140625" style="2"/>
    <col min="4" max="30" width="12.7109375" style="2" customWidth="1"/>
    <col min="31" max="31" width="17.5703125" style="2" customWidth="1"/>
    <col min="32" max="16384" width="9.140625" style="2"/>
  </cols>
  <sheetData>
    <row r="2" spans="2:31" ht="15" customHeight="1" x14ac:dyDescent="0.25">
      <c r="B2" s="23" t="s">
        <v>51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</row>
    <row r="3" spans="2:31" ht="15" customHeight="1" x14ac:dyDescent="0.25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2:31" ht="18.75" x14ac:dyDescent="0.25">
      <c r="B4" s="22" t="s">
        <v>50</v>
      </c>
      <c r="C4" s="22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4"/>
      <c r="Y4" s="5"/>
      <c r="Z4" s="5"/>
      <c r="AA4" s="5"/>
      <c r="AB4" s="5"/>
      <c r="AC4" s="5"/>
      <c r="AD4" s="5"/>
      <c r="AE4" s="24"/>
    </row>
    <row r="5" spans="2:31" ht="18.75" x14ac:dyDescent="0.25">
      <c r="B5" s="22">
        <v>22</v>
      </c>
      <c r="C5" s="22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4">
        <v>496.03879424580009</v>
      </c>
      <c r="Y5" s="5"/>
      <c r="Z5" s="5"/>
      <c r="AA5" s="5"/>
      <c r="AB5" s="5"/>
      <c r="AC5" s="5"/>
      <c r="AD5" s="5"/>
      <c r="AE5" s="24"/>
    </row>
    <row r="6" spans="2:31" ht="18.75" x14ac:dyDescent="0.25">
      <c r="B6" s="22">
        <v>21</v>
      </c>
      <c r="C6" s="22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4">
        <v>509.99896928580006</v>
      </c>
      <c r="W6" s="4">
        <v>502.51704928580006</v>
      </c>
      <c r="X6" s="4">
        <v>472.37704508580003</v>
      </c>
      <c r="Y6" s="4">
        <v>498.27742508580008</v>
      </c>
      <c r="Z6" s="5"/>
      <c r="AA6" s="5"/>
      <c r="AB6" s="5"/>
      <c r="AC6" s="5"/>
      <c r="AD6" s="5"/>
      <c r="AE6" s="24"/>
    </row>
    <row r="7" spans="2:31" ht="18.75" x14ac:dyDescent="0.25">
      <c r="B7" s="22">
        <v>20</v>
      </c>
      <c r="C7" s="22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4">
        <v>522.08096816579996</v>
      </c>
      <c r="U7" s="4">
        <v>514.46308816579995</v>
      </c>
      <c r="V7" s="4">
        <v>500.44923776579998</v>
      </c>
      <c r="W7" s="4">
        <v>492.96731776579998</v>
      </c>
      <c r="X7" s="4">
        <v>448.71529592580009</v>
      </c>
      <c r="Y7" s="4">
        <v>474.61567592580013</v>
      </c>
      <c r="Z7" s="4">
        <v>508.57865696580006</v>
      </c>
      <c r="AA7" s="5"/>
      <c r="AB7" s="5"/>
      <c r="AC7" s="5"/>
      <c r="AD7" s="5"/>
      <c r="AE7" s="24"/>
    </row>
    <row r="8" spans="2:31" ht="18.75" x14ac:dyDescent="0.25">
      <c r="B8" s="22">
        <v>19</v>
      </c>
      <c r="C8" s="22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4">
        <v>529.92053712580002</v>
      </c>
      <c r="T8" s="4">
        <v>516.53053712580004</v>
      </c>
      <c r="U8" s="4">
        <v>508.91265712580002</v>
      </c>
      <c r="V8" s="4">
        <v>480.16306640580012</v>
      </c>
      <c r="W8" s="4">
        <v>472.68114640580006</v>
      </c>
      <c r="X8" s="4">
        <v>425.05354676580004</v>
      </c>
      <c r="Y8" s="4">
        <v>450.95392676580002</v>
      </c>
      <c r="Z8" s="4">
        <v>495.50617712580004</v>
      </c>
      <c r="AA8" s="4">
        <v>525.75212712580003</v>
      </c>
      <c r="AB8" s="4">
        <v>546.90840128579998</v>
      </c>
      <c r="AC8" s="5"/>
      <c r="AD8" s="5"/>
      <c r="AE8" s="24"/>
    </row>
    <row r="9" spans="2:31" ht="18.75" x14ac:dyDescent="0.25">
      <c r="B9" s="22">
        <v>18</v>
      </c>
      <c r="C9" s="22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4">
        <v>534.16371457859987</v>
      </c>
      <c r="Q9" s="4">
        <v>533.79035094979997</v>
      </c>
      <c r="R9" s="4">
        <v>532.62718760579992</v>
      </c>
      <c r="S9" s="4">
        <v>520.13720160579999</v>
      </c>
      <c r="T9" s="4">
        <v>506.74720160579994</v>
      </c>
      <c r="U9" s="4">
        <v>499.12932160579993</v>
      </c>
      <c r="V9" s="4">
        <v>463.08194192579998</v>
      </c>
      <c r="W9" s="4">
        <v>455.60002192579998</v>
      </c>
      <c r="X9" s="4">
        <v>401.39179760580015</v>
      </c>
      <c r="Y9" s="4">
        <v>427.29217760580013</v>
      </c>
      <c r="Z9" s="4">
        <v>477.05146112579996</v>
      </c>
      <c r="AA9" s="4">
        <v>507.29741112579995</v>
      </c>
      <c r="AB9" s="4">
        <v>533.40609008579997</v>
      </c>
      <c r="AC9" s="4">
        <v>552.97609008580002</v>
      </c>
      <c r="AD9" s="5"/>
      <c r="AE9" s="24"/>
    </row>
    <row r="10" spans="2:31" ht="18.75" x14ac:dyDescent="0.25">
      <c r="B10" s="22">
        <v>17</v>
      </c>
      <c r="C10" s="22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4">
        <v>547.86457121539991</v>
      </c>
      <c r="P10" s="4">
        <v>537.98996121539994</v>
      </c>
      <c r="Q10" s="4">
        <v>536.7730068218001</v>
      </c>
      <c r="R10" s="4">
        <v>527.23520682180003</v>
      </c>
      <c r="S10" s="4">
        <v>504.39229200579996</v>
      </c>
      <c r="T10" s="4">
        <v>491.00229200579992</v>
      </c>
      <c r="U10" s="4">
        <v>483.3844120057999</v>
      </c>
      <c r="V10" s="4">
        <v>429.55353848580006</v>
      </c>
      <c r="W10" s="4">
        <v>422.07161848580006</v>
      </c>
      <c r="X10" s="4">
        <v>389.56092302580015</v>
      </c>
      <c r="Y10" s="4">
        <v>415.46130302580013</v>
      </c>
      <c r="Z10" s="4">
        <v>437.82467744580009</v>
      </c>
      <c r="AA10" s="4">
        <v>468.07062744580008</v>
      </c>
      <c r="AB10" s="4">
        <v>525.45420992579989</v>
      </c>
      <c r="AC10" s="4">
        <v>545.02420992579994</v>
      </c>
      <c r="AD10" s="4">
        <v>586.83989036579999</v>
      </c>
      <c r="AE10" s="24"/>
    </row>
    <row r="11" spans="2:31" ht="18.75" x14ac:dyDescent="0.25">
      <c r="B11" s="22">
        <v>16</v>
      </c>
      <c r="C11" s="22"/>
      <c r="D11" s="5"/>
      <c r="E11" s="5"/>
      <c r="F11" s="5"/>
      <c r="G11" s="5"/>
      <c r="H11" s="5"/>
      <c r="I11" s="5"/>
      <c r="J11" s="5"/>
      <c r="K11" s="5"/>
      <c r="L11" s="5"/>
      <c r="M11" s="4">
        <v>549.63107856580018</v>
      </c>
      <c r="N11" s="4">
        <v>549.78649320580007</v>
      </c>
      <c r="O11" s="4">
        <v>551.6908178522001</v>
      </c>
      <c r="P11" s="4">
        <v>541.81620785220014</v>
      </c>
      <c r="Q11" s="4">
        <v>539.75566269379999</v>
      </c>
      <c r="R11" s="4">
        <v>530.21786269379993</v>
      </c>
      <c r="S11" s="4">
        <v>494.76702852580007</v>
      </c>
      <c r="T11" s="4">
        <v>481.37702852580003</v>
      </c>
      <c r="U11" s="4">
        <v>473.75914852580001</v>
      </c>
      <c r="V11" s="4">
        <v>399.62575136579994</v>
      </c>
      <c r="W11" s="4">
        <v>392.14383136579994</v>
      </c>
      <c r="X11" s="4">
        <v>377.73004844580009</v>
      </c>
      <c r="Y11" s="4">
        <v>403.63042844580013</v>
      </c>
      <c r="Z11" s="4">
        <v>398.59789376580005</v>
      </c>
      <c r="AA11" s="4">
        <v>428.84384376580005</v>
      </c>
      <c r="AB11" s="4">
        <v>520.59524672580005</v>
      </c>
      <c r="AC11" s="4">
        <v>540.1652467258001</v>
      </c>
      <c r="AD11" s="4">
        <v>575.17292792579997</v>
      </c>
      <c r="AE11" s="24"/>
    </row>
    <row r="12" spans="2:31" ht="18.75" x14ac:dyDescent="0.25">
      <c r="B12" s="22">
        <v>15</v>
      </c>
      <c r="C12" s="22"/>
      <c r="D12" s="5"/>
      <c r="E12" s="5"/>
      <c r="F12" s="5"/>
      <c r="G12" s="5"/>
      <c r="H12" s="5"/>
      <c r="I12" s="5"/>
      <c r="J12" s="5"/>
      <c r="K12" s="5"/>
      <c r="L12" s="4">
        <v>559.46561744580004</v>
      </c>
      <c r="M12" s="4">
        <v>553.87065744580002</v>
      </c>
      <c r="N12" s="4">
        <v>549.01924702979989</v>
      </c>
      <c r="O12" s="4">
        <v>542.00391406339986</v>
      </c>
      <c r="P12" s="4">
        <v>532.1293040633999</v>
      </c>
      <c r="Q12" s="4">
        <v>542.7383185658</v>
      </c>
      <c r="R12" s="4">
        <v>533.20051856580005</v>
      </c>
      <c r="S12" s="4">
        <v>489.64074448180003</v>
      </c>
      <c r="T12" s="4">
        <v>476.25074448180004</v>
      </c>
      <c r="U12" s="4">
        <v>468.63286448180003</v>
      </c>
      <c r="V12" s="4">
        <v>378.56401472579995</v>
      </c>
      <c r="W12" s="4">
        <v>371.08209472579995</v>
      </c>
      <c r="X12" s="4">
        <v>352.04528864579999</v>
      </c>
      <c r="Y12" s="4">
        <v>377.94566864580003</v>
      </c>
      <c r="Z12" s="4">
        <v>363.14745501479996</v>
      </c>
      <c r="AA12" s="4">
        <v>393.39340501480001</v>
      </c>
      <c r="AB12" s="4">
        <v>477.50932496580009</v>
      </c>
      <c r="AC12" s="4">
        <v>497.07932496580008</v>
      </c>
      <c r="AD12" s="4">
        <v>523.03139252879998</v>
      </c>
      <c r="AE12" s="24"/>
    </row>
    <row r="13" spans="2:31" ht="18.75" x14ac:dyDescent="0.25">
      <c r="B13" s="22">
        <v>14</v>
      </c>
      <c r="C13" s="22"/>
      <c r="D13" s="5"/>
      <c r="E13" s="5"/>
      <c r="F13" s="5"/>
      <c r="G13" s="5"/>
      <c r="H13" s="5"/>
      <c r="I13" s="5"/>
      <c r="J13" s="5"/>
      <c r="K13" s="4">
        <v>586.92963632580006</v>
      </c>
      <c r="L13" s="4">
        <v>563.7051963258001</v>
      </c>
      <c r="M13" s="4">
        <v>558.11023632580009</v>
      </c>
      <c r="N13" s="4">
        <v>553.21820106179996</v>
      </c>
      <c r="O13" s="4">
        <v>532.31701027459997</v>
      </c>
      <c r="P13" s="4">
        <v>522.44240027459989</v>
      </c>
      <c r="Q13" s="4">
        <v>523.4896409708</v>
      </c>
      <c r="R13" s="4">
        <v>513.95184097080005</v>
      </c>
      <c r="S13" s="4">
        <v>453.32762562580001</v>
      </c>
      <c r="T13" s="4">
        <v>439.93762562580002</v>
      </c>
      <c r="U13" s="4">
        <v>432.31974562580001</v>
      </c>
      <c r="V13" s="4">
        <v>357.50227808580001</v>
      </c>
      <c r="W13" s="4">
        <v>350.02035808580001</v>
      </c>
      <c r="X13" s="4">
        <v>330.40655012580004</v>
      </c>
      <c r="Y13" s="4">
        <v>356.30693012580002</v>
      </c>
      <c r="Z13" s="4">
        <v>356.11311296580016</v>
      </c>
      <c r="AA13" s="4">
        <v>386.35906296580015</v>
      </c>
      <c r="AB13" s="4">
        <v>462.6988313658</v>
      </c>
      <c r="AC13" s="4">
        <v>482.2688313658</v>
      </c>
      <c r="AD13" s="4">
        <v>515.36511272580003</v>
      </c>
      <c r="AE13" s="24"/>
    </row>
    <row r="14" spans="2:31" ht="18.75" x14ac:dyDescent="0.25">
      <c r="B14" s="22">
        <v>13</v>
      </c>
      <c r="C14" s="22"/>
      <c r="D14" s="5"/>
      <c r="E14" s="5"/>
      <c r="F14" s="5"/>
      <c r="G14" s="5"/>
      <c r="H14" s="5"/>
      <c r="I14" s="5"/>
      <c r="J14" s="4">
        <v>624.12853952579997</v>
      </c>
      <c r="K14" s="4">
        <v>606.37917164580006</v>
      </c>
      <c r="L14" s="4">
        <v>583.15473164579998</v>
      </c>
      <c r="M14" s="4">
        <v>577.55977164579997</v>
      </c>
      <c r="N14" s="4">
        <v>557.41715509380003</v>
      </c>
      <c r="O14" s="4">
        <v>522.63010648579996</v>
      </c>
      <c r="P14" s="4">
        <v>512.75549648579999</v>
      </c>
      <c r="Q14" s="4">
        <v>504.24096337580005</v>
      </c>
      <c r="R14" s="4">
        <v>494.70316337580005</v>
      </c>
      <c r="S14" s="4">
        <v>428.81672592580009</v>
      </c>
      <c r="T14" s="4">
        <v>415.4267259258001</v>
      </c>
      <c r="U14" s="4">
        <v>407.80884592580009</v>
      </c>
      <c r="V14" s="4">
        <v>336.44054144579997</v>
      </c>
      <c r="W14" s="4">
        <v>328.95862144579996</v>
      </c>
      <c r="X14" s="4">
        <v>306.74480096579998</v>
      </c>
      <c r="Y14" s="4">
        <v>332.64518096579997</v>
      </c>
      <c r="Z14" s="4">
        <v>350.8025153658001</v>
      </c>
      <c r="AA14" s="4">
        <v>381.04846536580015</v>
      </c>
      <c r="AB14" s="4">
        <v>488.57748248579992</v>
      </c>
      <c r="AC14" s="4">
        <v>508.14748248579991</v>
      </c>
      <c r="AD14" s="4">
        <v>563.87428112580005</v>
      </c>
      <c r="AE14" s="24"/>
    </row>
    <row r="15" spans="2:31" ht="18.75" x14ac:dyDescent="0.25">
      <c r="B15" s="22">
        <v>12</v>
      </c>
      <c r="C15" s="22"/>
      <c r="D15" s="5"/>
      <c r="E15" s="5"/>
      <c r="F15" s="5"/>
      <c r="G15" s="5"/>
      <c r="H15" s="5"/>
      <c r="I15" s="4">
        <v>625.16099504580018</v>
      </c>
      <c r="J15" s="4">
        <v>640.91999504580008</v>
      </c>
      <c r="K15" s="4">
        <v>625.82870696580017</v>
      </c>
      <c r="L15" s="4">
        <v>602.60426696580021</v>
      </c>
      <c r="M15" s="4">
        <v>597.00930696580019</v>
      </c>
      <c r="N15" s="4">
        <v>564.28853888579999</v>
      </c>
      <c r="O15" s="4">
        <v>541.29973816579991</v>
      </c>
      <c r="P15" s="4">
        <v>531.42512816579995</v>
      </c>
      <c r="Q15" s="4">
        <v>507.59960488579992</v>
      </c>
      <c r="R15" s="4">
        <v>498.06180488579992</v>
      </c>
      <c r="S15" s="4">
        <v>478.08848160579998</v>
      </c>
      <c r="T15" s="4">
        <v>464.6984816058</v>
      </c>
      <c r="U15" s="4">
        <v>457.08060160579998</v>
      </c>
      <c r="V15" s="4">
        <v>317.08878608580005</v>
      </c>
      <c r="W15" s="4">
        <v>309.60686608579999</v>
      </c>
      <c r="X15" s="4">
        <v>331.29035192580005</v>
      </c>
      <c r="Y15" s="4">
        <v>357.19073192580009</v>
      </c>
      <c r="Z15" s="4">
        <v>345.49191776580017</v>
      </c>
      <c r="AA15" s="4">
        <v>375.73786776580022</v>
      </c>
      <c r="AB15" s="4">
        <v>514.45613360579978</v>
      </c>
      <c r="AC15" s="4">
        <v>534.02613360579983</v>
      </c>
      <c r="AD15" s="4">
        <v>580.24524944580003</v>
      </c>
      <c r="AE15" s="24"/>
    </row>
    <row r="16" spans="2:31" ht="18.75" x14ac:dyDescent="0.25">
      <c r="B16" s="22">
        <v>11</v>
      </c>
      <c r="C16" s="22"/>
      <c r="D16" s="5"/>
      <c r="E16" s="5"/>
      <c r="F16" s="5"/>
      <c r="G16" s="5"/>
      <c r="H16" s="5"/>
      <c r="I16" s="4">
        <v>636.49359229380013</v>
      </c>
      <c r="J16" s="4">
        <v>652.25259229380015</v>
      </c>
      <c r="K16" s="4">
        <v>646.56495536580007</v>
      </c>
      <c r="L16" s="4">
        <v>623.34051536580012</v>
      </c>
      <c r="M16" s="4">
        <v>617.7455553658001</v>
      </c>
      <c r="N16" s="4">
        <v>594.28173512579997</v>
      </c>
      <c r="O16" s="4">
        <v>561.39902632580004</v>
      </c>
      <c r="P16" s="4">
        <v>551.52441632580008</v>
      </c>
      <c r="Q16" s="4">
        <v>520.89517654580004</v>
      </c>
      <c r="R16" s="4">
        <v>511.35737654579998</v>
      </c>
      <c r="S16" s="4">
        <v>484.58033676580004</v>
      </c>
      <c r="T16" s="4">
        <v>471.19033676580005</v>
      </c>
      <c r="U16" s="4">
        <v>463.57245676580004</v>
      </c>
      <c r="V16" s="4">
        <v>380.75522024579999</v>
      </c>
      <c r="W16" s="4">
        <v>373.27330024579999</v>
      </c>
      <c r="X16" s="4">
        <v>372.15392096580001</v>
      </c>
      <c r="Y16" s="4">
        <v>398.05430096580005</v>
      </c>
      <c r="Z16" s="4">
        <v>340.18132016580017</v>
      </c>
      <c r="AA16" s="4">
        <v>370.42727016580017</v>
      </c>
      <c r="AB16" s="4">
        <v>540.33478472579975</v>
      </c>
      <c r="AC16" s="4">
        <v>559.9047847257998</v>
      </c>
      <c r="AD16" s="4">
        <v>585.73753904580008</v>
      </c>
      <c r="AE16" s="24"/>
    </row>
    <row r="17" spans="2:31" ht="18.75" x14ac:dyDescent="0.25">
      <c r="B17" s="22">
        <v>10</v>
      </c>
      <c r="C17" s="22"/>
      <c r="D17" s="5"/>
      <c r="E17" s="5"/>
      <c r="F17" s="5"/>
      <c r="G17" s="5"/>
      <c r="H17" s="4">
        <v>650.46972656579987</v>
      </c>
      <c r="I17" s="4">
        <v>645.4471664058002</v>
      </c>
      <c r="J17" s="4">
        <v>661.2061664058001</v>
      </c>
      <c r="K17" s="4">
        <v>667.30120376580021</v>
      </c>
      <c r="L17" s="4">
        <v>644.07676376580025</v>
      </c>
      <c r="M17" s="4">
        <v>638.48180376580024</v>
      </c>
      <c r="N17" s="4">
        <v>626.94736112579994</v>
      </c>
      <c r="O17" s="4">
        <v>575.3592013658</v>
      </c>
      <c r="P17" s="4">
        <v>565.48459136579993</v>
      </c>
      <c r="Q17" s="4">
        <v>547.17679456580004</v>
      </c>
      <c r="R17" s="4">
        <v>537.63899456580009</v>
      </c>
      <c r="S17" s="4">
        <v>523.18339776580001</v>
      </c>
      <c r="T17" s="4">
        <v>509.79339776580002</v>
      </c>
      <c r="U17" s="4">
        <v>502.17551776580001</v>
      </c>
      <c r="V17" s="4">
        <v>404.28537248580005</v>
      </c>
      <c r="W17" s="4">
        <v>396.80345248580005</v>
      </c>
      <c r="X17" s="4">
        <v>389.64618848580011</v>
      </c>
      <c r="Y17" s="4">
        <v>415.54656848580015</v>
      </c>
      <c r="Z17" s="4">
        <v>334.87072256580029</v>
      </c>
      <c r="AA17" s="4">
        <v>365.11667256580029</v>
      </c>
      <c r="AB17" s="4">
        <v>546.94344188579976</v>
      </c>
      <c r="AC17" s="4">
        <v>566.51344188579969</v>
      </c>
      <c r="AD17" s="4">
        <v>581.11737104579902</v>
      </c>
      <c r="AE17" s="24"/>
    </row>
    <row r="18" spans="2:31" ht="18.75" x14ac:dyDescent="0.25">
      <c r="B18" s="22">
        <v>9</v>
      </c>
      <c r="C18" s="22"/>
      <c r="D18" s="5"/>
      <c r="E18" s="5"/>
      <c r="F18" s="5"/>
      <c r="G18" s="5"/>
      <c r="H18" s="4">
        <v>664.66662032579984</v>
      </c>
      <c r="I18" s="4">
        <v>656.34245696580001</v>
      </c>
      <c r="J18" s="4">
        <v>672.10145696580003</v>
      </c>
      <c r="K18" s="4">
        <v>679.28752234080002</v>
      </c>
      <c r="L18" s="4">
        <v>656.06308234080007</v>
      </c>
      <c r="M18" s="4">
        <v>650.46812234080005</v>
      </c>
      <c r="N18" s="4">
        <v>640.0247077158001</v>
      </c>
      <c r="O18" s="4">
        <v>633.86094309079999</v>
      </c>
      <c r="P18" s="4">
        <v>623.98633309079992</v>
      </c>
      <c r="Q18" s="4">
        <v>587.94434262830009</v>
      </c>
      <c r="R18" s="4">
        <v>578.40654262830014</v>
      </c>
      <c r="S18" s="4">
        <v>546.21675216580013</v>
      </c>
      <c r="T18" s="4">
        <v>532.82675216580014</v>
      </c>
      <c r="U18" s="4">
        <v>525.20887216580013</v>
      </c>
      <c r="V18" s="4">
        <v>427.81552472580012</v>
      </c>
      <c r="W18" s="4">
        <v>420.33360472580006</v>
      </c>
      <c r="X18" s="4">
        <v>434.85323456580005</v>
      </c>
      <c r="Y18" s="4">
        <v>460.75361456580009</v>
      </c>
      <c r="Z18" s="4">
        <v>454.36384064579994</v>
      </c>
      <c r="AA18" s="4">
        <v>484.60979064579999</v>
      </c>
      <c r="AB18" s="4">
        <v>553.55209904579965</v>
      </c>
      <c r="AC18" s="4">
        <v>573.1220990457997</v>
      </c>
      <c r="AD18" s="4">
        <v>599.62192256579897</v>
      </c>
      <c r="AE18" s="24"/>
    </row>
    <row r="19" spans="2:31" ht="18.75" x14ac:dyDescent="0.25">
      <c r="B19" s="22">
        <v>8</v>
      </c>
      <c r="C19" s="22"/>
      <c r="D19" s="5"/>
      <c r="E19" s="5"/>
      <c r="F19" s="5"/>
      <c r="G19" s="4">
        <v>703.27451408579998</v>
      </c>
      <c r="H19" s="4">
        <v>678.86351408579992</v>
      </c>
      <c r="I19" s="4">
        <v>687.6360488058001</v>
      </c>
      <c r="J19" s="4">
        <v>703.39504880580012</v>
      </c>
      <c r="K19" s="4">
        <v>703.23466988767507</v>
      </c>
      <c r="L19" s="4">
        <v>680.01022988767511</v>
      </c>
      <c r="M19" s="4">
        <v>674.41526988767509</v>
      </c>
      <c r="N19" s="4">
        <v>656.62541096954999</v>
      </c>
      <c r="O19" s="4">
        <v>643.11520205142506</v>
      </c>
      <c r="P19" s="4">
        <v>633.2405920514251</v>
      </c>
      <c r="Q19" s="4">
        <v>591.45845855048765</v>
      </c>
      <c r="R19" s="4">
        <v>581.9206585504877</v>
      </c>
      <c r="S19" s="4">
        <v>543.99072504955018</v>
      </c>
      <c r="T19" s="4">
        <v>530.60072504955019</v>
      </c>
      <c r="U19" s="4">
        <v>522.98284504955018</v>
      </c>
      <c r="V19" s="4">
        <v>451.34567696580018</v>
      </c>
      <c r="W19" s="4">
        <v>443.86375696580012</v>
      </c>
      <c r="X19" s="4">
        <v>466.20289136579999</v>
      </c>
      <c r="Y19" s="4">
        <v>492.10327136580003</v>
      </c>
      <c r="Z19" s="4">
        <v>535.68139304579961</v>
      </c>
      <c r="AA19" s="4">
        <v>565.9273430457996</v>
      </c>
      <c r="AB19" s="4">
        <v>610.54213088580013</v>
      </c>
      <c r="AC19" s="4">
        <v>630.11213088580007</v>
      </c>
      <c r="AD19" s="4">
        <v>681.81471128579994</v>
      </c>
      <c r="AE19" s="24"/>
    </row>
    <row r="20" spans="2:31" ht="18.75" x14ac:dyDescent="0.25">
      <c r="B20" s="22">
        <v>7</v>
      </c>
      <c r="C20" s="22"/>
      <c r="D20" s="5"/>
      <c r="E20" s="5"/>
      <c r="F20" s="5"/>
      <c r="G20" s="4">
        <v>717.47140784580006</v>
      </c>
      <c r="H20" s="4">
        <v>693.0604078458</v>
      </c>
      <c r="I20" s="4">
        <v>730.10525600580013</v>
      </c>
      <c r="J20" s="4">
        <v>745.86425600580014</v>
      </c>
      <c r="K20" s="4">
        <v>740.94875816579997</v>
      </c>
      <c r="L20" s="4">
        <v>717.72431816580001</v>
      </c>
      <c r="M20" s="4">
        <v>712.1293581658</v>
      </c>
      <c r="N20" s="4">
        <v>679.85710976580003</v>
      </c>
      <c r="O20" s="4">
        <v>677.49862654861249</v>
      </c>
      <c r="P20" s="4">
        <v>667.62401654861253</v>
      </c>
      <c r="Q20" s="4">
        <v>641.98519696954997</v>
      </c>
      <c r="R20" s="4">
        <v>632.44739696954991</v>
      </c>
      <c r="S20" s="4">
        <v>582.72566280767501</v>
      </c>
      <c r="T20" s="4">
        <v>569.33566280767502</v>
      </c>
      <c r="U20" s="4">
        <v>561.71778280767512</v>
      </c>
      <c r="V20" s="4">
        <v>497.72074304580002</v>
      </c>
      <c r="W20" s="4">
        <v>490.23882304580002</v>
      </c>
      <c r="X20" s="4">
        <v>503.79911912579979</v>
      </c>
      <c r="Y20" s="4">
        <v>529.69949912579978</v>
      </c>
      <c r="Z20" s="4">
        <v>584.57471024580013</v>
      </c>
      <c r="AA20" s="4">
        <v>614.82066024580013</v>
      </c>
      <c r="AB20" s="4">
        <v>646.12469216580007</v>
      </c>
      <c r="AC20" s="4">
        <v>665.69469216580001</v>
      </c>
      <c r="AD20" s="4">
        <v>720.49174688580001</v>
      </c>
      <c r="AE20" s="24"/>
    </row>
    <row r="21" spans="2:31" ht="18.75" x14ac:dyDescent="0.25">
      <c r="B21" s="22">
        <v>6</v>
      </c>
      <c r="C21" s="22"/>
      <c r="D21" s="5"/>
      <c r="E21" s="5"/>
      <c r="F21" s="4">
        <v>664.33646000579995</v>
      </c>
      <c r="G21" s="4">
        <v>723.20955020580004</v>
      </c>
      <c r="H21" s="4">
        <v>735.65108912580001</v>
      </c>
      <c r="I21" s="4">
        <v>773.42478176580005</v>
      </c>
      <c r="J21" s="4">
        <v>789.18378176579995</v>
      </c>
      <c r="K21" s="4">
        <v>765.17349296580005</v>
      </c>
      <c r="L21" s="4">
        <v>741.94905296580009</v>
      </c>
      <c r="M21" s="4">
        <v>736.35409296580008</v>
      </c>
      <c r="N21" s="4">
        <v>689.65923094080006</v>
      </c>
      <c r="O21" s="4">
        <v>711.88205104579993</v>
      </c>
      <c r="P21" s="4">
        <v>702.00744104579985</v>
      </c>
      <c r="Q21" s="4">
        <v>664.57682080580003</v>
      </c>
      <c r="R21" s="4">
        <v>655.03902080579996</v>
      </c>
      <c r="S21" s="4">
        <v>621.46060056579995</v>
      </c>
      <c r="T21" s="4">
        <v>608.07060056579996</v>
      </c>
      <c r="U21" s="4">
        <v>600.45272056580006</v>
      </c>
      <c r="V21" s="4">
        <v>544.09580912580009</v>
      </c>
      <c r="W21" s="4">
        <v>536.61388912580014</v>
      </c>
      <c r="X21" s="4">
        <v>529.73383520580001</v>
      </c>
      <c r="Y21" s="4">
        <v>555.63421520579993</v>
      </c>
      <c r="Z21" s="4">
        <v>637.48134416580001</v>
      </c>
      <c r="AA21" s="4">
        <v>667.7272941658</v>
      </c>
      <c r="AB21" s="4">
        <v>656.24441744579997</v>
      </c>
      <c r="AC21" s="4">
        <v>675.8144174457999</v>
      </c>
      <c r="AD21" s="4">
        <v>734.33044784579999</v>
      </c>
      <c r="AE21" s="24"/>
    </row>
    <row r="22" spans="2:31" ht="18.75" x14ac:dyDescent="0.25">
      <c r="B22" s="22">
        <v>5</v>
      </c>
      <c r="C22" s="22"/>
      <c r="D22" s="5"/>
      <c r="E22" s="4">
        <v>751.52792112580005</v>
      </c>
      <c r="F22" s="4">
        <v>737.51992112580001</v>
      </c>
      <c r="G22" s="4">
        <v>773.46161456580012</v>
      </c>
      <c r="H22" s="4">
        <v>749.05061456580006</v>
      </c>
      <c r="I22" s="4">
        <v>792.87932288580009</v>
      </c>
      <c r="J22" s="4">
        <v>808.63832288579999</v>
      </c>
      <c r="K22" s="4">
        <v>811.37724944579998</v>
      </c>
      <c r="L22" s="4">
        <v>788.15280944580002</v>
      </c>
      <c r="M22" s="4">
        <v>782.5578494458</v>
      </c>
      <c r="N22" s="4">
        <v>767.66729600580015</v>
      </c>
      <c r="O22" s="4">
        <v>757.05639256580025</v>
      </c>
      <c r="P22" s="4">
        <v>747.18178256580018</v>
      </c>
      <c r="Q22" s="4">
        <v>716.35904080579996</v>
      </c>
      <c r="R22" s="4">
        <v>706.82124080580002</v>
      </c>
      <c r="S22" s="4">
        <v>686.13931872580008</v>
      </c>
      <c r="T22" s="4">
        <v>672.74931872580009</v>
      </c>
      <c r="U22" s="4">
        <v>665.13143872580008</v>
      </c>
      <c r="V22" s="4">
        <v>638.67739664579983</v>
      </c>
      <c r="W22" s="4">
        <v>631.19547664579989</v>
      </c>
      <c r="X22" s="4">
        <v>619.87227464579996</v>
      </c>
      <c r="Y22" s="4">
        <v>645.7726546458</v>
      </c>
      <c r="Z22" s="4">
        <v>679.12826528580001</v>
      </c>
      <c r="AA22" s="4">
        <v>709.37421528580001</v>
      </c>
      <c r="AB22" s="4">
        <v>736.32698336579983</v>
      </c>
      <c r="AC22" s="4">
        <v>755.89698336579988</v>
      </c>
      <c r="AD22" s="4">
        <v>794.89721648579996</v>
      </c>
      <c r="AE22" s="24"/>
    </row>
    <row r="23" spans="2:31" ht="18.75" x14ac:dyDescent="0.25">
      <c r="B23" s="22">
        <v>4</v>
      </c>
      <c r="C23" s="22"/>
      <c r="D23" s="4">
        <v>726.48135344579998</v>
      </c>
      <c r="E23" s="4">
        <v>786.31155672580007</v>
      </c>
      <c r="F23" s="4">
        <v>772.30355672580004</v>
      </c>
      <c r="G23" s="4">
        <v>794.69154608580016</v>
      </c>
      <c r="H23" s="4">
        <v>770.2805460858001</v>
      </c>
      <c r="I23" s="4">
        <v>824.26635632580007</v>
      </c>
      <c r="J23" s="4">
        <v>840.02535632579998</v>
      </c>
      <c r="K23" s="4">
        <v>865.85024144580018</v>
      </c>
      <c r="L23" s="4">
        <v>842.62580144580022</v>
      </c>
      <c r="M23" s="4">
        <v>837.03084144580021</v>
      </c>
      <c r="N23" s="4">
        <v>821.12039024580008</v>
      </c>
      <c r="O23" s="4">
        <v>788.04162712579989</v>
      </c>
      <c r="P23" s="4">
        <v>778.16701712579993</v>
      </c>
      <c r="Q23" s="4">
        <v>768.14126080580002</v>
      </c>
      <c r="R23" s="4">
        <v>758.60346080579995</v>
      </c>
      <c r="S23" s="4">
        <v>750.8180368858001</v>
      </c>
      <c r="T23" s="4">
        <v>737.42803688580011</v>
      </c>
      <c r="U23" s="4">
        <v>729.8101568858001</v>
      </c>
      <c r="V23" s="4">
        <v>716.25261296579993</v>
      </c>
      <c r="W23" s="4">
        <v>708.77069296579998</v>
      </c>
      <c r="X23" s="4">
        <v>710.01071408579992</v>
      </c>
      <c r="Y23" s="4">
        <v>735.91109408579985</v>
      </c>
      <c r="Z23" s="4">
        <v>753.64326920579992</v>
      </c>
      <c r="AA23" s="4">
        <v>783.88921920579992</v>
      </c>
      <c r="AB23" s="4">
        <v>799.26301568579993</v>
      </c>
      <c r="AC23" s="4">
        <v>818.83301568579998</v>
      </c>
      <c r="AD23" s="4">
        <v>843.55796792579997</v>
      </c>
      <c r="AE23" s="24"/>
    </row>
    <row r="24" spans="2:31" ht="18.75" x14ac:dyDescent="0.25">
      <c r="B24" s="22">
        <v>3</v>
      </c>
      <c r="C24" s="22"/>
      <c r="D24" s="4">
        <v>942.16883491567626</v>
      </c>
      <c r="E24" s="4">
        <v>940.39208304580006</v>
      </c>
      <c r="F24" s="4">
        <v>926.38408304580003</v>
      </c>
      <c r="G24" s="4">
        <v>935.27443328580011</v>
      </c>
      <c r="H24" s="4">
        <v>910.86343328580006</v>
      </c>
      <c r="I24" s="4">
        <v>854.67848240580042</v>
      </c>
      <c r="J24" s="4">
        <v>870.43748240580044</v>
      </c>
      <c r="K24" s="4">
        <v>920.32323344580027</v>
      </c>
      <c r="L24" s="4">
        <v>897.09879344580031</v>
      </c>
      <c r="M24" s="4">
        <v>891.5038334458003</v>
      </c>
      <c r="N24" s="4">
        <v>874.57348448580001</v>
      </c>
      <c r="O24" s="4">
        <v>828.53921656580007</v>
      </c>
      <c r="P24" s="4">
        <v>818.66460656580011</v>
      </c>
      <c r="Q24" s="4">
        <v>819.92348080579995</v>
      </c>
      <c r="R24" s="4">
        <v>810.38568080580001</v>
      </c>
      <c r="S24" s="4">
        <v>815.4967550458</v>
      </c>
      <c r="T24" s="4">
        <v>802.10675504580001</v>
      </c>
      <c r="U24" s="4">
        <v>794.48887504580011</v>
      </c>
      <c r="V24" s="4">
        <v>793.82782928579991</v>
      </c>
      <c r="W24" s="4">
        <v>786.34590928579996</v>
      </c>
      <c r="X24" s="4">
        <v>785.54890352580003</v>
      </c>
      <c r="Y24" s="4">
        <v>811.44928352579996</v>
      </c>
      <c r="Z24" s="4">
        <v>828.15827312580006</v>
      </c>
      <c r="AA24" s="4">
        <v>858.40422312580006</v>
      </c>
      <c r="AB24" s="4">
        <v>846.27984386579999</v>
      </c>
      <c r="AC24" s="4">
        <v>865.84984386580004</v>
      </c>
      <c r="AD24" s="4">
        <v>880.7266138458001</v>
      </c>
      <c r="AE24" s="24"/>
    </row>
    <row r="25" spans="2:31" ht="18.75" x14ac:dyDescent="0.25">
      <c r="B25" s="22">
        <v>2</v>
      </c>
      <c r="C25" s="22"/>
      <c r="D25" s="4">
        <v>1177.5763024506016</v>
      </c>
      <c r="E25" s="4">
        <v>1094.4726093658003</v>
      </c>
      <c r="F25" s="4">
        <v>1080.4646093658002</v>
      </c>
      <c r="G25" s="4">
        <v>1015.7639892858002</v>
      </c>
      <c r="H25" s="4">
        <v>991.35298928580016</v>
      </c>
      <c r="I25" s="4">
        <v>959.35799216580074</v>
      </c>
      <c r="J25" s="4">
        <v>975.11699216580075</v>
      </c>
      <c r="K25" s="4">
        <v>974.79622544580047</v>
      </c>
      <c r="L25" s="4">
        <v>951.57178544580051</v>
      </c>
      <c r="M25" s="4">
        <v>945.9768254458005</v>
      </c>
      <c r="N25" s="4">
        <v>928.02657872580016</v>
      </c>
      <c r="O25" s="4">
        <v>914.35598200579989</v>
      </c>
      <c r="P25" s="4">
        <v>904.48137200579993</v>
      </c>
      <c r="Q25" s="4">
        <v>927.16951984579975</v>
      </c>
      <c r="R25" s="4">
        <v>917.63171984579969</v>
      </c>
      <c r="S25" s="4">
        <v>912.17351088579983</v>
      </c>
      <c r="T25" s="4">
        <v>898.78351088579984</v>
      </c>
      <c r="U25" s="4">
        <v>891.16563088579994</v>
      </c>
      <c r="V25" s="4">
        <v>879.93530192579999</v>
      </c>
      <c r="W25" s="4">
        <v>872.45338192580004</v>
      </c>
      <c r="X25" s="4">
        <v>861.08709296580003</v>
      </c>
      <c r="Y25" s="4">
        <v>886.98747296580007</v>
      </c>
      <c r="Z25" s="4">
        <v>880.4051055258002</v>
      </c>
      <c r="AA25" s="4">
        <v>910.65105552580019</v>
      </c>
      <c r="AB25" s="4">
        <v>893.29667204579994</v>
      </c>
      <c r="AC25" s="4">
        <v>912.86667204579999</v>
      </c>
      <c r="AD25" s="4">
        <v>910.47253592579989</v>
      </c>
      <c r="AE25" s="24"/>
    </row>
    <row r="26" spans="2:31" ht="18.75" x14ac:dyDescent="0.25">
      <c r="B26" s="22">
        <v>1</v>
      </c>
      <c r="C26" s="22"/>
      <c r="D26" s="4">
        <v>1315.8203260743194</v>
      </c>
      <c r="E26" s="4">
        <v>1248.5531356858003</v>
      </c>
      <c r="F26" s="4">
        <v>1234.5451356858005</v>
      </c>
      <c r="G26" s="4">
        <v>1182.6963694458004</v>
      </c>
      <c r="H26" s="4">
        <v>1158.2853694458004</v>
      </c>
      <c r="I26" s="4">
        <v>1064.0375019258011</v>
      </c>
      <c r="J26" s="4">
        <v>1079.7965019258008</v>
      </c>
      <c r="K26" s="4">
        <v>1087.4097345658006</v>
      </c>
      <c r="L26" s="4">
        <v>1064.1852945658006</v>
      </c>
      <c r="M26" s="4">
        <v>1058.5903345658007</v>
      </c>
      <c r="N26" s="4">
        <v>1048.5740872058002</v>
      </c>
      <c r="O26" s="4">
        <v>1042.8374898457996</v>
      </c>
      <c r="P26" s="4">
        <v>1032.9628798457995</v>
      </c>
      <c r="Q26" s="4">
        <v>1034.4155588857996</v>
      </c>
      <c r="R26" s="4">
        <v>1024.8777588857997</v>
      </c>
      <c r="S26" s="4">
        <v>1008.8502667257997</v>
      </c>
      <c r="T26" s="4">
        <v>995.46026672579967</v>
      </c>
      <c r="U26" s="4">
        <v>987.84238672579977</v>
      </c>
      <c r="V26" s="4">
        <v>966.04277456579973</v>
      </c>
      <c r="W26" s="4">
        <v>958.56085456579979</v>
      </c>
      <c r="X26" s="4">
        <v>936.62528240580002</v>
      </c>
      <c r="Y26" s="4">
        <v>962.52566240579995</v>
      </c>
      <c r="Z26" s="4">
        <v>932.65193792580044</v>
      </c>
      <c r="AA26" s="4">
        <v>962.89788792580055</v>
      </c>
      <c r="AB26" s="4">
        <v>924.39429608580019</v>
      </c>
      <c r="AC26" s="4">
        <v>943.96429608580013</v>
      </c>
      <c r="AD26" s="4">
        <v>918.99285248579997</v>
      </c>
      <c r="AE26" s="24"/>
    </row>
    <row r="27" spans="2:31" ht="18.75" x14ac:dyDescent="0.25">
      <c r="B27" s="22">
        <v>0.5</v>
      </c>
      <c r="C27" s="22"/>
      <c r="D27" s="4">
        <v>1607.8370600057999</v>
      </c>
      <c r="E27" s="4">
        <v>1533.6050424057998</v>
      </c>
      <c r="F27" s="4">
        <v>1519.5970424058</v>
      </c>
      <c r="G27" s="4">
        <v>1455.7680248058</v>
      </c>
      <c r="H27" s="4">
        <v>1431.3570248057999</v>
      </c>
      <c r="I27" s="4">
        <v>1327.3580072058</v>
      </c>
      <c r="J27" s="4">
        <v>1343.1170072057998</v>
      </c>
      <c r="K27" s="4">
        <v>1278.1014296057999</v>
      </c>
      <c r="L27" s="4">
        <v>1254.8769896058</v>
      </c>
      <c r="M27" s="4">
        <v>1249.2820296057998</v>
      </c>
      <c r="N27" s="4">
        <v>1207.1283320057998</v>
      </c>
      <c r="O27" s="4">
        <v>1169.2542844058</v>
      </c>
      <c r="P27" s="4">
        <v>1159.3796744058</v>
      </c>
      <c r="Q27" s="4">
        <v>1121.1688168058004</v>
      </c>
      <c r="R27" s="4">
        <v>1111.6310168058003</v>
      </c>
      <c r="S27" s="4">
        <v>1084.7622225657997</v>
      </c>
      <c r="T27" s="4">
        <v>1071.3722225657996</v>
      </c>
      <c r="U27" s="4">
        <v>1063.7543425657998</v>
      </c>
      <c r="V27" s="4">
        <v>1031.3854472057997</v>
      </c>
      <c r="W27" s="4">
        <v>1023.9035272057997</v>
      </c>
      <c r="X27" s="4">
        <v>991.39867184579998</v>
      </c>
      <c r="Y27" s="4">
        <v>1017.2990518458</v>
      </c>
      <c r="Z27" s="4">
        <v>984.89877032580057</v>
      </c>
      <c r="AA27" s="4">
        <v>1015.1447203258006</v>
      </c>
      <c r="AB27" s="4">
        <v>955.49192012580045</v>
      </c>
      <c r="AC27" s="4">
        <v>975.06192012580038</v>
      </c>
      <c r="AD27" s="4">
        <v>941.35636904580099</v>
      </c>
      <c r="AE27" s="24"/>
    </row>
    <row r="28" spans="2:31" ht="18.75" x14ac:dyDescent="0.25">
      <c r="B28" s="22"/>
      <c r="C28" s="22"/>
      <c r="D28" s="3">
        <v>500</v>
      </c>
      <c r="E28" s="3">
        <v>750</v>
      </c>
      <c r="F28" s="3">
        <v>1000</v>
      </c>
      <c r="G28" s="3">
        <v>1250</v>
      </c>
      <c r="H28" s="3">
        <v>1500</v>
      </c>
      <c r="I28" s="3">
        <v>1750</v>
      </c>
      <c r="J28" s="3">
        <v>2000</v>
      </c>
      <c r="K28" s="3">
        <v>2250</v>
      </c>
      <c r="L28" s="3">
        <v>2500</v>
      </c>
      <c r="M28" s="3">
        <v>2750</v>
      </c>
      <c r="N28" s="3">
        <v>3000</v>
      </c>
      <c r="O28" s="3">
        <v>3250</v>
      </c>
      <c r="P28" s="3">
        <v>3500</v>
      </c>
      <c r="Q28" s="3">
        <v>3750</v>
      </c>
      <c r="R28" s="3">
        <v>4000</v>
      </c>
      <c r="S28" s="3">
        <v>4250</v>
      </c>
      <c r="T28" s="3">
        <v>4500</v>
      </c>
      <c r="U28" s="3">
        <v>4750</v>
      </c>
      <c r="V28" s="3">
        <v>5000</v>
      </c>
      <c r="W28" s="3">
        <v>5250</v>
      </c>
      <c r="X28" s="3">
        <v>5500</v>
      </c>
      <c r="Y28" s="3">
        <v>5750</v>
      </c>
      <c r="Z28" s="3">
        <v>6000</v>
      </c>
      <c r="AA28" s="3">
        <v>6250</v>
      </c>
      <c r="AB28" s="3">
        <v>6500</v>
      </c>
      <c r="AC28" s="3">
        <v>6750</v>
      </c>
      <c r="AD28" s="3">
        <v>7000</v>
      </c>
      <c r="AE28" s="3" t="s">
        <v>49</v>
      </c>
    </row>
    <row r="30" spans="2:31" x14ac:dyDescent="0.25">
      <c r="B30" s="2">
        <v>0.5</v>
      </c>
    </row>
    <row r="31" spans="2:31" x14ac:dyDescent="0.25">
      <c r="B31" s="2">
        <v>1</v>
      </c>
    </row>
    <row r="32" spans="2:31" x14ac:dyDescent="0.25">
      <c r="B32" s="2">
        <f t="shared" ref="B32:B52" si="0">B31+1</f>
        <v>2</v>
      </c>
    </row>
    <row r="33" spans="2:2" x14ac:dyDescent="0.25">
      <c r="B33" s="2">
        <f t="shared" si="0"/>
        <v>3</v>
      </c>
    </row>
    <row r="34" spans="2:2" x14ac:dyDescent="0.25">
      <c r="B34" s="2">
        <f t="shared" si="0"/>
        <v>4</v>
      </c>
    </row>
    <row r="35" spans="2:2" x14ac:dyDescent="0.25">
      <c r="B35" s="2">
        <f t="shared" si="0"/>
        <v>5</v>
      </c>
    </row>
    <row r="36" spans="2:2" x14ac:dyDescent="0.25">
      <c r="B36" s="2">
        <f t="shared" si="0"/>
        <v>6</v>
      </c>
    </row>
    <row r="37" spans="2:2" x14ac:dyDescent="0.25">
      <c r="B37" s="2">
        <f t="shared" si="0"/>
        <v>7</v>
      </c>
    </row>
    <row r="38" spans="2:2" x14ac:dyDescent="0.25">
      <c r="B38" s="2">
        <f t="shared" si="0"/>
        <v>8</v>
      </c>
    </row>
    <row r="39" spans="2:2" x14ac:dyDescent="0.25">
      <c r="B39" s="2">
        <f t="shared" si="0"/>
        <v>9</v>
      </c>
    </row>
    <row r="40" spans="2:2" x14ac:dyDescent="0.25">
      <c r="B40" s="2">
        <f t="shared" si="0"/>
        <v>10</v>
      </c>
    </row>
    <row r="41" spans="2:2" x14ac:dyDescent="0.25">
      <c r="B41" s="2">
        <f t="shared" si="0"/>
        <v>11</v>
      </c>
    </row>
    <row r="42" spans="2:2" x14ac:dyDescent="0.25">
      <c r="B42" s="2">
        <f t="shared" si="0"/>
        <v>12</v>
      </c>
    </row>
    <row r="43" spans="2:2" x14ac:dyDescent="0.25">
      <c r="B43" s="2">
        <f t="shared" si="0"/>
        <v>13</v>
      </c>
    </row>
    <row r="44" spans="2:2" x14ac:dyDescent="0.25">
      <c r="B44" s="2">
        <f t="shared" si="0"/>
        <v>14</v>
      </c>
    </row>
    <row r="45" spans="2:2" x14ac:dyDescent="0.25">
      <c r="B45" s="2">
        <f t="shared" si="0"/>
        <v>15</v>
      </c>
    </row>
    <row r="46" spans="2:2" x14ac:dyDescent="0.25">
      <c r="B46" s="2">
        <f t="shared" si="0"/>
        <v>16</v>
      </c>
    </row>
    <row r="47" spans="2:2" x14ac:dyDescent="0.25">
      <c r="B47" s="2">
        <f t="shared" si="0"/>
        <v>17</v>
      </c>
    </row>
    <row r="48" spans="2:2" x14ac:dyDescent="0.25">
      <c r="B48" s="2">
        <f t="shared" si="0"/>
        <v>18</v>
      </c>
    </row>
    <row r="49" spans="2:2" x14ac:dyDescent="0.25">
      <c r="B49" s="2">
        <f t="shared" si="0"/>
        <v>19</v>
      </c>
    </row>
    <row r="50" spans="2:2" x14ac:dyDescent="0.25">
      <c r="B50" s="2">
        <f t="shared" si="0"/>
        <v>20</v>
      </c>
    </row>
    <row r="51" spans="2:2" x14ac:dyDescent="0.25">
      <c r="B51" s="2">
        <f t="shared" si="0"/>
        <v>21</v>
      </c>
    </row>
    <row r="52" spans="2:2" x14ac:dyDescent="0.25">
      <c r="B52" s="2">
        <f t="shared" si="0"/>
        <v>22</v>
      </c>
    </row>
  </sheetData>
  <mergeCells count="27">
    <mergeCell ref="B20:C20"/>
    <mergeCell ref="B15:C15"/>
    <mergeCell ref="B16:C16"/>
    <mergeCell ref="B17:C17"/>
    <mergeCell ref="B18:C18"/>
    <mergeCell ref="B19:C19"/>
    <mergeCell ref="B27:C27"/>
    <mergeCell ref="B28:C28"/>
    <mergeCell ref="B2:AE3"/>
    <mergeCell ref="AE4:AE27"/>
    <mergeCell ref="B21:C21"/>
    <mergeCell ref="B22:C22"/>
    <mergeCell ref="B23:C23"/>
    <mergeCell ref="B24:C24"/>
    <mergeCell ref="B25:C25"/>
    <mergeCell ref="B14:C14"/>
    <mergeCell ref="B4:C4"/>
    <mergeCell ref="B5:C5"/>
    <mergeCell ref="B6:C6"/>
    <mergeCell ref="B7:C7"/>
    <mergeCell ref="B8:C8"/>
    <mergeCell ref="B26:C26"/>
    <mergeCell ref="B9:C9"/>
    <mergeCell ref="B10:C10"/>
    <mergeCell ref="B11:C11"/>
    <mergeCell ref="B12:C12"/>
    <mergeCell ref="B13:C13"/>
  </mergeCells>
  <conditionalFormatting sqref="B4 B2 D4:AB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3:AD27 E22:AD22 F21:AD21 G19:AD20 H17:AD18 I15:AD16 J14:AD14 K13:AD13 L12:AD12 M11:AD11 O10:AD10 P9:AC9 S8:AB8 T7:Z7 V6:Y6 X5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8F8DB-6829-4299-B4A5-78C089AF5894}">
  <dimension ref="B2:H62"/>
  <sheetViews>
    <sheetView workbookViewId="0">
      <selection activeCell="G62" sqref="G62"/>
    </sheetView>
  </sheetViews>
  <sheetFormatPr defaultRowHeight="15" x14ac:dyDescent="0.25"/>
  <cols>
    <col min="1" max="16384" width="9.140625" style="2"/>
  </cols>
  <sheetData>
    <row r="2" spans="2:8" x14ac:dyDescent="0.25">
      <c r="B2" s="26" t="s">
        <v>97</v>
      </c>
      <c r="C2" s="26"/>
      <c r="D2" s="26"/>
      <c r="E2" s="26"/>
      <c r="F2" s="26"/>
      <c r="G2" s="26"/>
    </row>
    <row r="3" spans="2:8" x14ac:dyDescent="0.25">
      <c r="B3" s="26"/>
      <c r="C3" s="26"/>
      <c r="D3" s="26"/>
      <c r="E3" s="26"/>
      <c r="F3" s="26"/>
      <c r="G3" s="26"/>
    </row>
    <row r="4" spans="2:8" x14ac:dyDescent="0.25">
      <c r="B4" s="25" t="s">
        <v>96</v>
      </c>
      <c r="C4" s="25"/>
      <c r="D4" s="25"/>
      <c r="E4" s="25" t="s">
        <v>95</v>
      </c>
      <c r="F4" s="25"/>
      <c r="G4" s="25"/>
    </row>
    <row r="5" spans="2:8" x14ac:dyDescent="0.25">
      <c r="B5" s="25" t="s">
        <v>94</v>
      </c>
      <c r="C5" s="25"/>
      <c r="D5" s="25"/>
      <c r="E5" s="25" t="s">
        <v>93</v>
      </c>
      <c r="F5" s="25"/>
      <c r="G5" s="25"/>
    </row>
    <row r="6" spans="2:8" x14ac:dyDescent="0.25">
      <c r="B6" s="27" t="s">
        <v>92</v>
      </c>
      <c r="C6" s="29"/>
      <c r="D6" s="28"/>
      <c r="E6" s="27">
        <f>ROUND(SUM(F11:G33),0)</f>
        <v>1633</v>
      </c>
      <c r="F6" s="29"/>
      <c r="G6" s="28"/>
    </row>
    <row r="7" spans="2:8" x14ac:dyDescent="0.25">
      <c r="B7" s="26" t="s">
        <v>91</v>
      </c>
      <c r="C7" s="26"/>
      <c r="D7" s="26"/>
      <c r="E7" s="26"/>
      <c r="F7" s="26"/>
      <c r="G7" s="26"/>
    </row>
    <row r="8" spans="2:8" x14ac:dyDescent="0.25">
      <c r="B8" s="26"/>
      <c r="C8" s="26"/>
      <c r="D8" s="26"/>
      <c r="E8" s="26"/>
      <c r="F8" s="26"/>
      <c r="G8" s="26"/>
    </row>
    <row r="9" spans="2:8" x14ac:dyDescent="0.25">
      <c r="B9" s="26" t="s">
        <v>90</v>
      </c>
      <c r="C9" s="26"/>
      <c r="D9" s="26" t="s">
        <v>89</v>
      </c>
      <c r="E9" s="26"/>
      <c r="F9" s="26" t="s">
        <v>88</v>
      </c>
      <c r="G9" s="26"/>
    </row>
    <row r="10" spans="2:8" x14ac:dyDescent="0.25">
      <c r="B10" s="26"/>
      <c r="C10" s="26"/>
      <c r="D10" s="26"/>
      <c r="E10" s="26"/>
      <c r="F10" s="26"/>
      <c r="G10" s="26"/>
    </row>
    <row r="11" spans="2:8" x14ac:dyDescent="0.25">
      <c r="B11" s="25" t="s">
        <v>87</v>
      </c>
      <c r="C11" s="25"/>
      <c r="D11" s="25" t="s">
        <v>54</v>
      </c>
      <c r="E11" s="25"/>
      <c r="F11" s="25">
        <v>129.47</v>
      </c>
      <c r="G11" s="25"/>
    </row>
    <row r="12" spans="2:8" x14ac:dyDescent="0.25">
      <c r="B12" s="25" t="s">
        <v>72</v>
      </c>
      <c r="C12" s="25"/>
      <c r="D12" s="25" t="s">
        <v>54</v>
      </c>
      <c r="E12" s="25"/>
      <c r="F12" s="25">
        <v>71.34</v>
      </c>
      <c r="G12" s="25"/>
    </row>
    <row r="13" spans="2:8" x14ac:dyDescent="0.25">
      <c r="B13" s="25" t="s">
        <v>86</v>
      </c>
      <c r="C13" s="25"/>
      <c r="D13" s="25" t="s">
        <v>54</v>
      </c>
      <c r="E13" s="25"/>
      <c r="F13" s="25">
        <v>66.5</v>
      </c>
      <c r="G13" s="25"/>
      <c r="H13" s="6">
        <f>F11</f>
        <v>129.47</v>
      </c>
    </row>
    <row r="14" spans="2:8" x14ac:dyDescent="0.25">
      <c r="B14" s="25" t="s">
        <v>71</v>
      </c>
      <c r="C14" s="25"/>
      <c r="D14" s="25" t="s">
        <v>54</v>
      </c>
      <c r="E14" s="25"/>
      <c r="F14" s="25">
        <v>115.84</v>
      </c>
      <c r="G14" s="25"/>
      <c r="H14" s="6">
        <f t="shared" ref="H14:H35" si="0">F12+H13</f>
        <v>200.81</v>
      </c>
    </row>
    <row r="15" spans="2:8" x14ac:dyDescent="0.25">
      <c r="B15" s="25" t="s">
        <v>85</v>
      </c>
      <c r="C15" s="25"/>
      <c r="D15" s="25" t="s">
        <v>53</v>
      </c>
      <c r="E15" s="25"/>
      <c r="F15" s="25">
        <v>60.89</v>
      </c>
      <c r="G15" s="25"/>
      <c r="H15" s="6">
        <f t="shared" si="0"/>
        <v>267.31</v>
      </c>
    </row>
    <row r="16" spans="2:8" x14ac:dyDescent="0.25">
      <c r="B16" s="25" t="s">
        <v>70</v>
      </c>
      <c r="C16" s="25"/>
      <c r="D16" s="25" t="s">
        <v>53</v>
      </c>
      <c r="E16" s="25"/>
      <c r="F16" s="25">
        <v>96.26</v>
      </c>
      <c r="G16" s="25"/>
      <c r="H16" s="6">
        <f t="shared" si="0"/>
        <v>383.15</v>
      </c>
    </row>
    <row r="17" spans="2:8" x14ac:dyDescent="0.25">
      <c r="B17" s="25" t="s">
        <v>84</v>
      </c>
      <c r="C17" s="25"/>
      <c r="D17" s="25" t="s">
        <v>53</v>
      </c>
      <c r="E17" s="25"/>
      <c r="F17" s="25">
        <v>96.12</v>
      </c>
      <c r="G17" s="25"/>
      <c r="H17" s="6">
        <f t="shared" si="0"/>
        <v>444.03999999999996</v>
      </c>
    </row>
    <row r="18" spans="2:8" x14ac:dyDescent="0.25">
      <c r="B18" s="25" t="s">
        <v>69</v>
      </c>
      <c r="C18" s="25"/>
      <c r="D18" s="25" t="s">
        <v>53</v>
      </c>
      <c r="E18" s="25"/>
      <c r="F18" s="25">
        <v>80.11</v>
      </c>
      <c r="G18" s="25"/>
      <c r="H18" s="6">
        <f t="shared" si="0"/>
        <v>540.29999999999995</v>
      </c>
    </row>
    <row r="19" spans="2:8" x14ac:dyDescent="0.25">
      <c r="B19" s="25" t="s">
        <v>83</v>
      </c>
      <c r="C19" s="25"/>
      <c r="D19" s="25" t="s">
        <v>77</v>
      </c>
      <c r="E19" s="25"/>
      <c r="F19" s="25">
        <v>77.400000000000006</v>
      </c>
      <c r="G19" s="25"/>
      <c r="H19" s="6">
        <f t="shared" si="0"/>
        <v>636.41999999999996</v>
      </c>
    </row>
    <row r="20" spans="2:8" x14ac:dyDescent="0.25">
      <c r="B20" s="25" t="s">
        <v>68</v>
      </c>
      <c r="C20" s="25"/>
      <c r="D20" s="25" t="s">
        <v>77</v>
      </c>
      <c r="E20" s="25"/>
      <c r="F20" s="25">
        <v>89.47</v>
      </c>
      <c r="G20" s="25"/>
      <c r="H20" s="6">
        <f t="shared" si="0"/>
        <v>716.53</v>
      </c>
    </row>
    <row r="21" spans="2:8" x14ac:dyDescent="0.25">
      <c r="B21" s="25" t="s">
        <v>82</v>
      </c>
      <c r="C21" s="25"/>
      <c r="D21" s="25" t="s">
        <v>77</v>
      </c>
      <c r="E21" s="25"/>
      <c r="F21" s="25">
        <v>37.409999999999997</v>
      </c>
      <c r="G21" s="25"/>
      <c r="H21" s="6">
        <f t="shared" si="0"/>
        <v>793.93</v>
      </c>
    </row>
    <row r="22" spans="2:8" x14ac:dyDescent="0.25">
      <c r="B22" s="25" t="s">
        <v>67</v>
      </c>
      <c r="C22" s="25"/>
      <c r="D22" s="25" t="s">
        <v>77</v>
      </c>
      <c r="E22" s="25"/>
      <c r="F22" s="25">
        <v>56.86</v>
      </c>
      <c r="G22" s="25"/>
      <c r="H22" s="6">
        <f t="shared" si="0"/>
        <v>883.4</v>
      </c>
    </row>
    <row r="23" spans="2:8" x14ac:dyDescent="0.25">
      <c r="B23" s="25" t="s">
        <v>81</v>
      </c>
      <c r="C23" s="25"/>
      <c r="D23" s="25" t="s">
        <v>54</v>
      </c>
      <c r="E23" s="25"/>
      <c r="F23" s="25">
        <v>73.52</v>
      </c>
      <c r="G23" s="25"/>
      <c r="H23" s="6">
        <f t="shared" si="0"/>
        <v>920.81</v>
      </c>
    </row>
    <row r="24" spans="2:8" x14ac:dyDescent="0.25">
      <c r="B24" s="25" t="s">
        <v>66</v>
      </c>
      <c r="C24" s="25"/>
      <c r="D24" s="25" t="s">
        <v>54</v>
      </c>
      <c r="E24" s="25"/>
      <c r="F24" s="25">
        <v>77.14</v>
      </c>
      <c r="G24" s="25"/>
      <c r="H24" s="6">
        <f t="shared" si="0"/>
        <v>977.67</v>
      </c>
    </row>
    <row r="25" spans="2:8" x14ac:dyDescent="0.25">
      <c r="B25" s="25" t="s">
        <v>80</v>
      </c>
      <c r="C25" s="25"/>
      <c r="D25" s="25" t="s">
        <v>54</v>
      </c>
      <c r="E25" s="25"/>
      <c r="F25" s="25">
        <v>61.27</v>
      </c>
      <c r="G25" s="25"/>
      <c r="H25" s="6">
        <f t="shared" si="0"/>
        <v>1051.19</v>
      </c>
    </row>
    <row r="26" spans="2:8" x14ac:dyDescent="0.25">
      <c r="B26" s="25" t="s">
        <v>65</v>
      </c>
      <c r="C26" s="25"/>
      <c r="D26" s="25" t="s">
        <v>54</v>
      </c>
      <c r="E26" s="25"/>
      <c r="F26" s="25">
        <v>18.100000000000001</v>
      </c>
      <c r="G26" s="25"/>
      <c r="H26" s="6">
        <f t="shared" si="0"/>
        <v>1128.3300000000002</v>
      </c>
    </row>
    <row r="27" spans="2:8" x14ac:dyDescent="0.25">
      <c r="B27" s="25" t="s">
        <v>64</v>
      </c>
      <c r="C27" s="25"/>
      <c r="D27" s="25" t="s">
        <v>54</v>
      </c>
      <c r="E27" s="25"/>
      <c r="F27" s="25">
        <v>39.64</v>
      </c>
      <c r="G27" s="25"/>
      <c r="H27" s="6">
        <f t="shared" si="0"/>
        <v>1189.6000000000001</v>
      </c>
    </row>
    <row r="28" spans="2:8" x14ac:dyDescent="0.25">
      <c r="B28" s="25" t="s">
        <v>79</v>
      </c>
      <c r="C28" s="25"/>
      <c r="D28" s="25" t="s">
        <v>53</v>
      </c>
      <c r="E28" s="25"/>
      <c r="F28" s="25">
        <v>26.3</v>
      </c>
      <c r="G28" s="25"/>
      <c r="H28" s="6">
        <f t="shared" si="0"/>
        <v>1207.7</v>
      </c>
    </row>
    <row r="29" spans="2:8" x14ac:dyDescent="0.25">
      <c r="B29" s="25" t="s">
        <v>63</v>
      </c>
      <c r="C29" s="25"/>
      <c r="D29" s="25" t="s">
        <v>53</v>
      </c>
      <c r="E29" s="25"/>
      <c r="F29" s="25">
        <v>129.88</v>
      </c>
      <c r="G29" s="25"/>
      <c r="H29" s="6">
        <f t="shared" si="0"/>
        <v>1247.3400000000001</v>
      </c>
    </row>
    <row r="30" spans="2:8" x14ac:dyDescent="0.25">
      <c r="B30" s="25" t="s">
        <v>78</v>
      </c>
      <c r="C30" s="25"/>
      <c r="D30" s="25" t="s">
        <v>53</v>
      </c>
      <c r="E30" s="25"/>
      <c r="F30" s="25">
        <v>65.98</v>
      </c>
      <c r="G30" s="25"/>
      <c r="H30" s="6">
        <f t="shared" si="0"/>
        <v>1273.6400000000001</v>
      </c>
    </row>
    <row r="31" spans="2:8" x14ac:dyDescent="0.25">
      <c r="B31" s="25" t="s">
        <v>62</v>
      </c>
      <c r="C31" s="25"/>
      <c r="D31" s="25" t="s">
        <v>77</v>
      </c>
      <c r="E31" s="25"/>
      <c r="F31" s="25">
        <v>62.64</v>
      </c>
      <c r="G31" s="25"/>
      <c r="H31" s="6">
        <f t="shared" si="0"/>
        <v>1403.52</v>
      </c>
    </row>
    <row r="32" spans="2:8" x14ac:dyDescent="0.25">
      <c r="B32" s="25" t="s">
        <v>61</v>
      </c>
      <c r="C32" s="25"/>
      <c r="D32" s="25" t="s">
        <v>77</v>
      </c>
      <c r="E32" s="25"/>
      <c r="F32" s="25">
        <v>58.34</v>
      </c>
      <c r="G32" s="25"/>
      <c r="H32" s="6">
        <f t="shared" si="0"/>
        <v>1469.5</v>
      </c>
    </row>
    <row r="33" spans="2:8" x14ac:dyDescent="0.25">
      <c r="B33" s="25" t="s">
        <v>60</v>
      </c>
      <c r="C33" s="25"/>
      <c r="D33" s="25" t="s">
        <v>77</v>
      </c>
      <c r="E33" s="25"/>
      <c r="F33" s="25">
        <v>42.77</v>
      </c>
      <c r="G33" s="25"/>
      <c r="H33" s="6">
        <f t="shared" si="0"/>
        <v>1532.14</v>
      </c>
    </row>
    <row r="34" spans="2:8" x14ac:dyDescent="0.25">
      <c r="B34" s="26" t="s">
        <v>76</v>
      </c>
      <c r="C34" s="26"/>
      <c r="D34" s="26"/>
      <c r="E34" s="26"/>
      <c r="F34" s="26"/>
      <c r="G34" s="26"/>
      <c r="H34" s="6">
        <f t="shared" si="0"/>
        <v>1590.48</v>
      </c>
    </row>
    <row r="35" spans="2:8" x14ac:dyDescent="0.25">
      <c r="B35" s="26"/>
      <c r="C35" s="26"/>
      <c r="D35" s="26"/>
      <c r="E35" s="26"/>
      <c r="F35" s="26"/>
      <c r="G35" s="26"/>
      <c r="H35" s="6">
        <f t="shared" si="0"/>
        <v>1633.25</v>
      </c>
    </row>
    <row r="36" spans="2:8" x14ac:dyDescent="0.25">
      <c r="B36" s="26" t="s">
        <v>75</v>
      </c>
      <c r="C36" s="26"/>
      <c r="D36" s="26" t="s">
        <v>74</v>
      </c>
      <c r="E36" s="26"/>
      <c r="F36" s="26" t="s">
        <v>73</v>
      </c>
      <c r="G36" s="26"/>
    </row>
    <row r="37" spans="2:8" x14ac:dyDescent="0.25">
      <c r="B37" s="26"/>
      <c r="C37" s="26"/>
      <c r="D37" s="26"/>
      <c r="E37" s="26"/>
      <c r="F37" s="26"/>
      <c r="G37" s="26"/>
    </row>
    <row r="38" spans="2:8" x14ac:dyDescent="0.25">
      <c r="B38" s="25" t="s">
        <v>72</v>
      </c>
      <c r="C38" s="25"/>
      <c r="D38" s="25">
        <v>22.94</v>
      </c>
      <c r="E38" s="25"/>
      <c r="F38" s="25">
        <f t="shared" ref="F38:F50" si="1">SQRT(D38*0.7*9.81)</f>
        <v>12.551054935741458</v>
      </c>
      <c r="G38" s="25"/>
    </row>
    <row r="39" spans="2:8" x14ac:dyDescent="0.25">
      <c r="B39" s="25" t="s">
        <v>71</v>
      </c>
      <c r="C39" s="25"/>
      <c r="D39" s="25">
        <v>158.5</v>
      </c>
      <c r="E39" s="25"/>
      <c r="F39" s="25">
        <f t="shared" si="1"/>
        <v>32.991203373020511</v>
      </c>
      <c r="G39" s="25"/>
    </row>
    <row r="40" spans="2:8" x14ac:dyDescent="0.25">
      <c r="B40" s="25" t="s">
        <v>70</v>
      </c>
      <c r="C40" s="25"/>
      <c r="D40" s="25">
        <v>31.72</v>
      </c>
      <c r="E40" s="25"/>
      <c r="F40" s="25">
        <f t="shared" si="1"/>
        <v>14.758768241286262</v>
      </c>
      <c r="G40" s="25"/>
    </row>
    <row r="41" spans="2:8" x14ac:dyDescent="0.25">
      <c r="B41" s="25" t="s">
        <v>69</v>
      </c>
      <c r="C41" s="25"/>
      <c r="D41" s="25">
        <v>24.41</v>
      </c>
      <c r="E41" s="25"/>
      <c r="F41" s="25">
        <f t="shared" si="1"/>
        <v>12.946948289075692</v>
      </c>
      <c r="G41" s="25"/>
    </row>
    <row r="42" spans="2:8" x14ac:dyDescent="0.25">
      <c r="B42" s="25" t="s">
        <v>68</v>
      </c>
      <c r="C42" s="25"/>
      <c r="D42" s="25">
        <v>23.88</v>
      </c>
      <c r="E42" s="25"/>
      <c r="F42" s="25">
        <f t="shared" si="1"/>
        <v>12.805622202767033</v>
      </c>
      <c r="G42" s="25"/>
    </row>
    <row r="43" spans="2:8" x14ac:dyDescent="0.25">
      <c r="B43" s="25" t="s">
        <v>67</v>
      </c>
      <c r="C43" s="25"/>
      <c r="D43" s="25">
        <v>18.89</v>
      </c>
      <c r="E43" s="25"/>
      <c r="F43" s="25">
        <f t="shared" si="1"/>
        <v>11.389364775965339</v>
      </c>
      <c r="G43" s="25"/>
    </row>
    <row r="44" spans="2:8" x14ac:dyDescent="0.25">
      <c r="B44" s="25" t="s">
        <v>66</v>
      </c>
      <c r="C44" s="25"/>
      <c r="D44" s="25">
        <v>53.94</v>
      </c>
      <c r="E44" s="25"/>
      <c r="F44" s="25">
        <f t="shared" si="1"/>
        <v>19.245934116067218</v>
      </c>
      <c r="G44" s="25"/>
    </row>
    <row r="45" spans="2:8" x14ac:dyDescent="0.25">
      <c r="B45" s="25" t="s">
        <v>65</v>
      </c>
      <c r="C45" s="25"/>
      <c r="D45" s="25">
        <v>37.54</v>
      </c>
      <c r="E45" s="25"/>
      <c r="F45" s="25">
        <f t="shared" si="1"/>
        <v>16.055752240240878</v>
      </c>
      <c r="G45" s="25"/>
    </row>
    <row r="46" spans="2:8" x14ac:dyDescent="0.25">
      <c r="B46" s="25" t="s">
        <v>64</v>
      </c>
      <c r="C46" s="25"/>
      <c r="D46" s="25">
        <v>78.11</v>
      </c>
      <c r="E46" s="25"/>
      <c r="F46" s="25">
        <f t="shared" si="1"/>
        <v>23.159908678576436</v>
      </c>
      <c r="G46" s="25"/>
    </row>
    <row r="47" spans="2:8" x14ac:dyDescent="0.25">
      <c r="B47" s="25" t="s">
        <v>63</v>
      </c>
      <c r="C47" s="25"/>
      <c r="D47" s="25">
        <v>103.95</v>
      </c>
      <c r="E47" s="25"/>
      <c r="F47" s="25">
        <f t="shared" si="1"/>
        <v>26.717497075886431</v>
      </c>
      <c r="G47" s="25"/>
    </row>
    <row r="48" spans="2:8" x14ac:dyDescent="0.25">
      <c r="B48" s="25" t="s">
        <v>62</v>
      </c>
      <c r="C48" s="25"/>
      <c r="D48" s="25">
        <v>34.14</v>
      </c>
      <c r="E48" s="25"/>
      <c r="F48" s="25">
        <f t="shared" si="1"/>
        <v>15.311413390017265</v>
      </c>
      <c r="G48" s="25"/>
    </row>
    <row r="49" spans="2:7" x14ac:dyDescent="0.25">
      <c r="B49" s="25" t="s">
        <v>61</v>
      </c>
      <c r="C49" s="25"/>
      <c r="D49" s="25">
        <v>34.450000000000003</v>
      </c>
      <c r="E49" s="25"/>
      <c r="F49" s="25">
        <f t="shared" si="1"/>
        <v>15.380772087252318</v>
      </c>
      <c r="G49" s="25"/>
    </row>
    <row r="50" spans="2:7" x14ac:dyDescent="0.25">
      <c r="B50" s="25" t="s">
        <v>60</v>
      </c>
      <c r="C50" s="25"/>
      <c r="D50" s="25">
        <v>47.65</v>
      </c>
      <c r="E50" s="25"/>
      <c r="F50" s="25">
        <f t="shared" si="1"/>
        <v>18.089017386248486</v>
      </c>
      <c r="G50" s="25"/>
    </row>
    <row r="51" spans="2:7" x14ac:dyDescent="0.25">
      <c r="B51" s="26" t="s">
        <v>59</v>
      </c>
      <c r="C51" s="26"/>
      <c r="D51" s="26"/>
      <c r="E51" s="26"/>
      <c r="F51" s="26"/>
      <c r="G51" s="26"/>
    </row>
    <row r="52" spans="2:7" x14ac:dyDescent="0.25">
      <c r="B52" s="26"/>
      <c r="C52" s="26"/>
      <c r="D52" s="26"/>
      <c r="E52" s="26"/>
      <c r="F52" s="26"/>
      <c r="G52" s="26"/>
    </row>
    <row r="53" spans="2:7" x14ac:dyDescent="0.25">
      <c r="B53" s="27" t="s">
        <v>58</v>
      </c>
      <c r="C53" s="29"/>
      <c r="D53" s="29"/>
      <c r="E53" s="28"/>
      <c r="F53" s="27">
        <v>0.02</v>
      </c>
      <c r="G53" s="28"/>
    </row>
    <row r="54" spans="2:7" x14ac:dyDescent="0.25">
      <c r="B54" s="27" t="s">
        <v>57</v>
      </c>
      <c r="C54" s="29"/>
      <c r="D54" s="29"/>
      <c r="E54" s="28"/>
      <c r="F54" s="27">
        <v>0.04</v>
      </c>
      <c r="G54" s="28"/>
    </row>
    <row r="55" spans="2:7" x14ac:dyDescent="0.25">
      <c r="B55" s="27" t="s">
        <v>56</v>
      </c>
      <c r="C55" s="29"/>
      <c r="D55" s="29"/>
      <c r="E55" s="28"/>
      <c r="F55" s="27">
        <v>0.06</v>
      </c>
      <c r="G55" s="28"/>
    </row>
    <row r="56" spans="2:7" x14ac:dyDescent="0.25">
      <c r="B56" s="27" t="s">
        <v>55</v>
      </c>
      <c r="C56" s="29"/>
      <c r="D56" s="29"/>
      <c r="E56" s="28"/>
      <c r="F56" s="27">
        <v>9.81</v>
      </c>
      <c r="G56" s="28"/>
    </row>
    <row r="57" spans="2:7" x14ac:dyDescent="0.25">
      <c r="B57" s="27" t="s">
        <v>145</v>
      </c>
      <c r="C57" s="29"/>
      <c r="D57" s="29"/>
      <c r="E57" s="28"/>
      <c r="F57" s="27">
        <v>1.167</v>
      </c>
      <c r="G57" s="28"/>
    </row>
    <row r="60" spans="2:7" x14ac:dyDescent="0.25">
      <c r="B60" s="6" t="s">
        <v>54</v>
      </c>
    </row>
    <row r="61" spans="2:7" x14ac:dyDescent="0.25">
      <c r="B61" s="6" t="s">
        <v>53</v>
      </c>
    </row>
    <row r="62" spans="2:7" x14ac:dyDescent="0.25">
      <c r="B62" s="6" t="s">
        <v>52</v>
      </c>
    </row>
  </sheetData>
  <mergeCells count="134">
    <mergeCell ref="B49:C49"/>
    <mergeCell ref="D49:E49"/>
    <mergeCell ref="F49:G49"/>
    <mergeCell ref="F56:G56"/>
    <mergeCell ref="B50:C50"/>
    <mergeCell ref="D50:E50"/>
    <mergeCell ref="F50:G50"/>
    <mergeCell ref="B51:G52"/>
    <mergeCell ref="F53:G53"/>
    <mergeCell ref="B43:C43"/>
    <mergeCell ref="D43:E43"/>
    <mergeCell ref="F43:G43"/>
    <mergeCell ref="B40:C40"/>
    <mergeCell ref="B46:C46"/>
    <mergeCell ref="D46:E46"/>
    <mergeCell ref="B48:C48"/>
    <mergeCell ref="D48:E48"/>
    <mergeCell ref="F48:G48"/>
    <mergeCell ref="B42:C42"/>
    <mergeCell ref="D42:E42"/>
    <mergeCell ref="F42:G42"/>
    <mergeCell ref="B34:G35"/>
    <mergeCell ref="B36:C37"/>
    <mergeCell ref="D36:E37"/>
    <mergeCell ref="F36:G37"/>
    <mergeCell ref="F57:G57"/>
    <mergeCell ref="B6:D6"/>
    <mergeCell ref="E6:G6"/>
    <mergeCell ref="B53:E53"/>
    <mergeCell ref="B54:E54"/>
    <mergeCell ref="B55:E55"/>
    <mergeCell ref="B56:E56"/>
    <mergeCell ref="B57:E57"/>
    <mergeCell ref="F54:G54"/>
    <mergeCell ref="F55:G55"/>
    <mergeCell ref="F46:G46"/>
    <mergeCell ref="B47:C47"/>
    <mergeCell ref="D47:E47"/>
    <mergeCell ref="F47:G47"/>
    <mergeCell ref="B44:C44"/>
    <mergeCell ref="D44:E44"/>
    <mergeCell ref="F44:G44"/>
    <mergeCell ref="B45:C45"/>
    <mergeCell ref="D45:E45"/>
    <mergeCell ref="F45:G45"/>
    <mergeCell ref="B38:C38"/>
    <mergeCell ref="D38:E38"/>
    <mergeCell ref="F38:G38"/>
    <mergeCell ref="B39:C39"/>
    <mergeCell ref="D39:E39"/>
    <mergeCell ref="F39:G39"/>
    <mergeCell ref="D40:E40"/>
    <mergeCell ref="F40:G40"/>
    <mergeCell ref="B41:C41"/>
    <mergeCell ref="D41:E41"/>
    <mergeCell ref="F41:G41"/>
    <mergeCell ref="B33:C33"/>
    <mergeCell ref="D33:E33"/>
    <mergeCell ref="F33:G33"/>
    <mergeCell ref="B26:C26"/>
    <mergeCell ref="D26:E26"/>
    <mergeCell ref="F26:G26"/>
    <mergeCell ref="B27:C27"/>
    <mergeCell ref="D27:E27"/>
    <mergeCell ref="F27:G27"/>
    <mergeCell ref="B28:C28"/>
    <mergeCell ref="D28:E28"/>
    <mergeCell ref="F28:G28"/>
    <mergeCell ref="B29:C29"/>
    <mergeCell ref="D29:E29"/>
    <mergeCell ref="F29:G29"/>
    <mergeCell ref="B30:C30"/>
    <mergeCell ref="D30:E30"/>
    <mergeCell ref="F30:G30"/>
    <mergeCell ref="B31:C31"/>
    <mergeCell ref="D31:E31"/>
    <mergeCell ref="F31:G31"/>
    <mergeCell ref="B32:C32"/>
    <mergeCell ref="D32:E32"/>
    <mergeCell ref="F32:G32"/>
    <mergeCell ref="B25:C25"/>
    <mergeCell ref="D25:E25"/>
    <mergeCell ref="F25:G25"/>
    <mergeCell ref="B21:C21"/>
    <mergeCell ref="D21:E21"/>
    <mergeCell ref="F21:G21"/>
    <mergeCell ref="B18:C18"/>
    <mergeCell ref="D18:E18"/>
    <mergeCell ref="F18:G18"/>
    <mergeCell ref="B19:C19"/>
    <mergeCell ref="D19:E19"/>
    <mergeCell ref="F19:G19"/>
    <mergeCell ref="B22:C22"/>
    <mergeCell ref="D22:E22"/>
    <mergeCell ref="F22:G22"/>
    <mergeCell ref="B23:C23"/>
    <mergeCell ref="D23:E23"/>
    <mergeCell ref="F23:G23"/>
    <mergeCell ref="B24:C24"/>
    <mergeCell ref="D24:E24"/>
    <mergeCell ref="F24:G24"/>
    <mergeCell ref="B15:C15"/>
    <mergeCell ref="D15:E15"/>
    <mergeCell ref="F15:G15"/>
    <mergeCell ref="B20:C20"/>
    <mergeCell ref="D20:E20"/>
    <mergeCell ref="F20:G20"/>
    <mergeCell ref="B16:C16"/>
    <mergeCell ref="D16:E16"/>
    <mergeCell ref="F16:G16"/>
    <mergeCell ref="B17:C17"/>
    <mergeCell ref="D17:E17"/>
    <mergeCell ref="F17:G17"/>
    <mergeCell ref="B14:C14"/>
    <mergeCell ref="D14:E14"/>
    <mergeCell ref="F14:G14"/>
    <mergeCell ref="B2:G3"/>
    <mergeCell ref="B7:G8"/>
    <mergeCell ref="B9:C10"/>
    <mergeCell ref="D9:E10"/>
    <mergeCell ref="F9:G10"/>
    <mergeCell ref="B4:D4"/>
    <mergeCell ref="B5:D5"/>
    <mergeCell ref="E4:G4"/>
    <mergeCell ref="E5:G5"/>
    <mergeCell ref="B11:C11"/>
    <mergeCell ref="D11:E11"/>
    <mergeCell ref="F11:G11"/>
    <mergeCell ref="B12:C12"/>
    <mergeCell ref="D12:E12"/>
    <mergeCell ref="F12:G12"/>
    <mergeCell ref="B13:C13"/>
    <mergeCell ref="D13:E13"/>
    <mergeCell ref="F13:G1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9CEFA-0D80-498D-81BF-9E0FD9003BC2}">
  <dimension ref="B1:Y10"/>
  <sheetViews>
    <sheetView zoomScale="85" zoomScaleNormal="85" workbookViewId="0">
      <selection activeCell="I28" sqref="I28:I29"/>
    </sheetView>
  </sheetViews>
  <sheetFormatPr defaultRowHeight="15" x14ac:dyDescent="0.25"/>
  <sheetData>
    <row r="1" spans="2:25" x14ac:dyDescent="0.25">
      <c r="Q1" s="17"/>
      <c r="R1" s="17"/>
      <c r="S1" s="17"/>
      <c r="T1" s="17"/>
      <c r="U1" s="17"/>
      <c r="V1" s="17"/>
      <c r="W1" s="17"/>
      <c r="X1" s="17"/>
      <c r="Y1" s="17"/>
    </row>
    <row r="2" spans="2:25" x14ac:dyDescent="0.25">
      <c r="B2" s="30" t="s">
        <v>142</v>
      </c>
      <c r="C2" s="30"/>
      <c r="D2" s="30"/>
      <c r="E2" s="30"/>
      <c r="G2" s="30" t="s">
        <v>150</v>
      </c>
      <c r="H2" s="30"/>
      <c r="I2" s="30"/>
      <c r="J2" s="30"/>
      <c r="L2" s="30" t="s">
        <v>146</v>
      </c>
      <c r="M2" s="30"/>
      <c r="N2" s="30"/>
      <c r="O2" s="30"/>
      <c r="Q2" s="30" t="s">
        <v>151</v>
      </c>
      <c r="R2" s="30"/>
      <c r="S2" s="30"/>
      <c r="T2" s="30"/>
      <c r="U2" s="17"/>
      <c r="V2" s="17"/>
      <c r="W2" s="17"/>
      <c r="X2" s="17"/>
      <c r="Y2" s="17"/>
    </row>
    <row r="3" spans="2:25" x14ac:dyDescent="0.25">
      <c r="B3" s="30" t="s">
        <v>54</v>
      </c>
      <c r="C3" s="30"/>
      <c r="D3" s="31">
        <f>'Track '!$F$53*9.81*('Vehicle '!$F$40)</f>
        <v>127.39266000000001</v>
      </c>
      <c r="E3" s="31"/>
      <c r="G3" s="30" t="s">
        <v>54</v>
      </c>
      <c r="H3" s="30"/>
      <c r="I3" s="31">
        <f>((((N3)*('Vehicle '!$F$40)*(9.81)*(COS(0))*(('Vehicle '!$F$27)-(0.02)*(('Vehicle '!$F$28)-('Vehicle '!$F$49))))/('Vehicle '!$F$21))/(((1)-((0.6)*('Vehicle '!$F$28)))/('Vehicle '!$F$21)))*(10^-3)</f>
        <v>3.2969368332473539</v>
      </c>
      <c r="J3" s="31"/>
      <c r="L3" s="30" t="s">
        <v>54</v>
      </c>
      <c r="M3" s="30"/>
      <c r="N3" s="31">
        <v>0.85</v>
      </c>
      <c r="O3" s="31"/>
      <c r="Q3" s="30" t="s">
        <v>54</v>
      </c>
      <c r="R3" s="30"/>
      <c r="S3" s="31">
        <f>N8/'Vehicle '!$F$40</f>
        <v>4.1692499999999999</v>
      </c>
      <c r="T3" s="31"/>
      <c r="U3" s="17"/>
      <c r="V3" s="17"/>
      <c r="W3" s="17"/>
      <c r="X3" s="17"/>
      <c r="Y3" s="17"/>
    </row>
    <row r="4" spans="2:25" x14ac:dyDescent="0.25">
      <c r="B4" s="30" t="s">
        <v>53</v>
      </c>
      <c r="C4" s="30"/>
      <c r="D4" s="31">
        <f>'Track '!$F$54*9.81*('Vehicle '!$F$40)</f>
        <v>254.78532000000001</v>
      </c>
      <c r="E4" s="31"/>
      <c r="G4" s="30" t="s">
        <v>53</v>
      </c>
      <c r="H4" s="30"/>
      <c r="I4" s="31">
        <f>((((N4)*('Vehicle '!$F$40)*(9.81)*(COS(0))*(('Vehicle '!$F$27)-(0.02)*(('Vehicle '!$F$28)-('Vehicle '!$F$49))))/('Vehicle '!$F$21))/(((1)-((0.6)*('Vehicle '!$F$28)))/('Vehicle '!$F$21)))*(10^-3)</f>
        <v>2.3272495293510729</v>
      </c>
      <c r="J4" s="31"/>
      <c r="L4" s="30" t="s">
        <v>53</v>
      </c>
      <c r="M4" s="30"/>
      <c r="N4" s="31">
        <v>0.6</v>
      </c>
      <c r="O4" s="31"/>
      <c r="Q4" s="30" t="s">
        <v>53</v>
      </c>
      <c r="R4" s="30"/>
      <c r="S4" s="31">
        <f>N9/'Vehicle '!$F$40</f>
        <v>2.9430000000000001</v>
      </c>
      <c r="T4" s="31"/>
      <c r="U4" s="17"/>
      <c r="V4" s="17"/>
      <c r="W4" s="17"/>
      <c r="X4" s="17"/>
      <c r="Y4" s="17"/>
    </row>
    <row r="5" spans="2:25" x14ac:dyDescent="0.25">
      <c r="B5" s="33" t="s">
        <v>77</v>
      </c>
      <c r="C5" s="33"/>
      <c r="D5" s="31">
        <f>'Track '!$F$55*9.81*('Vehicle '!$F$40)</f>
        <v>382.17797999999999</v>
      </c>
      <c r="E5" s="31"/>
      <c r="G5" s="30" t="s">
        <v>77</v>
      </c>
      <c r="H5" s="30"/>
      <c r="I5" s="31">
        <f>((((N5)*('Vehicle '!$F$40)*(9.81)*(COS(0))*(('Vehicle '!$F$27)-(0.02)*(('Vehicle '!$F$28)-('Vehicle '!$F$49))))/('Vehicle '!$F$21))/(((1)-((0.6)*('Vehicle '!$F$28)))/('Vehicle '!$F$21)))*(10^-3)</f>
        <v>2.6375494665978829</v>
      </c>
      <c r="J5" s="31"/>
      <c r="L5" s="30" t="s">
        <v>77</v>
      </c>
      <c r="M5" s="30"/>
      <c r="N5" s="31">
        <v>0.68</v>
      </c>
      <c r="O5" s="31"/>
      <c r="Q5" s="30" t="s">
        <v>77</v>
      </c>
      <c r="R5" s="30"/>
      <c r="S5" s="31">
        <f>N10/'Vehicle '!$F$40</f>
        <v>3.3354000000000004</v>
      </c>
      <c r="T5" s="31"/>
      <c r="U5" s="17"/>
      <c r="V5" s="17"/>
      <c r="W5" s="17"/>
      <c r="X5" s="17"/>
      <c r="Y5" s="17"/>
    </row>
    <row r="6" spans="2:25" x14ac:dyDescent="0.25">
      <c r="B6" s="32"/>
      <c r="C6" s="32"/>
      <c r="D6" s="32"/>
      <c r="E6" s="32"/>
      <c r="G6" s="32"/>
      <c r="H6" s="32"/>
      <c r="I6" s="32"/>
      <c r="J6" s="32"/>
      <c r="L6" s="32"/>
      <c r="M6" s="32"/>
      <c r="N6" s="32"/>
      <c r="O6" s="32"/>
      <c r="U6" s="17"/>
      <c r="V6" s="34"/>
      <c r="W6" s="34"/>
      <c r="X6" s="34"/>
      <c r="Y6" s="34"/>
    </row>
    <row r="7" spans="2:25" x14ac:dyDescent="0.25">
      <c r="B7" s="30" t="s">
        <v>143</v>
      </c>
      <c r="C7" s="30"/>
      <c r="D7" s="30"/>
      <c r="E7" s="30"/>
      <c r="G7" s="30" t="s">
        <v>152</v>
      </c>
      <c r="H7" s="30"/>
      <c r="I7" s="30"/>
      <c r="J7" s="30"/>
      <c r="L7" s="30" t="s">
        <v>147</v>
      </c>
      <c r="M7" s="30"/>
      <c r="N7" s="30"/>
      <c r="O7" s="30"/>
      <c r="U7" s="17"/>
      <c r="V7" s="17"/>
      <c r="W7" s="17"/>
      <c r="X7" s="17"/>
      <c r="Y7" s="17"/>
    </row>
    <row r="8" spans="2:25" x14ac:dyDescent="0.25">
      <c r="B8" s="30" t="s">
        <v>54</v>
      </c>
      <c r="C8" s="30"/>
      <c r="D8" s="31">
        <f>0-D3</f>
        <v>-127.39266000000001</v>
      </c>
      <c r="E8" s="31"/>
      <c r="G8" s="30" t="s">
        <v>54</v>
      </c>
      <c r="H8" s="30"/>
      <c r="I8" s="31">
        <f>N3*9.81</f>
        <v>8.3384999999999998</v>
      </c>
      <c r="J8" s="31"/>
      <c r="L8" s="30" t="s">
        <v>54</v>
      </c>
      <c r="M8" s="30"/>
      <c r="N8" s="31">
        <f>2*N3*('Vehicle '!$F$40*9.81/4)</f>
        <v>2707.0940249999999</v>
      </c>
      <c r="O8" s="31"/>
      <c r="U8" s="17"/>
      <c r="V8" s="17"/>
      <c r="W8" s="17"/>
      <c r="X8" s="17"/>
      <c r="Y8" s="17"/>
    </row>
    <row r="9" spans="2:25" x14ac:dyDescent="0.25">
      <c r="B9" s="30" t="s">
        <v>53</v>
      </c>
      <c r="C9" s="30"/>
      <c r="D9" s="31">
        <f>0-D4</f>
        <v>-254.78532000000001</v>
      </c>
      <c r="E9" s="31"/>
      <c r="G9" s="30" t="s">
        <v>53</v>
      </c>
      <c r="H9" s="30"/>
      <c r="I9" s="31">
        <f>N4*9.81</f>
        <v>5.8860000000000001</v>
      </c>
      <c r="J9" s="31"/>
      <c r="L9" s="30" t="s">
        <v>53</v>
      </c>
      <c r="M9" s="30"/>
      <c r="N9" s="31">
        <f>2*N4*('Vehicle '!$F$40*9.81/4)</f>
        <v>1910.8898999999999</v>
      </c>
      <c r="O9" s="31"/>
      <c r="U9" s="17"/>
      <c r="V9" s="17"/>
      <c r="W9" s="17"/>
      <c r="X9" s="17"/>
      <c r="Y9" s="17"/>
    </row>
    <row r="10" spans="2:25" x14ac:dyDescent="0.25">
      <c r="B10" s="30" t="s">
        <v>77</v>
      </c>
      <c r="C10" s="30"/>
      <c r="D10" s="31">
        <f>0-D5</f>
        <v>-382.17797999999999</v>
      </c>
      <c r="E10" s="31"/>
      <c r="G10" s="30" t="s">
        <v>77</v>
      </c>
      <c r="H10" s="30"/>
      <c r="I10" s="31">
        <f>N5*9.81</f>
        <v>6.6708000000000007</v>
      </c>
      <c r="J10" s="31"/>
      <c r="L10" s="30" t="s">
        <v>77</v>
      </c>
      <c r="M10" s="30"/>
      <c r="N10" s="31">
        <f>2*N5*('Vehicle '!$F$40*9.81/4)</f>
        <v>2165.6752200000001</v>
      </c>
      <c r="O10" s="31"/>
    </row>
  </sheetData>
  <mergeCells count="57">
    <mergeCell ref="L9:M9"/>
    <mergeCell ref="N9:O9"/>
    <mergeCell ref="S3:T3"/>
    <mergeCell ref="Q4:R4"/>
    <mergeCell ref="S4:T4"/>
    <mergeCell ref="Q5:R5"/>
    <mergeCell ref="S5:T5"/>
    <mergeCell ref="X6:Y6"/>
    <mergeCell ref="L2:O2"/>
    <mergeCell ref="L3:M3"/>
    <mergeCell ref="N3:O3"/>
    <mergeCell ref="L4:M4"/>
    <mergeCell ref="N4:O4"/>
    <mergeCell ref="L5:M5"/>
    <mergeCell ref="N5:O5"/>
    <mergeCell ref="Q2:T2"/>
    <mergeCell ref="Q3:R3"/>
    <mergeCell ref="L6:M6"/>
    <mergeCell ref="N6:O6"/>
    <mergeCell ref="G10:H10"/>
    <mergeCell ref="I10:J10"/>
    <mergeCell ref="V6:W6"/>
    <mergeCell ref="D10:E10"/>
    <mergeCell ref="G6:H6"/>
    <mergeCell ref="I6:J6"/>
    <mergeCell ref="G7:J7"/>
    <mergeCell ref="G8:H8"/>
    <mergeCell ref="I8:J8"/>
    <mergeCell ref="G9:H9"/>
    <mergeCell ref="I9:J9"/>
    <mergeCell ref="L10:M10"/>
    <mergeCell ref="N10:O10"/>
    <mergeCell ref="L7:O7"/>
    <mergeCell ref="L8:M8"/>
    <mergeCell ref="N8:O8"/>
    <mergeCell ref="G2:J2"/>
    <mergeCell ref="G3:H3"/>
    <mergeCell ref="I3:J3"/>
    <mergeCell ref="G4:H4"/>
    <mergeCell ref="I4:J4"/>
    <mergeCell ref="G5:H5"/>
    <mergeCell ref="I5:J5"/>
    <mergeCell ref="B6:C6"/>
    <mergeCell ref="D6:E6"/>
    <mergeCell ref="B7:E7"/>
    <mergeCell ref="B5:C5"/>
    <mergeCell ref="D5:E5"/>
    <mergeCell ref="B8:C8"/>
    <mergeCell ref="D8:E8"/>
    <mergeCell ref="B9:C9"/>
    <mergeCell ref="D9:E9"/>
    <mergeCell ref="B10:C10"/>
    <mergeCell ref="B2:E2"/>
    <mergeCell ref="B3:C3"/>
    <mergeCell ref="D3:E3"/>
    <mergeCell ref="B4:C4"/>
    <mergeCell ref="D4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107EC-4C2D-44E6-9086-47C3B9BFE29D}">
  <dimension ref="A1:AN153"/>
  <sheetViews>
    <sheetView topLeftCell="A19" zoomScale="70" zoomScaleNormal="70" workbookViewId="0">
      <selection activeCell="A56" sqref="A56:A57"/>
    </sheetView>
  </sheetViews>
  <sheetFormatPr defaultColWidth="40.7109375" defaultRowHeight="30" customHeight="1" x14ac:dyDescent="0.25"/>
  <cols>
    <col min="1" max="1" width="40.7109375" style="7"/>
    <col min="2" max="2" width="40.7109375" style="13"/>
    <col min="3" max="10" width="40.7109375" style="14"/>
    <col min="11" max="12" width="40.7109375" style="14" customWidth="1"/>
    <col min="13" max="14" width="40.7109375" style="14"/>
    <col min="15" max="15" width="0" style="14" hidden="1" customWidth="1"/>
    <col min="16" max="16384" width="40.7109375" style="14"/>
  </cols>
  <sheetData>
    <row r="1" spans="1:40" s="8" customFormat="1" ht="30" customHeight="1" x14ac:dyDescent="0.25">
      <c r="A1" s="7"/>
    </row>
    <row r="2" spans="1:40" s="10" customFormat="1" ht="30" customHeight="1" x14ac:dyDescent="0.25">
      <c r="A2" s="20" t="s">
        <v>98</v>
      </c>
      <c r="B2" s="9" t="s">
        <v>99</v>
      </c>
      <c r="C2" s="10" t="s">
        <v>100</v>
      </c>
      <c r="D2" s="10" t="s">
        <v>101</v>
      </c>
      <c r="E2" s="11" t="s">
        <v>102</v>
      </c>
      <c r="F2" s="10" t="s">
        <v>89</v>
      </c>
      <c r="G2" s="10" t="s">
        <v>103</v>
      </c>
      <c r="H2" s="10" t="s">
        <v>104</v>
      </c>
      <c r="I2" s="10" t="s">
        <v>105</v>
      </c>
      <c r="J2" s="10" t="s">
        <v>106</v>
      </c>
      <c r="K2" s="10" t="s">
        <v>107</v>
      </c>
      <c r="L2" s="10" t="s">
        <v>108</v>
      </c>
      <c r="M2" s="10" t="s">
        <v>109</v>
      </c>
      <c r="N2" s="10" t="s">
        <v>110</v>
      </c>
      <c r="O2" s="10" t="s">
        <v>111</v>
      </c>
      <c r="P2" s="10" t="s">
        <v>112</v>
      </c>
      <c r="Q2" s="10" t="s">
        <v>113</v>
      </c>
      <c r="R2" s="10" t="s">
        <v>114</v>
      </c>
      <c r="S2" s="10" t="s">
        <v>115</v>
      </c>
      <c r="T2" s="10" t="s">
        <v>116</v>
      </c>
      <c r="U2" s="10" t="s">
        <v>117</v>
      </c>
      <c r="V2" s="10" t="s">
        <v>118</v>
      </c>
      <c r="W2" s="10" t="s">
        <v>119</v>
      </c>
      <c r="X2" s="12" t="s">
        <v>120</v>
      </c>
      <c r="Y2" s="10" t="s">
        <v>120</v>
      </c>
      <c r="Z2" s="10" t="s">
        <v>121</v>
      </c>
      <c r="AA2" s="10" t="s">
        <v>122</v>
      </c>
      <c r="AB2" s="10" t="s">
        <v>123</v>
      </c>
      <c r="AC2" s="10" t="s">
        <v>124</v>
      </c>
      <c r="AD2" s="10" t="s">
        <v>125</v>
      </c>
      <c r="AE2" s="10" t="s">
        <v>126</v>
      </c>
      <c r="AF2" s="10" t="s">
        <v>127</v>
      </c>
      <c r="AG2" s="10" t="s">
        <v>128</v>
      </c>
    </row>
    <row r="3" spans="1:40" ht="30" customHeight="1" x14ac:dyDescent="0.25">
      <c r="A3" s="20"/>
      <c r="B3" s="13">
        <v>0</v>
      </c>
      <c r="C3" s="14" t="s">
        <v>87</v>
      </c>
      <c r="D3" s="14">
        <v>0</v>
      </c>
      <c r="E3" s="14">
        <v>0</v>
      </c>
      <c r="F3" s="15" t="s">
        <v>54</v>
      </c>
      <c r="G3" s="14">
        <v>10</v>
      </c>
      <c r="H3" s="14">
        <v>0</v>
      </c>
      <c r="I3" s="14">
        <v>0</v>
      </c>
      <c r="J3" s="14">
        <v>1</v>
      </c>
      <c r="K3" s="14">
        <v>750</v>
      </c>
      <c r="L3" s="14">
        <v>0</v>
      </c>
      <c r="M3" s="14">
        <f>L3*2.237</f>
        <v>0</v>
      </c>
      <c r="N3" s="14">
        <v>0</v>
      </c>
      <c r="O3" s="14">
        <f>IF(J3=1,'[1]Gearing '!$C$17*'Duty Cycle '!N3,IF(J3=2,'[1]Gearing '!$C$18*'Duty Cycle '!N3,IF(J3=3,'[1]Gearing '!$C$19*'Duty Cycle '!N3)))</f>
        <v>0</v>
      </c>
      <c r="P3" s="14">
        <v>0</v>
      </c>
      <c r="Q3" s="14">
        <v>0</v>
      </c>
      <c r="R3" s="14">
        <v>0</v>
      </c>
      <c r="S3" s="14">
        <v>0</v>
      </c>
      <c r="T3" s="14">
        <f>Q3+R3+S3</f>
        <v>0</v>
      </c>
      <c r="U3" s="14">
        <f>T3*L3/1000</f>
        <v>0</v>
      </c>
      <c r="V3" s="14">
        <f>'Vehicle '!$F$9-'Duty Cycle '!U3</f>
        <v>13.422818791946309</v>
      </c>
      <c r="W3" s="14">
        <f>U3</f>
        <v>0</v>
      </c>
      <c r="X3" s="16">
        <f>ABS((W3*1000)/((2*PI()*K3)/60))</f>
        <v>0</v>
      </c>
      <c r="Y3" s="16">
        <f>ROUNDUP(X3,0)</f>
        <v>0</v>
      </c>
      <c r="Z3" s="14">
        <f t="shared" ref="Z3:Z66" si="0">T3*D3</f>
        <v>0</v>
      </c>
      <c r="AA3" s="14">
        <v>0</v>
      </c>
      <c r="AB3" s="14">
        <v>0</v>
      </c>
      <c r="AC3" s="14">
        <f t="shared" ref="AC3:AC66" si="1">U3*AB3/3600</f>
        <v>0</v>
      </c>
      <c r="AD3" s="14">
        <v>0</v>
      </c>
      <c r="AE3" s="14">
        <v>0</v>
      </c>
      <c r="AF3" s="14">
        <f>0.5*'[1]Vehicle '!$F$38*'Duty Cycle '!L3^2/1000</f>
        <v>0</v>
      </c>
      <c r="AG3" s="14">
        <f>Z3+AF3</f>
        <v>0</v>
      </c>
      <c r="AN3" s="14">
        <v>1</v>
      </c>
    </row>
    <row r="4" spans="1:40" ht="30" customHeight="1" x14ac:dyDescent="0.25">
      <c r="A4" s="35">
        <f>SUM(AC3:AC153)</f>
        <v>55.626246747344062</v>
      </c>
      <c r="B4" s="13">
        <f>B3+1</f>
        <v>1</v>
      </c>
      <c r="C4" s="14" t="s">
        <v>87</v>
      </c>
      <c r="D4" s="14">
        <f>SUM($L$3:L4)</f>
        <v>0.80373645286874096</v>
      </c>
      <c r="E4" s="14">
        <f>D4-D3</f>
        <v>0.80373645286874096</v>
      </c>
      <c r="F4" s="15" t="s">
        <v>54</v>
      </c>
      <c r="G4" s="14">
        <v>10.02</v>
      </c>
      <c r="H4" s="14">
        <f>G4-G3</f>
        <v>1.9999999999999574E-2</v>
      </c>
      <c r="I4" s="14">
        <f>DEGREES(ATAN(H4/E4))</f>
        <v>1.4254413322861026</v>
      </c>
      <c r="J4" s="14">
        <v>1</v>
      </c>
      <c r="K4" s="14">
        <v>750</v>
      </c>
      <c r="L4" s="14">
        <v>0.80373645286874096</v>
      </c>
      <c r="M4" s="14">
        <f t="shared" ref="M4:M67" si="2">L4*2.237</f>
        <v>1.7979584450673736</v>
      </c>
      <c r="N4" s="14">
        <f>L4-L3</f>
        <v>0.80373645286874096</v>
      </c>
      <c r="O4" s="14">
        <f>IF(J4=1,'[1]Gearing '!$C$17*'Duty Cycle '!N4,IF(J4=2,'[1]Gearing '!$C$18*'Duty Cycle '!N4,IF(J4=3,'[1]Gearing '!$C$19*'Duty Cycle '!N4)))</f>
        <v>491.74803673576611</v>
      </c>
      <c r="P4" s="14">
        <f>IF(F4='Track '!$B$60,'Track '!$F$53,IF(F4='Track '!$B$61,'Track '!$F$54,IF(F4='Track '!$B$62,'Track '!$F$55)))</f>
        <v>0.02</v>
      </c>
      <c r="Q4" s="14">
        <f>P4*'Vehicle '!$F$40*9.81</f>
        <v>127.39265999999999</v>
      </c>
      <c r="R4" s="14">
        <f>0.5*'Vehicle '!$F$53*'Vehicle '!$F$25*'Track '!$F$57*'Duty Cycle '!L4^2</f>
        <v>0.24685005894359213</v>
      </c>
      <c r="S4" s="14">
        <f>'Vehicle '!$F$40*9.81*SIN(RADIANS('Duty Cycle '!I4))</f>
        <v>158.45148858114885</v>
      </c>
      <c r="T4" s="18">
        <f t="shared" ref="T4:T67" si="3">Q4+R4+S4</f>
        <v>286.09099864009244</v>
      </c>
      <c r="U4" s="14">
        <f>ABS(((+T4)*(+L4)/1000))</f>
        <v>0.22994176444466369</v>
      </c>
      <c r="V4" s="14">
        <f>'Vehicle '!$F$9-'Duty Cycle '!U4</f>
        <v>13.192877027501645</v>
      </c>
      <c r="W4" s="14">
        <f t="shared" ref="W4:W67" si="4">U4</f>
        <v>0.22994176444466369</v>
      </c>
      <c r="X4" s="16">
        <f>ABS((W4*1000)/((2*PI()*K4)/60))</f>
        <v>2.9277094747712358</v>
      </c>
      <c r="Y4" s="16">
        <f t="shared" ref="Y4:Y67" si="5">MIN(22,ROUNDUP(X4,0))</f>
        <v>3</v>
      </c>
      <c r="Z4" s="14">
        <f t="shared" si="0"/>
        <v>229.94176444466368</v>
      </c>
      <c r="AA4" s="14">
        <f>SUM(AA3,Z4)</f>
        <v>229.94176444466368</v>
      </c>
      <c r="AB4" s="14">
        <v>0</v>
      </c>
      <c r="AC4" s="14">
        <f t="shared" si="1"/>
        <v>0</v>
      </c>
      <c r="AD4" s="14">
        <f>AD3+AC4</f>
        <v>0</v>
      </c>
      <c r="AE4" s="14">
        <f>AC4*3.09*1000</f>
        <v>0</v>
      </c>
      <c r="AF4" s="14">
        <f>0.5*'Vehicle '!$F$40*'Duty Cycle '!L4^2/1000</f>
        <v>0.20972139554277389</v>
      </c>
      <c r="AG4" s="14">
        <f t="shared" ref="AG4:AG67" si="6">Z4+AF4</f>
        <v>230.15148584020645</v>
      </c>
      <c r="AN4" s="14">
        <v>2</v>
      </c>
    </row>
    <row r="5" spans="1:40" ht="30" customHeight="1" x14ac:dyDescent="0.25">
      <c r="A5" s="35"/>
      <c r="B5" s="13">
        <f t="shared" ref="B5:B68" si="7">B4+1</f>
        <v>2</v>
      </c>
      <c r="C5" s="14" t="s">
        <v>87</v>
      </c>
      <c r="D5" s="14">
        <f>SUM($L$3:L5)</f>
        <v>2.1432972076499759</v>
      </c>
      <c r="E5" s="14">
        <f t="shared" ref="E5:E68" si="8">D5-D4</f>
        <v>1.3395607547812349</v>
      </c>
      <c r="F5" s="15" t="s">
        <v>54</v>
      </c>
      <c r="G5" s="14">
        <v>10.039999999999999</v>
      </c>
      <c r="H5" s="14">
        <f t="shared" ref="H5:H68" si="9">G5-G4</f>
        <v>1.9999999999999574E-2</v>
      </c>
      <c r="I5" s="14">
        <f t="shared" ref="I5:I68" si="10">DEGREES(ATAN(H5/E5))</f>
        <v>0.85537774312254478</v>
      </c>
      <c r="J5" s="14">
        <v>1</v>
      </c>
      <c r="K5" s="14">
        <v>1250</v>
      </c>
      <c r="L5" s="14">
        <v>1.3395607547812349</v>
      </c>
      <c r="M5" s="14">
        <f t="shared" si="2"/>
        <v>2.9965974084456226</v>
      </c>
      <c r="N5" s="14">
        <f t="shared" ref="N5:N68" si="11">L5-L4</f>
        <v>0.53582430191249397</v>
      </c>
      <c r="O5" s="14">
        <f>IF(J5=1,'[1]Gearing '!$C$17*'Duty Cycle '!N5,IF(J5=2,'[1]Gearing '!$C$18*'Duty Cycle '!N5,IF(J5=3,'[1]Gearing '!$C$19*'Duty Cycle '!N5)))</f>
        <v>327.83202449051072</v>
      </c>
      <c r="P5" s="14">
        <f>IF(F5='Track '!$B$60,'Track '!$F$53,IF(F5='Track '!$B$61,'Track '!$F$54,IF(F5='Track '!$B$62,'Track '!$F$55)))</f>
        <v>0.02</v>
      </c>
      <c r="Q5" s="14">
        <f>P5*'Vehicle '!$F$40*9.81</f>
        <v>127.39265999999999</v>
      </c>
      <c r="R5" s="14">
        <f>0.5*'Vehicle '!$F$53*'Vehicle '!$F$25*'Track '!$F$57*'Duty Cycle '!L5^2</f>
        <v>0.68569460817664474</v>
      </c>
      <c r="S5" s="14">
        <f>'Vehicle '!$F$40*9.81*SIN(RADIANS('Duty Cycle '!I5))</f>
        <v>95.089724886638422</v>
      </c>
      <c r="T5" s="18">
        <f t="shared" si="3"/>
        <v>223.16807949481506</v>
      </c>
      <c r="U5" s="14">
        <f t="shared" ref="U5:U68" si="12">ABS(((+T5)*(+L5)/1000))</f>
        <v>0.29894720101115307</v>
      </c>
      <c r="V5" s="14">
        <f>'Vehicle '!$F$9-'Duty Cycle '!U5</f>
        <v>13.123871590935156</v>
      </c>
      <c r="W5" s="14">
        <f t="shared" si="4"/>
        <v>0.29894720101115307</v>
      </c>
      <c r="X5" s="16">
        <f t="shared" ref="X5:X68" si="13">ABS((W5*1000)/((2*PI()*K5)/60))</f>
        <v>2.2837883886917503</v>
      </c>
      <c r="Y5" s="16">
        <f t="shared" si="5"/>
        <v>3</v>
      </c>
      <c r="Z5" s="14">
        <f t="shared" si="0"/>
        <v>478.31552161784498</v>
      </c>
      <c r="AA5" s="14">
        <f t="shared" ref="AA5:AA68" si="14">SUM(AA4,Z5)</f>
        <v>708.25728606250868</v>
      </c>
      <c r="AB5" s="14">
        <f>'BSFC '!$X$14</f>
        <v>306.74480096579998</v>
      </c>
      <c r="AC5" s="14">
        <f t="shared" si="1"/>
        <v>2.547236102040254E-2</v>
      </c>
      <c r="AD5" s="14">
        <f t="shared" ref="AD5:AD68" si="15">AD4+AC5</f>
        <v>2.547236102040254E-2</v>
      </c>
      <c r="AE5" s="14">
        <f>AC5*3.09</f>
        <v>7.870959555304384E-2</v>
      </c>
      <c r="AF5" s="14">
        <f>0.5*'Vehicle '!$F$40*'Duty Cycle '!L5^2/1000</f>
        <v>0.58255943206326066</v>
      </c>
      <c r="AG5" s="14">
        <f t="shared" si="6"/>
        <v>478.89808104990823</v>
      </c>
      <c r="AN5" s="14">
        <v>3</v>
      </c>
    </row>
    <row r="6" spans="1:40" ht="30" customHeight="1" x14ac:dyDescent="0.25">
      <c r="A6" s="20" t="s">
        <v>129</v>
      </c>
      <c r="B6" s="13">
        <f t="shared" si="7"/>
        <v>3</v>
      </c>
      <c r="C6" s="14" t="s">
        <v>87</v>
      </c>
      <c r="D6" s="14">
        <f>SUM($L$3:L6)</f>
        <v>4.0186822643437043</v>
      </c>
      <c r="E6" s="14">
        <f t="shared" si="8"/>
        <v>1.8753850566937285</v>
      </c>
      <c r="F6" s="15" t="s">
        <v>54</v>
      </c>
      <c r="G6" s="14">
        <v>10.08</v>
      </c>
      <c r="H6" s="14">
        <f t="shared" si="9"/>
        <v>4.0000000000000924E-2</v>
      </c>
      <c r="I6" s="14">
        <f t="shared" si="10"/>
        <v>1.2218737323592845</v>
      </c>
      <c r="J6" s="14">
        <v>1</v>
      </c>
      <c r="K6" s="14">
        <v>1750</v>
      </c>
      <c r="L6" s="14">
        <v>1.8753850566937287</v>
      </c>
      <c r="M6" s="14">
        <f t="shared" si="2"/>
        <v>4.1952363718238717</v>
      </c>
      <c r="N6" s="14">
        <f t="shared" si="11"/>
        <v>0.53582430191249375</v>
      </c>
      <c r="O6" s="14">
        <f>IF(J6=1,'[1]Gearing '!$C$17*'Duty Cycle '!N6,IF(J6=2,'[1]Gearing '!$C$18*'Duty Cycle '!N6,IF(J6=3,'[1]Gearing '!$C$19*'Duty Cycle '!N6)))</f>
        <v>327.83202449051061</v>
      </c>
      <c r="P6" s="14">
        <f>IF(F6='Track '!$B$60,'Track '!$F$53,IF(F6='Track '!$B$61,'Track '!$F$54,IF(F6='Track '!$B$62,'Track '!$F$55)))</f>
        <v>0.02</v>
      </c>
      <c r="Q6" s="14">
        <f>P6*'Vehicle '!$F$40*9.81</f>
        <v>127.39265999999999</v>
      </c>
      <c r="R6" s="14">
        <f>0.5*'Vehicle '!$F$53*'Vehicle '!$F$25*'Track '!$F$57*'Duty Cycle '!L6^2</f>
        <v>1.3439614320262234</v>
      </c>
      <c r="S6" s="14">
        <f>'Vehicle '!$F$40*9.81*SIN(RADIANS('Duty Cycle '!I6))</f>
        <v>135.82671187846304</v>
      </c>
      <c r="T6" s="18">
        <f t="shared" si="3"/>
        <v>264.56333331048927</v>
      </c>
      <c r="U6" s="14">
        <f t="shared" si="12"/>
        <v>0.49615812183957375</v>
      </c>
      <c r="V6" s="14">
        <f>'Vehicle '!$F$9-'Duty Cycle '!U6</f>
        <v>12.926660670106735</v>
      </c>
      <c r="W6" s="14">
        <f t="shared" si="4"/>
        <v>0.49615812183957375</v>
      </c>
      <c r="X6" s="16">
        <f t="shared" si="13"/>
        <v>2.7074063192900244</v>
      </c>
      <c r="Y6" s="16">
        <f t="shared" si="5"/>
        <v>3</v>
      </c>
      <c r="Z6" s="14">
        <f t="shared" si="0"/>
        <v>1063.1959753705153</v>
      </c>
      <c r="AA6" s="14">
        <f t="shared" si="14"/>
        <v>1771.453261433024</v>
      </c>
      <c r="AB6" s="14">
        <f>'BSFC '!$X$14</f>
        <v>306.74480096579998</v>
      </c>
      <c r="AC6" s="14">
        <f t="shared" si="1"/>
        <v>4.2276090092012553E-2</v>
      </c>
      <c r="AD6" s="14">
        <f t="shared" si="15"/>
        <v>6.7748451112415092E-2</v>
      </c>
      <c r="AE6" s="14">
        <f t="shared" ref="AE6:AE69" si="16">AC6*3.09</f>
        <v>0.13063311838431879</v>
      </c>
      <c r="AF6" s="14">
        <f>0.5*'Vehicle '!$F$40*'Duty Cycle '!L6^2/1000</f>
        <v>1.1418164868439908</v>
      </c>
      <c r="AG6" s="14">
        <f t="shared" si="6"/>
        <v>1064.3377918573592</v>
      </c>
    </row>
    <row r="7" spans="1:40" ht="30" customHeight="1" x14ac:dyDescent="0.25">
      <c r="A7" s="20"/>
      <c r="B7" s="13">
        <f t="shared" si="7"/>
        <v>4</v>
      </c>
      <c r="C7" s="14" t="s">
        <v>87</v>
      </c>
      <c r="D7" s="14">
        <f>SUM($L$3:L7)</f>
        <v>6.6978037739061742</v>
      </c>
      <c r="E7" s="14">
        <f t="shared" si="8"/>
        <v>2.6791215095624699</v>
      </c>
      <c r="F7" s="15" t="s">
        <v>54</v>
      </c>
      <c r="G7" s="14">
        <v>10.15</v>
      </c>
      <c r="H7" s="14">
        <f t="shared" si="9"/>
        <v>7.0000000000000284E-2</v>
      </c>
      <c r="I7" s="14">
        <f t="shared" si="10"/>
        <v>1.4966817524942631</v>
      </c>
      <c r="J7" s="14">
        <v>1</v>
      </c>
      <c r="K7" s="14">
        <v>2500</v>
      </c>
      <c r="L7" s="14">
        <v>2.6791215095624699</v>
      </c>
      <c r="M7" s="14">
        <f t="shared" si="2"/>
        <v>5.9931948168912452</v>
      </c>
      <c r="N7" s="14">
        <f t="shared" si="11"/>
        <v>0.80373645286874118</v>
      </c>
      <c r="O7" s="14">
        <f>IF(J7=1,'[1]Gearing '!$C$17*'Duty Cycle '!N7,IF(J7=2,'[1]Gearing '!$C$18*'Duty Cycle '!N7,IF(J7=3,'[1]Gearing '!$C$19*'Duty Cycle '!N7)))</f>
        <v>491.74803673576622</v>
      </c>
      <c r="P7" s="14">
        <f>IF(F7='Track '!$B$60,'Track '!$F$53,IF(F7='Track '!$B$61,'Track '!$F$54,IF(F7='Track '!$B$62,'Track '!$F$55)))</f>
        <v>0.02</v>
      </c>
      <c r="Q7" s="14">
        <f>P7*'Vehicle '!$F$40*9.81</f>
        <v>127.39265999999999</v>
      </c>
      <c r="R7" s="14">
        <f>0.5*'Vehicle '!$F$53*'Vehicle '!$F$25*'Track '!$F$57*'Duty Cycle '!L7^2</f>
        <v>2.742778432706579</v>
      </c>
      <c r="S7" s="14">
        <f>'Vehicle '!$F$40*9.81*SIN(RADIANS('Duty Cycle '!I7))</f>
        <v>166.36878679308276</v>
      </c>
      <c r="T7" s="18">
        <f t="shared" si="3"/>
        <v>296.50422522578936</v>
      </c>
      <c r="U7" s="14">
        <f t="shared" si="12"/>
        <v>0.79437084747856734</v>
      </c>
      <c r="V7" s="14">
        <f>'Vehicle '!$F$9-'Duty Cycle '!U7</f>
        <v>12.628447944467741</v>
      </c>
      <c r="W7" s="14">
        <f t="shared" si="4"/>
        <v>0.79437084747856734</v>
      </c>
      <c r="X7" s="16">
        <f t="shared" si="13"/>
        <v>3.0342731285834894</v>
      </c>
      <c r="Y7" s="16">
        <f t="shared" si="5"/>
        <v>4</v>
      </c>
      <c r="Z7" s="14">
        <f t="shared" si="0"/>
        <v>1985.9271186964181</v>
      </c>
      <c r="AA7" s="14">
        <f t="shared" si="14"/>
        <v>3757.3803801294421</v>
      </c>
      <c r="AB7" s="14">
        <f>'BSFC '!$X$14</f>
        <v>306.74480096579998</v>
      </c>
      <c r="AC7" s="14">
        <f t="shared" si="1"/>
        <v>6.7685868750790829E-2</v>
      </c>
      <c r="AD7" s="14">
        <f t="shared" si="15"/>
        <v>0.13543431986320592</v>
      </c>
      <c r="AE7" s="14">
        <f t="shared" si="16"/>
        <v>0.20914933443994366</v>
      </c>
      <c r="AF7" s="14">
        <f>0.5*'Vehicle '!$F$40*'Duty Cycle '!L7^2/1000</f>
        <v>2.3302377282530427</v>
      </c>
      <c r="AG7" s="14">
        <f t="shared" si="6"/>
        <v>1988.2573564246711</v>
      </c>
    </row>
    <row r="8" spans="1:40" ht="30" customHeight="1" x14ac:dyDescent="0.25">
      <c r="A8" s="35">
        <f>A4/1000/0.755</f>
        <v>7.3677148009727231E-2</v>
      </c>
      <c r="B8" s="13">
        <f t="shared" si="7"/>
        <v>5</v>
      </c>
      <c r="C8" s="14" t="s">
        <v>87</v>
      </c>
      <c r="D8" s="14">
        <f>SUM($L$3:L8)</f>
        <v>10.180661736337385</v>
      </c>
      <c r="E8" s="14">
        <f t="shared" si="8"/>
        <v>3.4828579624312104</v>
      </c>
      <c r="F8" s="15" t="s">
        <v>54</v>
      </c>
      <c r="G8" s="14">
        <v>10.4</v>
      </c>
      <c r="H8" s="14">
        <f t="shared" si="9"/>
        <v>0.25</v>
      </c>
      <c r="I8" s="14">
        <f t="shared" si="10"/>
        <v>4.1056568969908689</v>
      </c>
      <c r="J8" s="14">
        <v>1</v>
      </c>
      <c r="K8" s="14">
        <v>3250</v>
      </c>
      <c r="L8" s="14">
        <v>3.4828579624312108</v>
      </c>
      <c r="M8" s="14">
        <f t="shared" si="2"/>
        <v>7.7911532619586188</v>
      </c>
      <c r="N8" s="14">
        <f t="shared" si="11"/>
        <v>0.80373645286874096</v>
      </c>
      <c r="O8" s="14">
        <f>IF(J8=1,'[1]Gearing '!$C$17*'Duty Cycle '!N8,IF(J8=2,'[1]Gearing '!$C$18*'Duty Cycle '!N8,IF(J8=3,'[1]Gearing '!$C$19*'Duty Cycle '!N8)))</f>
        <v>491.74803673576611</v>
      </c>
      <c r="P8" s="14">
        <f>IF(F8='Track '!$B$60,'Track '!$F$53,IF(F8='Track '!$B$61,'Track '!$F$54,IF(F8='Track '!$B$62,'Track '!$F$55)))</f>
        <v>0.02</v>
      </c>
      <c r="Q8" s="14">
        <f>P8*'Vehicle '!$F$40*9.81</f>
        <v>127.39265999999999</v>
      </c>
      <c r="R8" s="14">
        <f>0.5*'Vehicle '!$F$53*'Vehicle '!$F$25*'Track '!$F$57*'Duty Cycle '!L8^2</f>
        <v>4.635295551274119</v>
      </c>
      <c r="S8" s="14">
        <f>'Vehicle '!$F$40*9.81*SIN(RADIANS('Duty Cycle '!I8))</f>
        <v>456.03975244764194</v>
      </c>
      <c r="T8" s="18">
        <f t="shared" si="3"/>
        <v>588.06770799891603</v>
      </c>
      <c r="U8" s="14">
        <f t="shared" si="12"/>
        <v>2.0481562992526969</v>
      </c>
      <c r="V8" s="14">
        <f>'Vehicle '!$F$9-'Duty Cycle '!U8</f>
        <v>11.374662492693613</v>
      </c>
      <c r="W8" s="14">
        <f t="shared" si="4"/>
        <v>2.0481562992526969</v>
      </c>
      <c r="X8" s="16">
        <f t="shared" si="13"/>
        <v>6.0179852169391372</v>
      </c>
      <c r="Y8" s="16">
        <f t="shared" si="5"/>
        <v>7</v>
      </c>
      <c r="Z8" s="14">
        <f t="shared" si="0"/>
        <v>5986.918413200191</v>
      </c>
      <c r="AA8" s="14">
        <f t="shared" si="14"/>
        <v>9744.2987933296336</v>
      </c>
      <c r="AB8" s="14">
        <f>'BSFC '!$X$14</f>
        <v>306.74480096579998</v>
      </c>
      <c r="AC8" s="14">
        <f t="shared" si="1"/>
        <v>0.17451702676697722</v>
      </c>
      <c r="AD8" s="14">
        <f t="shared" si="15"/>
        <v>0.30995134663018314</v>
      </c>
      <c r="AE8" s="14">
        <f t="shared" si="16"/>
        <v>0.53925761270995964</v>
      </c>
      <c r="AF8" s="14">
        <f>0.5*'Vehicle '!$F$40*'Duty Cycle '!L8^2/1000</f>
        <v>3.9381017607476427</v>
      </c>
      <c r="AG8" s="14">
        <f t="shared" si="6"/>
        <v>5990.8565149609385</v>
      </c>
    </row>
    <row r="9" spans="1:40" ht="30" customHeight="1" x14ac:dyDescent="0.25">
      <c r="A9" s="35"/>
      <c r="B9" s="13">
        <f t="shared" si="7"/>
        <v>6</v>
      </c>
      <c r="C9" s="14" t="s">
        <v>87</v>
      </c>
      <c r="D9" s="14">
        <f>SUM($L$3:L9)</f>
        <v>14.735168302593584</v>
      </c>
      <c r="E9" s="14">
        <f t="shared" si="8"/>
        <v>4.5545065662561992</v>
      </c>
      <c r="F9" s="15" t="s">
        <v>54</v>
      </c>
      <c r="G9" s="14">
        <v>10.8</v>
      </c>
      <c r="H9" s="14">
        <f t="shared" si="9"/>
        <v>0.40000000000000036</v>
      </c>
      <c r="I9" s="14">
        <f t="shared" si="10"/>
        <v>5.0191294717150523</v>
      </c>
      <c r="J9" s="14">
        <v>1</v>
      </c>
      <c r="K9" s="14">
        <v>4250</v>
      </c>
      <c r="L9" s="14">
        <v>4.5545065662561992</v>
      </c>
      <c r="M9" s="14">
        <f t="shared" si="2"/>
        <v>10.188431188715118</v>
      </c>
      <c r="N9" s="14">
        <f t="shared" si="11"/>
        <v>1.0716486038249884</v>
      </c>
      <c r="O9" s="14">
        <f>IF(J9=1,'[1]Gearing '!$C$17*'Duty Cycle '!N9,IF(J9=2,'[1]Gearing '!$C$18*'Duty Cycle '!N9,IF(J9=3,'[1]Gearing '!$C$19*'Duty Cycle '!N9)))</f>
        <v>655.66404898102178</v>
      </c>
      <c r="P9" s="14">
        <f>IF(F9='Track '!$B$60,'Track '!$F$53,IF(F9='Track '!$B$61,'Track '!$F$54,IF(F9='Track '!$B$62,'Track '!$F$55)))</f>
        <v>0.02</v>
      </c>
      <c r="Q9" s="14">
        <f>P9*'Vehicle '!$F$40*9.81</f>
        <v>127.39265999999999</v>
      </c>
      <c r="R9" s="14">
        <f>0.5*'Vehicle '!$F$53*'Vehicle '!$F$25*'Track '!$F$57*'Duty Cycle '!L9^2</f>
        <v>7.9266296705220158</v>
      </c>
      <c r="S9" s="14">
        <f>'Vehicle '!$F$40*9.81*SIN(RADIANS('Duty Cycle '!I9))</f>
        <v>557.26861544315739</v>
      </c>
      <c r="T9" s="18">
        <f t="shared" si="3"/>
        <v>692.58790511367943</v>
      </c>
      <c r="U9" s="14">
        <f t="shared" si="12"/>
        <v>3.1543961615498786</v>
      </c>
      <c r="V9" s="14">
        <f>'Vehicle '!$F$9-'Duty Cycle '!U9</f>
        <v>10.268422630396429</v>
      </c>
      <c r="W9" s="14">
        <f t="shared" si="4"/>
        <v>3.1543961615498786</v>
      </c>
      <c r="X9" s="16">
        <f t="shared" si="13"/>
        <v>7.0875916458460804</v>
      </c>
      <c r="Y9" s="16">
        <f t="shared" si="5"/>
        <v>8</v>
      </c>
      <c r="Z9" s="14">
        <f t="shared" si="0"/>
        <v>10205.399346190781</v>
      </c>
      <c r="AA9" s="14">
        <f t="shared" si="14"/>
        <v>19949.698139520413</v>
      </c>
      <c r="AB9" s="14">
        <f>'BSFC '!$X$14</f>
        <v>306.74480096579998</v>
      </c>
      <c r="AC9" s="14">
        <f t="shared" si="1"/>
        <v>0.26877628409497251</v>
      </c>
      <c r="AD9" s="14">
        <f t="shared" si="15"/>
        <v>0.57872763072515565</v>
      </c>
      <c r="AE9" s="14">
        <f t="shared" si="16"/>
        <v>0.83051871785346498</v>
      </c>
      <c r="AF9" s="14">
        <f>0.5*'Vehicle '!$F$40*'Duty Cycle '!L9^2/1000</f>
        <v>6.734387034651296</v>
      </c>
      <c r="AG9" s="14">
        <f t="shared" si="6"/>
        <v>10212.133733225433</v>
      </c>
    </row>
    <row r="10" spans="1:40" ht="30" customHeight="1" x14ac:dyDescent="0.25">
      <c r="A10" s="20" t="s">
        <v>130</v>
      </c>
      <c r="B10" s="13">
        <f t="shared" si="7"/>
        <v>7</v>
      </c>
      <c r="C10" s="14" t="s">
        <v>87</v>
      </c>
      <c r="D10" s="14">
        <f>SUM($L$3:L10)</f>
        <v>20.093411321718524</v>
      </c>
      <c r="E10" s="14">
        <f t="shared" si="8"/>
        <v>5.3582430191249397</v>
      </c>
      <c r="F10" s="15" t="s">
        <v>54</v>
      </c>
      <c r="G10" s="14">
        <v>11.3</v>
      </c>
      <c r="H10" s="14">
        <f t="shared" si="9"/>
        <v>0.5</v>
      </c>
      <c r="I10" s="14">
        <f t="shared" si="10"/>
        <v>5.3310703837466678</v>
      </c>
      <c r="J10" s="14">
        <v>1</v>
      </c>
      <c r="K10" s="14">
        <v>5000</v>
      </c>
      <c r="L10" s="14">
        <v>5.3582430191249397</v>
      </c>
      <c r="M10" s="14">
        <f t="shared" si="2"/>
        <v>11.98638963378249</v>
      </c>
      <c r="N10" s="14">
        <f t="shared" si="11"/>
        <v>0.80373645286874051</v>
      </c>
      <c r="O10" s="14">
        <f>IF(J10=1,'[1]Gearing '!$C$17*'Duty Cycle '!N10,IF(J10=2,'[1]Gearing '!$C$18*'Duty Cycle '!N10,IF(J10=3,'[1]Gearing '!$C$19*'Duty Cycle '!N10)))</f>
        <v>491.74803673576582</v>
      </c>
      <c r="P10" s="14">
        <f>IF(F10='Track '!$B$60,'Track '!$F$53,IF(F10='Track '!$B$61,'Track '!$F$54,IF(F10='Track '!$B$62,'Track '!$F$55)))</f>
        <v>0.02</v>
      </c>
      <c r="Q10" s="14">
        <f>P10*'Vehicle '!$F$40*9.81</f>
        <v>127.39265999999999</v>
      </c>
      <c r="R10" s="14">
        <f>0.5*'Vehicle '!$F$53*'Vehicle '!$F$25*'Track '!$F$57*'Duty Cycle '!L10^2</f>
        <v>10.971113730826316</v>
      </c>
      <c r="S10" s="14">
        <f>'Vehicle '!$F$40*9.81*SIN(RADIANS('Duty Cycle '!I10))</f>
        <v>591.80601565595862</v>
      </c>
      <c r="T10" s="18">
        <f t="shared" si="3"/>
        <v>730.16978938678494</v>
      </c>
      <c r="U10" s="14">
        <f t="shared" si="12"/>
        <v>3.9124271767576677</v>
      </c>
      <c r="V10" s="14">
        <f>'Vehicle '!$F$9-'Duty Cycle '!U10</f>
        <v>9.5103916151886416</v>
      </c>
      <c r="W10" s="14">
        <f t="shared" si="4"/>
        <v>3.9124271767576677</v>
      </c>
      <c r="X10" s="16">
        <f t="shared" si="13"/>
        <v>7.4721854960166167</v>
      </c>
      <c r="Y10" s="16">
        <f t="shared" si="5"/>
        <v>8</v>
      </c>
      <c r="Z10" s="14">
        <f t="shared" si="0"/>
        <v>14671.601912841254</v>
      </c>
      <c r="AA10" s="14">
        <f t="shared" si="14"/>
        <v>34621.300052361665</v>
      </c>
      <c r="AB10" s="14">
        <f>'BSFC '!$X$14</f>
        <v>306.74480096579998</v>
      </c>
      <c r="AC10" s="14">
        <f t="shared" si="1"/>
        <v>0.33336574878547709</v>
      </c>
      <c r="AD10" s="14">
        <f t="shared" si="15"/>
        <v>0.91209337951063274</v>
      </c>
      <c r="AE10" s="14">
        <f t="shared" si="16"/>
        <v>1.0301001637471241</v>
      </c>
      <c r="AF10" s="14">
        <f>0.5*'Vehicle '!$F$40*'Duty Cycle '!L10^2/1000</f>
        <v>9.3209509130121706</v>
      </c>
      <c r="AG10" s="14">
        <f t="shared" si="6"/>
        <v>14680.922863754266</v>
      </c>
    </row>
    <row r="11" spans="1:40" ht="30" customHeight="1" x14ac:dyDescent="0.25">
      <c r="A11" s="20"/>
      <c r="B11" s="13">
        <f t="shared" si="7"/>
        <v>8</v>
      </c>
      <c r="C11" s="14" t="s">
        <v>87</v>
      </c>
      <c r="D11" s="14">
        <f>SUM($L$3:L11)</f>
        <v>26.523302944668451</v>
      </c>
      <c r="E11" s="14">
        <f t="shared" si="8"/>
        <v>6.4298916229499277</v>
      </c>
      <c r="F11" s="15" t="s">
        <v>54</v>
      </c>
      <c r="G11" s="14">
        <v>11.9</v>
      </c>
      <c r="H11" s="14">
        <f t="shared" si="9"/>
        <v>0.59999999999999964</v>
      </c>
      <c r="I11" s="14">
        <f t="shared" si="10"/>
        <v>5.3310703837466642</v>
      </c>
      <c r="J11" s="14">
        <v>1</v>
      </c>
      <c r="K11" s="14">
        <v>6000</v>
      </c>
      <c r="L11" s="14">
        <v>6.4298916229499277</v>
      </c>
      <c r="M11" s="14">
        <f t="shared" si="2"/>
        <v>14.383667560538989</v>
      </c>
      <c r="N11" s="14">
        <f t="shared" si="11"/>
        <v>1.0716486038249879</v>
      </c>
      <c r="O11" s="14">
        <f>IF(J11=1,'[1]Gearing '!$C$17*'Duty Cycle '!N11,IF(J11=2,'[1]Gearing '!$C$18*'Duty Cycle '!N11,IF(J11=3,'[1]Gearing '!$C$19*'Duty Cycle '!N11)))</f>
        <v>655.66404898102144</v>
      </c>
      <c r="P11" s="14">
        <f>IF(F11='Track '!$B$60,'Track '!$F$53,IF(F11='Track '!$B$61,'Track '!$F$54,IF(F11='Track '!$B$62,'Track '!$F$55)))</f>
        <v>0.02</v>
      </c>
      <c r="Q11" s="14">
        <f>P11*'Vehicle '!$F$40*9.81</f>
        <v>127.39265999999999</v>
      </c>
      <c r="R11" s="14">
        <f>0.5*'Vehicle '!$F$53*'Vehicle '!$F$25*'Track '!$F$57*'Duty Cycle '!L11^2</f>
        <v>15.798403772389896</v>
      </c>
      <c r="S11" s="14">
        <f>'Vehicle '!$F$40*9.81*SIN(RADIANS('Duty Cycle '!I11))</f>
        <v>591.80601565595828</v>
      </c>
      <c r="T11" s="18">
        <f t="shared" si="3"/>
        <v>734.99707942834812</v>
      </c>
      <c r="U11" s="14">
        <f t="shared" si="12"/>
        <v>4.725951563908998</v>
      </c>
      <c r="V11" s="14">
        <f>'Vehicle '!$F$9-'Duty Cycle '!U11</f>
        <v>8.6968672280373109</v>
      </c>
      <c r="W11" s="14">
        <f t="shared" si="4"/>
        <v>4.725951563908998</v>
      </c>
      <c r="X11" s="16">
        <f t="shared" si="13"/>
        <v>7.5215855220899028</v>
      </c>
      <c r="Y11" s="16">
        <f t="shared" si="5"/>
        <v>8</v>
      </c>
      <c r="Z11" s="14">
        <f t="shared" si="0"/>
        <v>19494.550201124617</v>
      </c>
      <c r="AA11" s="14">
        <f t="shared" si="14"/>
        <v>54115.850253486278</v>
      </c>
      <c r="AB11" s="14">
        <f>'BSFC '!$X$14</f>
        <v>306.74480096579998</v>
      </c>
      <c r="AC11" s="14">
        <f t="shared" si="1"/>
        <v>0.40268363106813237</v>
      </c>
      <c r="AD11" s="14">
        <f t="shared" si="15"/>
        <v>1.3147770105787651</v>
      </c>
      <c r="AE11" s="14">
        <f t="shared" si="16"/>
        <v>1.244292420000529</v>
      </c>
      <c r="AF11" s="14">
        <f>0.5*'Vehicle '!$F$40*'Duty Cycle '!L11^2/1000</f>
        <v>13.422169314737529</v>
      </c>
      <c r="AG11" s="14">
        <f t="shared" si="6"/>
        <v>19507.972370439355</v>
      </c>
    </row>
    <row r="12" spans="1:40" ht="30" customHeight="1" x14ac:dyDescent="0.25">
      <c r="A12" s="35">
        <f>'[1]Vehicle '!F18/'Duty Cycle '!A8</f>
        <v>393.60915539471307</v>
      </c>
      <c r="B12" s="13">
        <f t="shared" si="7"/>
        <v>9</v>
      </c>
      <c r="C12" s="14" t="s">
        <v>87</v>
      </c>
      <c r="D12" s="14">
        <f>SUM($L$3:L12)</f>
        <v>33.589356624908305</v>
      </c>
      <c r="E12" s="14">
        <f t="shared" si="8"/>
        <v>7.0660536802398539</v>
      </c>
      <c r="F12" s="15" t="s">
        <v>54</v>
      </c>
      <c r="G12" s="14">
        <v>12.65</v>
      </c>
      <c r="H12" s="14">
        <f t="shared" si="9"/>
        <v>0.75</v>
      </c>
      <c r="I12" s="14">
        <f t="shared" si="10"/>
        <v>6.058762857724644</v>
      </c>
      <c r="J12" s="14">
        <v>2</v>
      </c>
      <c r="K12" s="14">
        <v>4500</v>
      </c>
      <c r="L12" s="14">
        <v>7.0660536802398575</v>
      </c>
      <c r="M12" s="14">
        <f t="shared" si="2"/>
        <v>15.806762082696562</v>
      </c>
      <c r="N12" s="14">
        <f t="shared" si="11"/>
        <v>0.63616205728992981</v>
      </c>
      <c r="O12" s="14">
        <f>IF(J12=1,'[1]Gearing '!$C$17*'Duty Cycle '!N12,IF(J12=2,'[1]Gearing '!$C$18*'Duty Cycle '!N12,IF(J12=3,'[1]Gearing '!$C$19*'Duty Cycle '!N12)))</f>
        <v>384.70841188286056</v>
      </c>
      <c r="P12" s="14">
        <f>IF(F12='Track '!$B$60,'Track '!$F$53,IF(F12='Track '!$B$61,'Track '!$F$54,IF(F12='Track '!$B$62,'Track '!$F$55)))</f>
        <v>0.02</v>
      </c>
      <c r="Q12" s="14">
        <f>P12*'Vehicle '!$F$40*9.81</f>
        <v>127.39265999999999</v>
      </c>
      <c r="R12" s="14">
        <f>0.5*'Vehicle '!$F$53*'Vehicle '!$F$25*'Track '!$F$57*'Duty Cycle '!L12^2</f>
        <v>19.07918276794549</v>
      </c>
      <c r="S12" s="14">
        <f>'Vehicle '!$F$40*9.81*SIN(RADIANS('Duty Cycle '!I12))</f>
        <v>672.30454043454552</v>
      </c>
      <c r="T12" s="18">
        <f t="shared" si="3"/>
        <v>818.77638320249093</v>
      </c>
      <c r="U12" s="14">
        <f t="shared" si="12"/>
        <v>5.7855178758214407</v>
      </c>
      <c r="V12" s="14">
        <f>'Vehicle '!$F$9-'Duty Cycle '!U12</f>
        <v>7.6373009161248682</v>
      </c>
      <c r="W12" s="14">
        <f t="shared" si="4"/>
        <v>5.7855178758214407</v>
      </c>
      <c r="X12" s="16">
        <f t="shared" si="13"/>
        <v>12.27725024378006</v>
      </c>
      <c r="Y12" s="16">
        <f t="shared" si="5"/>
        <v>13</v>
      </c>
      <c r="Z12" s="14">
        <f t="shared" si="0"/>
        <v>27502.171931441051</v>
      </c>
      <c r="AA12" s="14">
        <f t="shared" si="14"/>
        <v>81618.022184927337</v>
      </c>
      <c r="AB12" s="14">
        <f>'BSFC '!$X$14</f>
        <v>306.74480096579998</v>
      </c>
      <c r="AC12" s="14">
        <f t="shared" si="1"/>
        <v>0.49296598036192379</v>
      </c>
      <c r="AD12" s="14">
        <f t="shared" si="15"/>
        <v>1.8077429909406888</v>
      </c>
      <c r="AE12" s="14">
        <f t="shared" si="16"/>
        <v>1.5232648793183445</v>
      </c>
      <c r="AF12" s="14">
        <f>0.5*'Vehicle '!$F$40*'Duty Cycle '!L12^2/1000</f>
        <v>16.20948705879594</v>
      </c>
      <c r="AG12" s="14">
        <f t="shared" si="6"/>
        <v>27518.381418499848</v>
      </c>
    </row>
    <row r="13" spans="1:40" ht="30" customHeight="1" x14ac:dyDescent="0.25">
      <c r="A13" s="35"/>
      <c r="B13" s="13">
        <f t="shared" si="7"/>
        <v>10</v>
      </c>
      <c r="C13" s="14" t="s">
        <v>87</v>
      </c>
      <c r="D13" s="14">
        <f>SUM($L$3:L13)</f>
        <v>42.225644456312573</v>
      </c>
      <c r="E13" s="14">
        <f t="shared" si="8"/>
        <v>8.6362878314042675</v>
      </c>
      <c r="F13" s="15" t="s">
        <v>54</v>
      </c>
      <c r="G13" s="14">
        <v>13.52</v>
      </c>
      <c r="H13" s="14">
        <f t="shared" si="9"/>
        <v>0.86999999999999922</v>
      </c>
      <c r="I13" s="14">
        <f t="shared" si="10"/>
        <v>5.7524401771206977</v>
      </c>
      <c r="J13" s="14">
        <v>2</v>
      </c>
      <c r="K13" s="14">
        <v>5500</v>
      </c>
      <c r="L13" s="14">
        <v>8.6362878314042693</v>
      </c>
      <c r="M13" s="14">
        <f t="shared" si="2"/>
        <v>19.31937587885135</v>
      </c>
      <c r="N13" s="14">
        <f t="shared" si="11"/>
        <v>1.5702341511644118</v>
      </c>
      <c r="O13" s="14">
        <f>IF(J13=1,'[1]Gearing '!$C$17*'Duty Cycle '!N13,IF(J13=2,'[1]Gearing '!$C$18*'Duty Cycle '!N13,IF(J13=3,'[1]Gearing '!$C$19*'Duty Cycle '!N13)))</f>
        <v>949.57295811086544</v>
      </c>
      <c r="P13" s="14">
        <f>IF(F13='Track '!$B$60,'Track '!$F$53,IF(F13='Track '!$B$61,'Track '!$F$54,IF(F13='Track '!$B$62,'Track '!$F$55)))</f>
        <v>0.02</v>
      </c>
      <c r="Q13" s="14">
        <f>P13*'Vehicle '!$F$40*9.81</f>
        <v>127.39265999999999</v>
      </c>
      <c r="R13" s="14">
        <f>0.5*'Vehicle '!$F$53*'Vehicle '!$F$25*'Track '!$F$57*'Duty Cycle '!L13^2</f>
        <v>28.501001418782764</v>
      </c>
      <c r="S13" s="14">
        <f>'Vehicle '!$F$40*9.81*SIN(RADIANS('Duty Cycle '!I13))</f>
        <v>638.43109504231484</v>
      </c>
      <c r="T13" s="18">
        <f t="shared" si="3"/>
        <v>794.32475646109765</v>
      </c>
      <c r="U13" s="14">
        <f t="shared" si="12"/>
        <v>6.8600172284081369</v>
      </c>
      <c r="V13" s="14">
        <f>'Vehicle '!$F$9-'Duty Cycle '!U13</f>
        <v>6.562801563538172</v>
      </c>
      <c r="W13" s="14">
        <f t="shared" si="4"/>
        <v>6.8600172284081369</v>
      </c>
      <c r="X13" s="16">
        <f t="shared" si="13"/>
        <v>11.910607108327842</v>
      </c>
      <c r="Y13" s="16">
        <f t="shared" si="5"/>
        <v>12</v>
      </c>
      <c r="Z13" s="14">
        <f t="shared" si="0"/>
        <v>33540.874749173381</v>
      </c>
      <c r="AA13" s="14">
        <f t="shared" si="14"/>
        <v>115158.89693410072</v>
      </c>
      <c r="AB13" s="14">
        <f>'BSFC '!$X$14</f>
        <v>306.74480096579998</v>
      </c>
      <c r="AC13" s="14">
        <f t="shared" si="1"/>
        <v>0.58452072759722584</v>
      </c>
      <c r="AD13" s="14">
        <f t="shared" si="15"/>
        <v>2.3922637185379148</v>
      </c>
      <c r="AE13" s="14">
        <f t="shared" si="16"/>
        <v>1.8061690482754278</v>
      </c>
      <c r="AF13" s="14">
        <f>0.5*'Vehicle '!$F$40*'Duty Cycle '!L13^2/1000</f>
        <v>24.214172026102574</v>
      </c>
      <c r="AG13" s="14">
        <f t="shared" si="6"/>
        <v>33565.088921199487</v>
      </c>
    </row>
    <row r="14" spans="1:40" ht="30" customHeight="1" x14ac:dyDescent="0.25">
      <c r="A14" s="20" t="s">
        <v>131</v>
      </c>
      <c r="B14" s="13">
        <f t="shared" si="7"/>
        <v>11</v>
      </c>
      <c r="C14" s="14" t="s">
        <v>87</v>
      </c>
      <c r="D14" s="14">
        <f>SUM($L$3:L14)</f>
        <v>51.647049363299047</v>
      </c>
      <c r="E14" s="14">
        <f t="shared" si="8"/>
        <v>9.4214049069864743</v>
      </c>
      <c r="F14" s="15" t="s">
        <v>54</v>
      </c>
      <c r="G14" s="14">
        <v>14.3</v>
      </c>
      <c r="H14" s="14">
        <f t="shared" si="9"/>
        <v>0.78000000000000114</v>
      </c>
      <c r="I14" s="14">
        <f t="shared" si="10"/>
        <v>4.7327356932752149</v>
      </c>
      <c r="J14" s="14">
        <v>2</v>
      </c>
      <c r="K14" s="14">
        <v>6000</v>
      </c>
      <c r="L14" s="14">
        <v>9.4214049069864778</v>
      </c>
      <c r="M14" s="14">
        <f t="shared" si="2"/>
        <v>21.075682776928751</v>
      </c>
      <c r="N14" s="14">
        <f t="shared" si="11"/>
        <v>0.78511707558220856</v>
      </c>
      <c r="O14" s="14">
        <f>IF(J14=1,'[1]Gearing '!$C$17*'Duty Cycle '!N14,IF(J14=2,'[1]Gearing '!$C$18*'Duty Cycle '!N14,IF(J14=3,'[1]Gearing '!$C$19*'Duty Cycle '!N14)))</f>
        <v>474.78647905543431</v>
      </c>
      <c r="P14" s="14">
        <f>IF(F14='Track '!$B$60,'Track '!$F$53,IF(F14='Track '!$B$61,'Track '!$F$54,IF(F14='Track '!$B$62,'Track '!$F$55)))</f>
        <v>0.02</v>
      </c>
      <c r="Q14" s="14">
        <f>P14*'Vehicle '!$F$40*9.81</f>
        <v>127.39265999999999</v>
      </c>
      <c r="R14" s="14">
        <f>0.5*'Vehicle '!$F$53*'Vehicle '!$F$25*'Track '!$F$57*'Duty Cycle '!L14^2</f>
        <v>33.918547143014209</v>
      </c>
      <c r="S14" s="14">
        <f>'Vehicle '!$F$40*9.81*SIN(RADIANS('Duty Cycle '!I14))</f>
        <v>525.54516770956195</v>
      </c>
      <c r="T14" s="18">
        <f t="shared" si="3"/>
        <v>686.85637485257621</v>
      </c>
      <c r="U14" s="14">
        <f t="shared" si="12"/>
        <v>6.4711520204310053</v>
      </c>
      <c r="V14" s="14">
        <f>'Vehicle '!$F$9-'Duty Cycle '!U14</f>
        <v>6.9516667715153035</v>
      </c>
      <c r="W14" s="14">
        <f t="shared" si="4"/>
        <v>6.4711520204310053</v>
      </c>
      <c r="X14" s="16">
        <f t="shared" si="13"/>
        <v>10.299158315507002</v>
      </c>
      <c r="Y14" s="16">
        <f t="shared" si="5"/>
        <v>11</v>
      </c>
      <c r="Z14" s="14">
        <f t="shared" si="0"/>
        <v>35474.105097507636</v>
      </c>
      <c r="AA14" s="14">
        <f t="shared" si="14"/>
        <v>150633.00203160837</v>
      </c>
      <c r="AB14" s="14">
        <f>'BSFC '!$X$14</f>
        <v>306.74480096579998</v>
      </c>
      <c r="AC14" s="14">
        <f t="shared" si="1"/>
        <v>0.55138673292403972</v>
      </c>
      <c r="AD14" s="14">
        <f t="shared" si="15"/>
        <v>2.9436504514619544</v>
      </c>
      <c r="AE14" s="14">
        <f t="shared" si="16"/>
        <v>1.7037850047352827</v>
      </c>
      <c r="AF14" s="14">
        <f>0.5*'Vehicle '!$F$40*'Duty Cycle '!L14^2/1000</f>
        <v>28.816865882303901</v>
      </c>
      <c r="AG14" s="14">
        <f t="shared" si="6"/>
        <v>35502.921963389941</v>
      </c>
    </row>
    <row r="15" spans="1:40" ht="30" customHeight="1" x14ac:dyDescent="0.25">
      <c r="A15" s="20"/>
      <c r="B15" s="13">
        <f t="shared" si="7"/>
        <v>12</v>
      </c>
      <c r="C15" s="14" t="s">
        <v>87</v>
      </c>
      <c r="D15" s="14">
        <f>SUM($L$3:L15)</f>
        <v>61.853571345867735</v>
      </c>
      <c r="E15" s="14">
        <f t="shared" si="8"/>
        <v>10.206521982568688</v>
      </c>
      <c r="F15" s="15" t="s">
        <v>54</v>
      </c>
      <c r="G15" s="14">
        <v>14.8</v>
      </c>
      <c r="H15" s="14">
        <f t="shared" si="9"/>
        <v>0.5</v>
      </c>
      <c r="I15" s="14">
        <f t="shared" si="10"/>
        <v>2.8045798410884526</v>
      </c>
      <c r="J15" s="14">
        <v>2</v>
      </c>
      <c r="K15" s="14">
        <v>6500</v>
      </c>
      <c r="L15" s="14">
        <v>10.206521982568686</v>
      </c>
      <c r="M15" s="14">
        <f t="shared" si="2"/>
        <v>22.831989675006152</v>
      </c>
      <c r="N15" s="14">
        <f t="shared" si="11"/>
        <v>0.78511707558220856</v>
      </c>
      <c r="O15" s="14">
        <f>IF(J15=1,'[1]Gearing '!$C$17*'Duty Cycle '!N15,IF(J15=2,'[1]Gearing '!$C$18*'Duty Cycle '!N15,IF(J15=3,'[1]Gearing '!$C$19*'Duty Cycle '!N15)))</f>
        <v>474.78647905543431</v>
      </c>
      <c r="P15" s="14">
        <f>IF(F15='Track '!$B$60,'Track '!$F$53,IF(F15='Track '!$B$61,'Track '!$F$54,IF(F15='Track '!$B$62,'Track '!$F$55)))</f>
        <v>0.02</v>
      </c>
      <c r="Q15" s="14">
        <f>P15*'Vehicle '!$F$40*9.81</f>
        <v>127.39265999999999</v>
      </c>
      <c r="R15" s="14">
        <f>0.5*'Vehicle '!$F$53*'Vehicle '!$F$25*'Track '!$F$57*'Duty Cycle '!L15^2</f>
        <v>39.807183799787531</v>
      </c>
      <c r="S15" s="14">
        <f>'Vehicle '!$F$40*9.81*SIN(RADIANS('Duty Cycle '!I15))</f>
        <v>311.66364271281947</v>
      </c>
      <c r="T15" s="18">
        <f t="shared" si="3"/>
        <v>478.86348651260698</v>
      </c>
      <c r="U15" s="14">
        <f t="shared" si="12"/>
        <v>4.8875307017404062</v>
      </c>
      <c r="V15" s="14">
        <f>'Vehicle '!$F$9-'Duty Cycle '!U15</f>
        <v>8.5352880902059027</v>
      </c>
      <c r="W15" s="14">
        <f t="shared" si="4"/>
        <v>4.8875307017404062</v>
      </c>
      <c r="X15" s="16">
        <f t="shared" si="13"/>
        <v>7.1803815756497142</v>
      </c>
      <c r="Y15" s="16">
        <f t="shared" si="5"/>
        <v>8</v>
      </c>
      <c r="Z15" s="14">
        <f t="shared" si="0"/>
        <v>29619.416827938509</v>
      </c>
      <c r="AA15" s="14">
        <f t="shared" si="14"/>
        <v>180252.41885954689</v>
      </c>
      <c r="AB15" s="14">
        <f>'BSFC '!$X$14</f>
        <v>306.74480096579998</v>
      </c>
      <c r="AC15" s="14">
        <f t="shared" si="1"/>
        <v>0.41645128675544374</v>
      </c>
      <c r="AD15" s="14">
        <f t="shared" si="15"/>
        <v>3.3601017382173981</v>
      </c>
      <c r="AE15" s="14">
        <f t="shared" si="16"/>
        <v>1.2868344760743211</v>
      </c>
      <c r="AF15" s="14">
        <f>0.5*'Vehicle '!$F$40*'Duty Cycle '!L15^2/1000</f>
        <v>33.819793986870565</v>
      </c>
      <c r="AG15" s="14">
        <f t="shared" si="6"/>
        <v>29653.236621925378</v>
      </c>
    </row>
    <row r="16" spans="1:40" ht="30" customHeight="1" x14ac:dyDescent="0.25">
      <c r="A16" s="36">
        <v>1.47</v>
      </c>
      <c r="B16" s="13">
        <f t="shared" si="7"/>
        <v>13</v>
      </c>
      <c r="C16" s="14" t="s">
        <v>87</v>
      </c>
      <c r="D16" s="14">
        <f>SUM($L$3:L16)</f>
        <v>72.094228853461729</v>
      </c>
      <c r="E16" s="14">
        <f t="shared" si="8"/>
        <v>10.240657507593994</v>
      </c>
      <c r="F16" s="15" t="s">
        <v>54</v>
      </c>
      <c r="G16" s="14">
        <v>15.5</v>
      </c>
      <c r="H16" s="14">
        <f t="shared" si="9"/>
        <v>0.69999999999999929</v>
      </c>
      <c r="I16" s="14">
        <f t="shared" si="10"/>
        <v>3.9103694976451582</v>
      </c>
      <c r="J16" s="14">
        <v>3</v>
      </c>
      <c r="K16" s="14">
        <v>5000</v>
      </c>
      <c r="L16" s="14">
        <v>10.240657507593998</v>
      </c>
      <c r="M16" s="14">
        <f t="shared" si="2"/>
        <v>22.908350844487774</v>
      </c>
      <c r="N16" s="14">
        <f t="shared" si="11"/>
        <v>3.4135525025311253E-2</v>
      </c>
      <c r="O16" s="14">
        <f>IF(J16=1,'[1]Gearing '!$C$17*'Duty Cycle '!N16,IF(J16=2,'[1]Gearing '!$C$18*'Duty Cycle '!N16,IF(J16=3,'[1]Gearing '!$C$19*'Duty Cycle '!N16)))</f>
        <v>20.555856617712458</v>
      </c>
      <c r="P16" s="14">
        <f>IF(F16='Track '!$B$60,'Track '!$F$53,IF(F16='Track '!$B$61,'Track '!$F$54,IF(F16='Track '!$B$62,'Track '!$F$55)))</f>
        <v>0.02</v>
      </c>
      <c r="Q16" s="14">
        <f>P16*'Vehicle '!$F$40*9.81</f>
        <v>127.39265999999999</v>
      </c>
      <c r="R16" s="14">
        <f>0.5*'Vehicle '!$F$53*'Vehicle '!$F$25*'Track '!$F$57*'Duty Cycle '!L16^2</f>
        <v>40.073897853277657</v>
      </c>
      <c r="S16" s="14">
        <f>'Vehicle '!$F$40*9.81*SIN(RADIANS('Duty Cycle '!I16))</f>
        <v>434.38255141643998</v>
      </c>
      <c r="T16" s="18">
        <f t="shared" si="3"/>
        <v>601.8491092697177</v>
      </c>
      <c r="U16" s="14">
        <f t="shared" si="12"/>
        <v>6.1633305992816947</v>
      </c>
      <c r="V16" s="14">
        <f>'Vehicle '!$F$9-'Duty Cycle '!U16</f>
        <v>7.2594881926646142</v>
      </c>
      <c r="W16" s="14">
        <f t="shared" si="4"/>
        <v>6.1633305992816947</v>
      </c>
      <c r="X16" s="16">
        <f t="shared" si="13"/>
        <v>11.771094369422585</v>
      </c>
      <c r="Y16" s="16">
        <f t="shared" si="5"/>
        <v>12</v>
      </c>
      <c r="Z16" s="14">
        <f t="shared" si="0"/>
        <v>43389.847418943122</v>
      </c>
      <c r="AA16" s="14">
        <f t="shared" si="14"/>
        <v>223642.26627849002</v>
      </c>
      <c r="AB16" s="14">
        <f>'BSFC '!$X$14</f>
        <v>306.74480096579998</v>
      </c>
      <c r="AC16" s="14">
        <f t="shared" si="1"/>
        <v>0.52515822721196892</v>
      </c>
      <c r="AD16" s="14">
        <f t="shared" si="15"/>
        <v>3.8852599654293671</v>
      </c>
      <c r="AE16" s="14">
        <f t="shared" si="16"/>
        <v>1.6227389220849839</v>
      </c>
      <c r="AF16" s="14">
        <f>0.5*'Vehicle '!$F$40*'Duty Cycle '!L16^2/1000</f>
        <v>34.046391637882678</v>
      </c>
      <c r="AG16" s="14">
        <f t="shared" si="6"/>
        <v>43423.893810581001</v>
      </c>
    </row>
    <row r="17" spans="1:33" ht="30" customHeight="1" x14ac:dyDescent="0.25">
      <c r="A17" s="36"/>
      <c r="B17" s="13">
        <f t="shared" si="7"/>
        <v>14</v>
      </c>
      <c r="C17" s="14" t="s">
        <v>87</v>
      </c>
      <c r="D17" s="14">
        <f>SUM($L$3:L17)</f>
        <v>83.358952111815128</v>
      </c>
      <c r="E17" s="14">
        <f t="shared" si="8"/>
        <v>11.264723258353399</v>
      </c>
      <c r="F17" s="15" t="s">
        <v>54</v>
      </c>
      <c r="G17" s="14">
        <v>16</v>
      </c>
      <c r="H17" s="14">
        <f t="shared" si="9"/>
        <v>0.5</v>
      </c>
      <c r="I17" s="14">
        <f t="shared" si="10"/>
        <v>2.5414826246448512</v>
      </c>
      <c r="J17" s="14">
        <v>3</v>
      </c>
      <c r="K17" s="14">
        <v>5500</v>
      </c>
      <c r="L17" s="14">
        <v>11.264723258353396</v>
      </c>
      <c r="M17" s="14">
        <f t="shared" si="2"/>
        <v>25.199185928936547</v>
      </c>
      <c r="N17" s="14">
        <f t="shared" si="11"/>
        <v>1.024065750759398</v>
      </c>
      <c r="O17" s="14">
        <f>IF(J17=1,'[1]Gearing '!$C$17*'Duty Cycle '!N17,IF(J17=2,'[1]Gearing '!$C$18*'Duty Cycle '!N17,IF(J17=3,'[1]Gearing '!$C$19*'Duty Cycle '!N17)))</f>
        <v>616.67569853141003</v>
      </c>
      <c r="P17" s="14">
        <f>IF(F17='Track '!$B$60,'Track '!$F$53,IF(F17='Track '!$B$61,'Track '!$F$54,IF(F17='Track '!$B$62,'Track '!$F$55)))</f>
        <v>0.02</v>
      </c>
      <c r="Q17" s="14">
        <f>P17*'Vehicle '!$F$40*9.81</f>
        <v>127.39265999999999</v>
      </c>
      <c r="R17" s="14">
        <f>0.5*'Vehicle '!$F$53*'Vehicle '!$F$25*'Track '!$F$57*'Duty Cycle '!L17^2</f>
        <v>48.489416402465956</v>
      </c>
      <c r="S17" s="14">
        <f>'Vehicle '!$F$40*9.81*SIN(RADIANS('Duty Cycle '!I17))</f>
        <v>282.44669437860978</v>
      </c>
      <c r="T17" s="18">
        <f t="shared" si="3"/>
        <v>458.32877078107572</v>
      </c>
      <c r="U17" s="14">
        <f t="shared" si="12"/>
        <v>5.1629467641901057</v>
      </c>
      <c r="V17" s="14">
        <f>'Vehicle '!$F$9-'Duty Cycle '!U17</f>
        <v>8.2598720277562023</v>
      </c>
      <c r="W17" s="14">
        <f t="shared" si="4"/>
        <v>5.1629467641901057</v>
      </c>
      <c r="X17" s="16">
        <f t="shared" si="13"/>
        <v>8.9640927102672165</v>
      </c>
      <c r="Y17" s="16">
        <f t="shared" si="5"/>
        <v>9</v>
      </c>
      <c r="Z17" s="14">
        <f t="shared" si="0"/>
        <v>38205.806055006782</v>
      </c>
      <c r="AA17" s="14">
        <f t="shared" si="14"/>
        <v>261848.07233349679</v>
      </c>
      <c r="AB17" s="14">
        <f>'BSFC '!$X$14</f>
        <v>306.74480096579998</v>
      </c>
      <c r="AC17" s="14">
        <f t="shared" si="1"/>
        <v>0.43991863266069864</v>
      </c>
      <c r="AD17" s="14">
        <f t="shared" si="15"/>
        <v>4.3251785980900657</v>
      </c>
      <c r="AE17" s="14">
        <f t="shared" si="16"/>
        <v>1.3593485749215588</v>
      </c>
      <c r="AF17" s="14">
        <f>0.5*'Vehicle '!$F$40*'Duty Cycle '!L17^2/1000</f>
        <v>41.19613388183803</v>
      </c>
      <c r="AG17" s="14">
        <f t="shared" si="6"/>
        <v>38247.002188888619</v>
      </c>
    </row>
    <row r="18" spans="1:33" ht="30" customHeight="1" x14ac:dyDescent="0.25">
      <c r="A18" s="20" t="s">
        <v>132</v>
      </c>
      <c r="B18" s="13">
        <f t="shared" si="7"/>
        <v>15</v>
      </c>
      <c r="C18" s="14" t="s">
        <v>87</v>
      </c>
      <c r="D18" s="14">
        <f>SUM($L$3:L18)</f>
        <v>95.647741120927918</v>
      </c>
      <c r="E18" s="14">
        <f t="shared" si="8"/>
        <v>12.28878900911279</v>
      </c>
      <c r="F18" s="15" t="s">
        <v>54</v>
      </c>
      <c r="G18" s="14">
        <v>16.3</v>
      </c>
      <c r="H18" s="14">
        <f t="shared" si="9"/>
        <v>0.30000000000000071</v>
      </c>
      <c r="I18" s="14">
        <f t="shared" si="10"/>
        <v>1.3984551614986689</v>
      </c>
      <c r="J18" s="14">
        <v>3</v>
      </c>
      <c r="K18" s="14">
        <v>6000</v>
      </c>
      <c r="L18" s="14">
        <v>12.288789009112795</v>
      </c>
      <c r="M18" s="14">
        <f t="shared" si="2"/>
        <v>27.490021013385324</v>
      </c>
      <c r="N18" s="14">
        <f t="shared" si="11"/>
        <v>1.0240657507593998</v>
      </c>
      <c r="O18" s="14">
        <f>IF(J18=1,'[1]Gearing '!$C$17*'Duty Cycle '!N18,IF(J18=2,'[1]Gearing '!$C$18*'Duty Cycle '!N18,IF(J18=3,'[1]Gearing '!$C$19*'Duty Cycle '!N18)))</f>
        <v>616.67569853141106</v>
      </c>
      <c r="P18" s="14">
        <f>IF(F18='Track '!$B$60,'Track '!$F$53,IF(F18='Track '!$B$61,'Track '!$F$54,IF(F18='Track '!$B$62,'Track '!$F$55)))</f>
        <v>0.02</v>
      </c>
      <c r="Q18" s="14">
        <f>P18*'Vehicle '!$F$40*9.81</f>
        <v>127.39265999999999</v>
      </c>
      <c r="R18" s="14">
        <f>0.5*'Vehicle '!$F$53*'Vehicle '!$F$25*'Track '!$F$57*'Duty Cycle '!L18^2</f>
        <v>57.70641290871982</v>
      </c>
      <c r="S18" s="14">
        <f>'Vehicle '!$F$40*9.81*SIN(RADIANS('Duty Cycle '!I18))</f>
        <v>155.45231808694783</v>
      </c>
      <c r="T18" s="18">
        <f t="shared" si="3"/>
        <v>340.55139099566765</v>
      </c>
      <c r="U18" s="14">
        <f t="shared" si="12"/>
        <v>4.1849641907056352</v>
      </c>
      <c r="V18" s="14">
        <f>'Vehicle '!$F$9-'Duty Cycle '!U18</f>
        <v>9.2378546012406737</v>
      </c>
      <c r="W18" s="14">
        <f t="shared" si="4"/>
        <v>4.1849641907056352</v>
      </c>
      <c r="X18" s="16">
        <f t="shared" si="13"/>
        <v>6.6605773761337508</v>
      </c>
      <c r="Y18" s="16">
        <f t="shared" si="5"/>
        <v>7</v>
      </c>
      <c r="Z18" s="14">
        <f t="shared" si="0"/>
        <v>32572.971284325522</v>
      </c>
      <c r="AA18" s="14">
        <f t="shared" si="14"/>
        <v>294421.04361782229</v>
      </c>
      <c r="AB18" s="14">
        <f>'BSFC '!$X$14</f>
        <v>306.74480096579998</v>
      </c>
      <c r="AC18" s="14">
        <f t="shared" si="1"/>
        <v>0.35658777992416674</v>
      </c>
      <c r="AD18" s="14">
        <f t="shared" si="15"/>
        <v>4.681766378014232</v>
      </c>
      <c r="AE18" s="14">
        <f t="shared" si="16"/>
        <v>1.1018562399656751</v>
      </c>
      <c r="AF18" s="14">
        <f>0.5*'Vehicle '!$F$40*'Duty Cycle '!L18^2/1000</f>
        <v>49.026803958551042</v>
      </c>
      <c r="AG18" s="14">
        <f t="shared" si="6"/>
        <v>32621.998088284072</v>
      </c>
    </row>
    <row r="19" spans="1:33" ht="30" customHeight="1" x14ac:dyDescent="0.25">
      <c r="A19" s="20"/>
      <c r="B19" s="13">
        <f t="shared" si="7"/>
        <v>16</v>
      </c>
      <c r="C19" s="14" t="s">
        <v>72</v>
      </c>
      <c r="D19" s="14">
        <f>SUM($L$3:L19)</f>
        <v>108.96059588080011</v>
      </c>
      <c r="E19" s="14">
        <f t="shared" si="8"/>
        <v>13.312854759872195</v>
      </c>
      <c r="F19" s="15" t="s">
        <v>54</v>
      </c>
      <c r="G19" s="14">
        <v>16.5</v>
      </c>
      <c r="H19" s="14">
        <f t="shared" si="9"/>
        <v>0.19999999999999929</v>
      </c>
      <c r="I19" s="14">
        <f t="shared" si="10"/>
        <v>0.86069397910671464</v>
      </c>
      <c r="J19" s="14">
        <v>3</v>
      </c>
      <c r="K19" s="14">
        <v>6500</v>
      </c>
      <c r="L19" s="14">
        <v>13.312854759872195</v>
      </c>
      <c r="M19" s="14">
        <f t="shared" si="2"/>
        <v>29.780856097834103</v>
      </c>
      <c r="N19" s="14">
        <f t="shared" si="11"/>
        <v>1.0240657507593998</v>
      </c>
      <c r="O19" s="14">
        <f>IF(J19=1,'[1]Gearing '!$C$17*'Duty Cycle '!N19,IF(J19=2,'[1]Gearing '!$C$18*'Duty Cycle '!N19,IF(J19=3,'[1]Gearing '!$C$19*'Duty Cycle '!N19)))</f>
        <v>616.67569853141106</v>
      </c>
      <c r="P19" s="14">
        <f>IF(F19='Track '!$B$60,'Track '!$F$53,IF(F19='Track '!$B$61,'Track '!$F$54,IF(F19='Track '!$B$62,'Track '!$F$55)))</f>
        <v>0.02</v>
      </c>
      <c r="Q19" s="14">
        <f>P19*'Vehicle '!$F$40*9.81</f>
        <v>127.39265999999999</v>
      </c>
      <c r="R19" s="14">
        <f>0.5*'Vehicle '!$F$53*'Vehicle '!$F$25*'Track '!$F$57*'Duty Cycle '!L19^2</f>
        <v>67.724887372039234</v>
      </c>
      <c r="S19" s="14">
        <f>'Vehicle '!$F$40*9.81*SIN(RADIANS('Duty Cycle '!I19))</f>
        <v>95.680670247492102</v>
      </c>
      <c r="T19" s="18">
        <f t="shared" si="3"/>
        <v>290.79821761953133</v>
      </c>
      <c r="U19" s="14">
        <f t="shared" si="12"/>
        <v>3.8713544355985281</v>
      </c>
      <c r="V19" s="14">
        <f>'Vehicle '!$F$9-'Duty Cycle '!U19</f>
        <v>9.5514643563477808</v>
      </c>
      <c r="W19" s="14">
        <f t="shared" si="4"/>
        <v>3.8713544355985281</v>
      </c>
      <c r="X19" s="16">
        <f t="shared" si="13"/>
        <v>5.6874941066422187</v>
      </c>
      <c r="Y19" s="16">
        <f t="shared" si="5"/>
        <v>6</v>
      </c>
      <c r="Z19" s="14">
        <f t="shared" si="0"/>
        <v>31685.54707289872</v>
      </c>
      <c r="AA19" s="14">
        <f t="shared" si="14"/>
        <v>326106.590690721</v>
      </c>
      <c r="AB19" s="14">
        <f>'BSFC '!$X$14</f>
        <v>306.74480096579998</v>
      </c>
      <c r="AC19" s="14">
        <f t="shared" si="1"/>
        <v>0.32986606828214932</v>
      </c>
      <c r="AD19" s="14">
        <f t="shared" si="15"/>
        <v>5.0116324462963817</v>
      </c>
      <c r="AE19" s="14">
        <f t="shared" si="16"/>
        <v>1.0192861509918414</v>
      </c>
      <c r="AF19" s="14">
        <f>0.5*'Vehicle '!$F$40*'Duty Cycle '!L19^2/1000</f>
        <v>57.538401868021715</v>
      </c>
      <c r="AG19" s="14">
        <f t="shared" si="6"/>
        <v>31743.085474766744</v>
      </c>
    </row>
    <row r="20" spans="1:33" ht="30" customHeight="1" x14ac:dyDescent="0.25">
      <c r="A20" s="35">
        <f>A16*A8</f>
        <v>0.10830540757429903</v>
      </c>
      <c r="B20" s="13">
        <f t="shared" si="7"/>
        <v>17</v>
      </c>
      <c r="C20" s="14" t="s">
        <v>72</v>
      </c>
      <c r="D20" s="14">
        <f>SUM($L$3:L20)</f>
        <v>121.2493848899129</v>
      </c>
      <c r="E20" s="14">
        <f t="shared" si="8"/>
        <v>12.28878900911279</v>
      </c>
      <c r="F20" s="15" t="s">
        <v>54</v>
      </c>
      <c r="G20" s="14">
        <v>17</v>
      </c>
      <c r="H20" s="14">
        <f t="shared" si="9"/>
        <v>0.5</v>
      </c>
      <c r="I20" s="14">
        <f t="shared" si="10"/>
        <v>2.3299364018937752</v>
      </c>
      <c r="J20" s="14">
        <v>3</v>
      </c>
      <c r="K20" s="14">
        <v>6000</v>
      </c>
      <c r="L20" s="14">
        <v>12.288789009112795</v>
      </c>
      <c r="M20" s="14">
        <f t="shared" si="2"/>
        <v>27.490021013385324</v>
      </c>
      <c r="N20" s="14">
        <f t="shared" si="11"/>
        <v>-1.0240657507593998</v>
      </c>
      <c r="O20" s="14">
        <f>IF(J20=1,'[1]Gearing '!$C$17*'Duty Cycle '!N20,IF(J20=2,'[1]Gearing '!$C$18*'Duty Cycle '!N20,IF(J20=3,'[1]Gearing '!$C$19*'Duty Cycle '!N20)))</f>
        <v>-616.67569853141106</v>
      </c>
      <c r="P20" s="14">
        <f>IF(F20='Track '!$B$60,'Track '!$F$53,IF(F20='Track '!$B$61,'Track '!$F$54,IF(F20='Track '!$B$62,'Track '!$F$55)))</f>
        <v>0.02</v>
      </c>
      <c r="Q20" s="14">
        <f>P20*'Vehicle '!$F$40*9.81</f>
        <v>127.39265999999999</v>
      </c>
      <c r="R20" s="14">
        <f>0.5*'Vehicle '!$F$53*'Vehicle '!$F$25*'Track '!$F$57*'Duty Cycle '!L20^2</f>
        <v>57.70641290871982</v>
      </c>
      <c r="S20" s="14">
        <f>'Vehicle '!$F$40*9.81*SIN(RADIANS('Duty Cycle '!I20))</f>
        <v>258.95013568875851</v>
      </c>
      <c r="T20" s="18">
        <f t="shared" si="3"/>
        <v>444.04920859747835</v>
      </c>
      <c r="U20" s="14">
        <f t="shared" si="12"/>
        <v>5.4568270341179268</v>
      </c>
      <c r="V20" s="14">
        <f>'Vehicle '!$F$9-'Duty Cycle '!U20</f>
        <v>7.9659917578283821</v>
      </c>
      <c r="W20" s="14">
        <f t="shared" si="4"/>
        <v>5.4568270341179268</v>
      </c>
      <c r="X20" s="16">
        <f t="shared" si="13"/>
        <v>8.6848099607735456</v>
      </c>
      <c r="Y20" s="16">
        <f t="shared" si="5"/>
        <v>9</v>
      </c>
      <c r="Z20" s="14">
        <f t="shared" si="0"/>
        <v>53840.693403296878</v>
      </c>
      <c r="AA20" s="14">
        <f t="shared" si="14"/>
        <v>379947.28409401787</v>
      </c>
      <c r="AB20" s="14">
        <f>'BSFC '!$X$14</f>
        <v>306.74480096579998</v>
      </c>
      <c r="AC20" s="14">
        <f t="shared" si="1"/>
        <v>0.46495925624591672</v>
      </c>
      <c r="AD20" s="14">
        <f t="shared" si="15"/>
        <v>5.4765917025422981</v>
      </c>
      <c r="AE20" s="14">
        <f t="shared" si="16"/>
        <v>1.4367241017998826</v>
      </c>
      <c r="AF20" s="14">
        <f>0.5*'Vehicle '!$F$40*'Duty Cycle '!L20^2/1000</f>
        <v>49.026803958551042</v>
      </c>
      <c r="AG20" s="14">
        <f t="shared" si="6"/>
        <v>53889.720207255428</v>
      </c>
    </row>
    <row r="21" spans="1:33" ht="30" customHeight="1" x14ac:dyDescent="0.25">
      <c r="A21" s="35"/>
      <c r="B21" s="13">
        <f t="shared" si="7"/>
        <v>18</v>
      </c>
      <c r="C21" s="14" t="s">
        <v>72</v>
      </c>
      <c r="D21" s="14">
        <f>SUM($L$3:L21)</f>
        <v>133.02614102364601</v>
      </c>
      <c r="E21" s="14">
        <f t="shared" si="8"/>
        <v>11.776756133733102</v>
      </c>
      <c r="F21" s="15" t="s">
        <v>54</v>
      </c>
      <c r="G21" s="14">
        <v>17.399999999999999</v>
      </c>
      <c r="H21" s="14">
        <f t="shared" si="9"/>
        <v>0.39999999999999858</v>
      </c>
      <c r="I21" s="14">
        <f t="shared" si="10"/>
        <v>1.945315374978319</v>
      </c>
      <c r="J21" s="14">
        <v>3</v>
      </c>
      <c r="K21" s="14">
        <v>5750</v>
      </c>
      <c r="L21" s="14">
        <v>11.776756133733098</v>
      </c>
      <c r="M21" s="14">
        <f t="shared" si="2"/>
        <v>26.344603471160941</v>
      </c>
      <c r="N21" s="14">
        <f t="shared" si="11"/>
        <v>-0.51203287537969722</v>
      </c>
      <c r="O21" s="14">
        <f>IF(J21=1,'[1]Gearing '!$C$17*'Duty Cycle '!N21,IF(J21=2,'[1]Gearing '!$C$18*'Duty Cycle '!N21,IF(J21=3,'[1]Gearing '!$C$19*'Duty Cycle '!N21)))</f>
        <v>-308.33784926570394</v>
      </c>
      <c r="P21" s="14">
        <f>IF(F21='Track '!$B$60,'Track '!$F$53,IF(F21='Track '!$B$61,'Track '!$F$54,IF(F21='Track '!$B$62,'Track '!$F$55)))</f>
        <v>0.02</v>
      </c>
      <c r="Q21" s="14">
        <f>P21*'Vehicle '!$F$40*9.81</f>
        <v>127.39265999999999</v>
      </c>
      <c r="R21" s="14">
        <f>0.5*'Vehicle '!$F$53*'Vehicle '!$F$25*'Track '!$F$57*'Duty Cycle '!L21^2</f>
        <v>52.997729910959706</v>
      </c>
      <c r="S21" s="14">
        <f>'Vehicle '!$F$40*9.81*SIN(RADIANS('Duty Cycle '!I21))</f>
        <v>216.22124076166915</v>
      </c>
      <c r="T21" s="18">
        <f t="shared" si="3"/>
        <v>396.61163067262885</v>
      </c>
      <c r="U21" s="14">
        <f t="shared" si="12"/>
        <v>4.6707984542337684</v>
      </c>
      <c r="V21" s="14">
        <f>'Vehicle '!$F$9-'Duty Cycle '!U21</f>
        <v>8.7520203377125405</v>
      </c>
      <c r="W21" s="14">
        <f t="shared" si="4"/>
        <v>4.6707984542337684</v>
      </c>
      <c r="X21" s="16">
        <f t="shared" si="13"/>
        <v>7.7570156053282222</v>
      </c>
      <c r="Y21" s="16">
        <f t="shared" si="5"/>
        <v>8</v>
      </c>
      <c r="Z21" s="14">
        <f t="shared" si="0"/>
        <v>52759.714713475332</v>
      </c>
      <c r="AA21" s="14">
        <f t="shared" si="14"/>
        <v>432706.99880749319</v>
      </c>
      <c r="AB21" s="14">
        <f>'BSFC '!$X$14</f>
        <v>306.74480096579998</v>
      </c>
      <c r="AC21" s="14">
        <f t="shared" si="1"/>
        <v>0.39798420616536212</v>
      </c>
      <c r="AD21" s="14">
        <f t="shared" si="15"/>
        <v>5.8745759087076603</v>
      </c>
      <c r="AE21" s="14">
        <f t="shared" si="16"/>
        <v>1.2297711970509688</v>
      </c>
      <c r="AF21" s="14">
        <f>0.5*'Vehicle '!$F$40*'Duty Cycle '!L21^2/1000</f>
        <v>45.026352941099844</v>
      </c>
      <c r="AG21" s="14">
        <f t="shared" si="6"/>
        <v>52804.741066416434</v>
      </c>
    </row>
    <row r="22" spans="1:33" ht="30" customHeight="1" x14ac:dyDescent="0.25">
      <c r="A22" s="20" t="s">
        <v>133</v>
      </c>
      <c r="B22" s="13">
        <f t="shared" si="7"/>
        <v>19</v>
      </c>
      <c r="C22" s="14" t="s">
        <v>72</v>
      </c>
      <c r="D22" s="14">
        <f>SUM($L$3:L22)</f>
        <v>144.80289715737911</v>
      </c>
      <c r="E22" s="14">
        <f t="shared" si="8"/>
        <v>11.776756133733102</v>
      </c>
      <c r="F22" s="15" t="s">
        <v>54</v>
      </c>
      <c r="G22" s="14">
        <v>17.8</v>
      </c>
      <c r="H22" s="14">
        <f t="shared" si="9"/>
        <v>0.40000000000000213</v>
      </c>
      <c r="I22" s="14">
        <f t="shared" si="10"/>
        <v>1.9453153749783361</v>
      </c>
      <c r="J22" s="14">
        <v>3</v>
      </c>
      <c r="K22" s="14">
        <v>5750</v>
      </c>
      <c r="L22" s="14">
        <v>11.776756133733098</v>
      </c>
      <c r="M22" s="14">
        <f t="shared" si="2"/>
        <v>26.344603471160941</v>
      </c>
      <c r="N22" s="14">
        <f t="shared" si="11"/>
        <v>0</v>
      </c>
      <c r="O22" s="14">
        <f>IF(J22=1,'[1]Gearing '!$C$17*'Duty Cycle '!N22,IF(J22=2,'[1]Gearing '!$C$18*'Duty Cycle '!N22,IF(J22=3,'[1]Gearing '!$C$19*'Duty Cycle '!N22)))</f>
        <v>0</v>
      </c>
      <c r="P22" s="14">
        <f>IF(F22='Track '!$B$60,'Track '!$F$53,IF(F22='Track '!$B$61,'Track '!$F$54,IF(F22='Track '!$B$62,'Track '!$F$55)))</f>
        <v>0.02</v>
      </c>
      <c r="Q22" s="14">
        <f>P22*'Vehicle '!$F$40*9.81</f>
        <v>127.39265999999999</v>
      </c>
      <c r="R22" s="14">
        <f>0.5*'Vehicle '!$F$53*'Vehicle '!$F$25*'Track '!$F$57*'Duty Cycle '!L22^2</f>
        <v>52.997729910959706</v>
      </c>
      <c r="S22" s="14">
        <f>'Vehicle '!$F$40*9.81*SIN(RADIANS('Duty Cycle '!I22))</f>
        <v>216.22124076167105</v>
      </c>
      <c r="T22" s="18">
        <f t="shared" si="3"/>
        <v>396.61163067263078</v>
      </c>
      <c r="U22" s="14">
        <f t="shared" si="12"/>
        <v>4.6707984542337906</v>
      </c>
      <c r="V22" s="14">
        <f>'Vehicle '!$F$9-'Duty Cycle '!U22</f>
        <v>8.7520203377125192</v>
      </c>
      <c r="W22" s="14">
        <f t="shared" si="4"/>
        <v>4.6707984542337906</v>
      </c>
      <c r="X22" s="16">
        <f t="shared" si="13"/>
        <v>7.7570156053282604</v>
      </c>
      <c r="Y22" s="16">
        <f t="shared" si="5"/>
        <v>8</v>
      </c>
      <c r="Z22" s="14">
        <f t="shared" si="0"/>
        <v>57430.513167709381</v>
      </c>
      <c r="AA22" s="14">
        <f t="shared" si="14"/>
        <v>490137.51197520259</v>
      </c>
      <c r="AB22" s="14">
        <f>'BSFC '!$X$14</f>
        <v>306.74480096579998</v>
      </c>
      <c r="AC22" s="14">
        <f t="shared" si="1"/>
        <v>0.39798420616536401</v>
      </c>
      <c r="AD22" s="14">
        <f t="shared" si="15"/>
        <v>6.2725601148730243</v>
      </c>
      <c r="AE22" s="14">
        <f t="shared" si="16"/>
        <v>1.2297711970509748</v>
      </c>
      <c r="AF22" s="14">
        <f>0.5*'Vehicle '!$F$40*'Duty Cycle '!L22^2/1000</f>
        <v>45.026352941099844</v>
      </c>
      <c r="AG22" s="14">
        <f t="shared" si="6"/>
        <v>57475.539520650484</v>
      </c>
    </row>
    <row r="23" spans="1:33" ht="30" customHeight="1" x14ac:dyDescent="0.25">
      <c r="A23" s="20"/>
      <c r="B23" s="13">
        <f t="shared" si="7"/>
        <v>20</v>
      </c>
      <c r="C23" s="14" t="s">
        <v>72</v>
      </c>
      <c r="D23" s="14">
        <f>SUM($L$3:L23)</f>
        <v>156.06762041573251</v>
      </c>
      <c r="E23" s="14">
        <f t="shared" si="8"/>
        <v>11.264723258353399</v>
      </c>
      <c r="F23" s="15" t="s">
        <v>54</v>
      </c>
      <c r="G23" s="14">
        <v>18.2</v>
      </c>
      <c r="H23" s="14">
        <f t="shared" si="9"/>
        <v>0.39999999999999858</v>
      </c>
      <c r="I23" s="14">
        <f t="shared" si="10"/>
        <v>2.0336661658026123</v>
      </c>
      <c r="J23" s="14">
        <v>3</v>
      </c>
      <c r="K23" s="14">
        <v>5500</v>
      </c>
      <c r="L23" s="14">
        <v>11.264723258353396</v>
      </c>
      <c r="M23" s="14">
        <f t="shared" si="2"/>
        <v>25.199185928936547</v>
      </c>
      <c r="N23" s="14">
        <f t="shared" si="11"/>
        <v>-0.51203287537970255</v>
      </c>
      <c r="O23" s="14">
        <f>IF(J23=1,'[1]Gearing '!$C$17*'Duty Cycle '!N23,IF(J23=2,'[1]Gearing '!$C$18*'Duty Cycle '!N23,IF(J23=3,'[1]Gearing '!$C$19*'Duty Cycle '!N23)))</f>
        <v>-308.33784926570718</v>
      </c>
      <c r="P23" s="14">
        <f>IF(F23='Track '!$B$60,'Track '!$F$53,IF(F23='Track '!$B$61,'Track '!$F$54,IF(F23='Track '!$B$62,'Track '!$F$55)))</f>
        <v>0.02</v>
      </c>
      <c r="Q23" s="14">
        <f>P23*'Vehicle '!$F$40*9.81</f>
        <v>127.39265999999999</v>
      </c>
      <c r="R23" s="14">
        <f>0.5*'Vehicle '!$F$53*'Vehicle '!$F$25*'Track '!$F$57*'Duty Cycle '!L23^2</f>
        <v>48.489416402465956</v>
      </c>
      <c r="S23" s="14">
        <f>'Vehicle '!$F$40*9.81*SIN(RADIANS('Duty Cycle '!I23))</f>
        <v>226.03737094326749</v>
      </c>
      <c r="T23" s="18">
        <f t="shared" si="3"/>
        <v>401.91944734573343</v>
      </c>
      <c r="U23" s="14">
        <f t="shared" si="12"/>
        <v>4.5275113465000256</v>
      </c>
      <c r="V23" s="14">
        <f>'Vehicle '!$F$9-'Duty Cycle '!U23</f>
        <v>8.8953074454462833</v>
      </c>
      <c r="W23" s="14">
        <f t="shared" si="4"/>
        <v>4.5275113465000256</v>
      </c>
      <c r="X23" s="16">
        <f t="shared" si="13"/>
        <v>7.860827025819515</v>
      </c>
      <c r="Y23" s="16">
        <f t="shared" si="5"/>
        <v>8</v>
      </c>
      <c r="Z23" s="14">
        <f t="shared" si="0"/>
        <v>62726.611746054914</v>
      </c>
      <c r="AA23" s="14">
        <f t="shared" si="14"/>
        <v>552864.12372125755</v>
      </c>
      <c r="AB23" s="14">
        <f>'BSFC '!$X$14</f>
        <v>306.74480096579998</v>
      </c>
      <c r="AC23" s="14">
        <f t="shared" si="1"/>
        <v>0.38577515745904206</v>
      </c>
      <c r="AD23" s="14">
        <f t="shared" si="15"/>
        <v>6.6583352723320663</v>
      </c>
      <c r="AE23" s="14">
        <f t="shared" si="16"/>
        <v>1.19204523654844</v>
      </c>
      <c r="AF23" s="14">
        <f>0.5*'Vehicle '!$F$40*'Duty Cycle '!L23^2/1000</f>
        <v>41.19613388183803</v>
      </c>
      <c r="AG23" s="14">
        <f t="shared" si="6"/>
        <v>62767.80787993675</v>
      </c>
    </row>
    <row r="24" spans="1:33" ht="30" customHeight="1" x14ac:dyDescent="0.25">
      <c r="A24" s="35">
        <f>A20*A12</f>
        <v>42.63</v>
      </c>
      <c r="B24" s="13">
        <f t="shared" si="7"/>
        <v>21</v>
      </c>
      <c r="C24" s="14" t="s">
        <v>72</v>
      </c>
      <c r="D24" s="14">
        <f>SUM($L$3:L24)</f>
        <v>166.8203107987062</v>
      </c>
      <c r="E24" s="14">
        <f t="shared" si="8"/>
        <v>10.752690382973697</v>
      </c>
      <c r="F24" s="15" t="s">
        <v>54</v>
      </c>
      <c r="G24" s="14">
        <v>18.5</v>
      </c>
      <c r="H24" s="14">
        <f t="shared" si="9"/>
        <v>0.30000000000000071</v>
      </c>
      <c r="I24" s="14">
        <f t="shared" si="10"/>
        <v>1.5981373372420147</v>
      </c>
      <c r="J24" s="14">
        <v>3</v>
      </c>
      <c r="K24" s="14">
        <v>5250</v>
      </c>
      <c r="L24" s="14">
        <v>10.752690382973697</v>
      </c>
      <c r="M24" s="14">
        <f t="shared" si="2"/>
        <v>24.053768386712161</v>
      </c>
      <c r="N24" s="14">
        <f t="shared" si="11"/>
        <v>-0.51203287537969899</v>
      </c>
      <c r="O24" s="14">
        <f>IF(J24=1,'[1]Gearing '!$C$17*'Duty Cycle '!N24,IF(J24=2,'[1]Gearing '!$C$18*'Duty Cycle '!N24,IF(J24=3,'[1]Gearing '!$C$19*'Duty Cycle '!N24)))</f>
        <v>-308.33784926570502</v>
      </c>
      <c r="P24" s="14">
        <f>IF(F24='Track '!$B$60,'Track '!$F$53,IF(F24='Track '!$B$61,'Track '!$F$54,IF(F24='Track '!$B$62,'Track '!$F$55)))</f>
        <v>0.02</v>
      </c>
      <c r="Q24" s="14">
        <f>P24*'Vehicle '!$F$40*9.81</f>
        <v>127.39265999999999</v>
      </c>
      <c r="R24" s="14">
        <f>0.5*'Vehicle '!$F$53*'Vehicle '!$F$25*'Track '!$F$57*'Duty Cycle '!L24^2</f>
        <v>44.181472383238614</v>
      </c>
      <c r="S24" s="14">
        <f>'Vehicle '!$F$40*9.81*SIN(RADIANS('Duty Cycle '!I24))</f>
        <v>177.64359786077785</v>
      </c>
      <c r="T24" s="18">
        <f t="shared" si="3"/>
        <v>349.21773024401648</v>
      </c>
      <c r="U24" s="14">
        <f t="shared" si="12"/>
        <v>3.7550301295587389</v>
      </c>
      <c r="V24" s="14">
        <f>'Vehicle '!$F$9-'Duty Cycle '!U24</f>
        <v>9.6677886623875704</v>
      </c>
      <c r="W24" s="14">
        <f t="shared" si="4"/>
        <v>3.7550301295587389</v>
      </c>
      <c r="X24" s="16">
        <f t="shared" si="13"/>
        <v>6.8300755037516971</v>
      </c>
      <c r="Y24" s="16">
        <f t="shared" si="5"/>
        <v>7</v>
      </c>
      <c r="Z24" s="14">
        <f t="shared" si="0"/>
        <v>58256.610295725572</v>
      </c>
      <c r="AA24" s="14">
        <f t="shared" si="14"/>
        <v>611120.73401698307</v>
      </c>
      <c r="AB24" s="14">
        <f>'BSFC '!$X$14</f>
        <v>306.74480096579998</v>
      </c>
      <c r="AC24" s="14">
        <f t="shared" si="1"/>
        <v>0.31995443603113266</v>
      </c>
      <c r="AD24" s="14">
        <f t="shared" si="15"/>
        <v>6.9782897083631994</v>
      </c>
      <c r="AE24" s="14">
        <f t="shared" si="16"/>
        <v>0.98865920733619983</v>
      </c>
      <c r="AF24" s="14">
        <f>0.5*'Vehicle '!$F$40*'Duty Cycle '!L24^2/1000</f>
        <v>37.536146780765641</v>
      </c>
      <c r="AG24" s="14">
        <f t="shared" si="6"/>
        <v>58294.146442506339</v>
      </c>
    </row>
    <row r="25" spans="1:33" ht="30" customHeight="1" x14ac:dyDescent="0.25">
      <c r="A25" s="35"/>
      <c r="B25" s="13">
        <f t="shared" si="7"/>
        <v>22</v>
      </c>
      <c r="C25" s="14" t="s">
        <v>72</v>
      </c>
      <c r="D25" s="14">
        <f>SUM($L$3:L25)</f>
        <v>176.63427424348379</v>
      </c>
      <c r="E25" s="14">
        <f t="shared" si="8"/>
        <v>9.8139634447775848</v>
      </c>
      <c r="F25" s="15" t="s">
        <v>54</v>
      </c>
      <c r="G25" s="14">
        <v>18.7</v>
      </c>
      <c r="H25" s="14">
        <f t="shared" si="9"/>
        <v>0.19999999999999929</v>
      </c>
      <c r="I25" s="14">
        <f t="shared" si="10"/>
        <v>1.1674763208114214</v>
      </c>
      <c r="J25" s="14">
        <v>2</v>
      </c>
      <c r="K25" s="14">
        <v>6250</v>
      </c>
      <c r="L25" s="14">
        <v>9.8139634447775812</v>
      </c>
      <c r="M25" s="14">
        <f t="shared" si="2"/>
        <v>21.95383622596745</v>
      </c>
      <c r="N25" s="14">
        <f t="shared" si="11"/>
        <v>-0.93872693819611541</v>
      </c>
      <c r="O25" s="14">
        <f>IF(J25=1,'[1]Gearing '!$C$17*'Duty Cycle '!N25,IF(J25=2,'[1]Gearing '!$C$18*'Duty Cycle '!N25,IF(J25=3,'[1]Gearing '!$C$19*'Duty Cycle '!N25)))</f>
        <v>-567.67948582714757</v>
      </c>
      <c r="P25" s="14">
        <f>IF(F25='Track '!$B$60,'Track '!$F$53,IF(F25='Track '!$B$61,'Track '!$F$54,IF(F25='Track '!$B$62,'Track '!$F$55)))</f>
        <v>0.02</v>
      </c>
      <c r="Q25" s="14">
        <f>P25*'Vehicle '!$F$40*9.81</f>
        <v>127.39265999999999</v>
      </c>
      <c r="R25" s="14">
        <f>0.5*'Vehicle '!$F$53*'Vehicle '!$F$25*'Track '!$F$57*'Duty Cycle '!L25^2</f>
        <v>36.803979104833125</v>
      </c>
      <c r="S25" s="14">
        <f>'Vehicle '!$F$40*9.81*SIN(RADIANS('Duty Cycle '!I25))</f>
        <v>129.78060832214851</v>
      </c>
      <c r="T25" s="18">
        <f t="shared" si="3"/>
        <v>293.97724742698165</v>
      </c>
      <c r="U25" s="14">
        <f t="shared" si="12"/>
        <v>2.8850819598447321</v>
      </c>
      <c r="V25" s="14">
        <f>'Vehicle '!$F$9-'Duty Cycle '!U25</f>
        <v>10.537736832101576</v>
      </c>
      <c r="W25" s="14">
        <f t="shared" si="4"/>
        <v>2.8850819598447321</v>
      </c>
      <c r="X25" s="16">
        <f t="shared" si="13"/>
        <v>4.4080805292916052</v>
      </c>
      <c r="Y25" s="16">
        <f t="shared" si="5"/>
        <v>5</v>
      </c>
      <c r="Z25" s="14">
        <f t="shared" si="0"/>
        <v>51926.457743361963</v>
      </c>
      <c r="AA25" s="14">
        <f t="shared" si="14"/>
        <v>663047.19176034501</v>
      </c>
      <c r="AB25" s="14">
        <f>'BSFC '!$X$14</f>
        <v>306.74480096579998</v>
      </c>
      <c r="AC25" s="14">
        <f t="shared" si="1"/>
        <v>0.24582885876183125</v>
      </c>
      <c r="AD25" s="14">
        <f t="shared" si="15"/>
        <v>7.2241185671250303</v>
      </c>
      <c r="AE25" s="14">
        <f t="shared" si="16"/>
        <v>0.7596111735740585</v>
      </c>
      <c r="AF25" s="14">
        <f>0.5*'Vehicle '!$F$40*'Duty Cycle '!L25^2/1000</f>
        <v>31.268300653541555</v>
      </c>
      <c r="AG25" s="14">
        <f t="shared" si="6"/>
        <v>51957.726044015508</v>
      </c>
    </row>
    <row r="26" spans="1:33" ht="30" customHeight="1" x14ac:dyDescent="0.25">
      <c r="A26" s="20" t="s">
        <v>134</v>
      </c>
      <c r="B26" s="13">
        <f t="shared" si="7"/>
        <v>23</v>
      </c>
      <c r="C26" s="14" t="s">
        <v>72</v>
      </c>
      <c r="D26" s="14">
        <f>SUM($L$3:L26)</f>
        <v>186.44823768826137</v>
      </c>
      <c r="E26" s="14">
        <f t="shared" si="8"/>
        <v>9.8139634447775848</v>
      </c>
      <c r="F26" s="15" t="s">
        <v>54</v>
      </c>
      <c r="G26" s="14">
        <v>18.2</v>
      </c>
      <c r="H26" s="14">
        <f t="shared" si="9"/>
        <v>-0.5</v>
      </c>
      <c r="I26" s="14">
        <f t="shared" si="10"/>
        <v>-2.9165730575786402</v>
      </c>
      <c r="J26" s="14">
        <v>2</v>
      </c>
      <c r="K26" s="14">
        <v>6250</v>
      </c>
      <c r="L26" s="14">
        <v>9.8139634447775812</v>
      </c>
      <c r="M26" s="14">
        <f t="shared" si="2"/>
        <v>21.95383622596745</v>
      </c>
      <c r="N26" s="14">
        <f t="shared" si="11"/>
        <v>0</v>
      </c>
      <c r="O26" s="14">
        <f>IF(J26=1,'[1]Gearing '!$C$17*'Duty Cycle '!N26,IF(J26=2,'[1]Gearing '!$C$18*'Duty Cycle '!N26,IF(J26=3,'[1]Gearing '!$C$19*'Duty Cycle '!N26)))</f>
        <v>0</v>
      </c>
      <c r="P26" s="14">
        <f>IF(F26='Track '!$B$60,'Track '!$F$53,IF(F26='Track '!$B$61,'Track '!$F$54,IF(F26='Track '!$B$62,'Track '!$F$55)))</f>
        <v>0.02</v>
      </c>
      <c r="Q26" s="14">
        <f>P26*'Vehicle '!$F$40*9.81</f>
        <v>127.39265999999999</v>
      </c>
      <c r="R26" s="14">
        <f>0.5*'Vehicle '!$F$53*'Vehicle '!$F$25*'Track '!$F$57*'Duty Cycle '!L26^2</f>
        <v>36.803979104833125</v>
      </c>
      <c r="S26" s="14">
        <f>'Vehicle '!$F$40*9.81*SIN(RADIANS('Duty Cycle '!I26))</f>
        <v>-324.09853217022822</v>
      </c>
      <c r="T26" s="18">
        <f t="shared" si="3"/>
        <v>-159.90189306539511</v>
      </c>
      <c r="U26" s="14">
        <f t="shared" si="12"/>
        <v>1.5692713332945214</v>
      </c>
      <c r="V26" s="14">
        <f>'Vehicle '!$F$9-'Duty Cycle '!U26</f>
        <v>11.853547458651787</v>
      </c>
      <c r="W26" s="14">
        <f t="shared" si="4"/>
        <v>1.5692713332945214</v>
      </c>
      <c r="X26" s="16">
        <f t="shared" si="13"/>
        <v>2.3976699815638298</v>
      </c>
      <c r="Y26" s="16">
        <f t="shared" si="5"/>
        <v>3</v>
      </c>
      <c r="Z26" s="14">
        <f t="shared" si="0"/>
        <v>-29813.42616505974</v>
      </c>
      <c r="AA26" s="14">
        <f t="shared" si="14"/>
        <v>633233.76559528522</v>
      </c>
      <c r="AB26" s="14">
        <f>'BSFC '!$X$14</f>
        <v>306.74480096579998</v>
      </c>
      <c r="AC26" s="14">
        <f t="shared" si="1"/>
        <v>0.13371272855354543</v>
      </c>
      <c r="AD26" s="14">
        <f t="shared" si="15"/>
        <v>7.3578312956785759</v>
      </c>
      <c r="AE26" s="14">
        <f t="shared" si="16"/>
        <v>0.41317233123045538</v>
      </c>
      <c r="AF26" s="14">
        <f>0.5*'Vehicle '!$F$40*'Duty Cycle '!L26^2/1000</f>
        <v>31.268300653541555</v>
      </c>
      <c r="AG26" s="14">
        <f t="shared" si="6"/>
        <v>-29782.157864406199</v>
      </c>
    </row>
    <row r="27" spans="1:33" ht="30" customHeight="1" x14ac:dyDescent="0.25">
      <c r="A27" s="20"/>
      <c r="B27" s="13">
        <f t="shared" si="7"/>
        <v>24</v>
      </c>
      <c r="C27" s="14" t="s">
        <v>86</v>
      </c>
      <c r="D27" s="14">
        <f>SUM($L$3:L27)</f>
        <v>196.65475967083006</v>
      </c>
      <c r="E27" s="14">
        <f t="shared" si="8"/>
        <v>10.206521982568688</v>
      </c>
      <c r="F27" s="15" t="s">
        <v>54</v>
      </c>
      <c r="G27" s="14">
        <v>17.2</v>
      </c>
      <c r="H27" s="14">
        <f t="shared" si="9"/>
        <v>-1</v>
      </c>
      <c r="I27" s="14">
        <f t="shared" si="10"/>
        <v>-5.5957840664978074</v>
      </c>
      <c r="J27" s="14">
        <v>2</v>
      </c>
      <c r="K27" s="14">
        <v>6500</v>
      </c>
      <c r="L27" s="14">
        <v>10.206521982568686</v>
      </c>
      <c r="M27" s="14">
        <f t="shared" si="2"/>
        <v>22.831989675006152</v>
      </c>
      <c r="N27" s="14">
        <f t="shared" si="11"/>
        <v>0.39255853779110517</v>
      </c>
      <c r="O27" s="14">
        <f>IF(J27=1,'[1]Gearing '!$C$17*'Duty Cycle '!N27,IF(J27=2,'[1]Gearing '!$C$18*'Duty Cycle '!N27,IF(J27=3,'[1]Gearing '!$C$19*'Duty Cycle '!N27)))</f>
        <v>237.3932395277177</v>
      </c>
      <c r="P27" s="14">
        <f>IF(F27='Track '!$B$60,'Track '!$F$53,IF(F27='Track '!$B$61,'Track '!$F$54,IF(F27='Track '!$B$62,'Track '!$F$55)))</f>
        <v>0.02</v>
      </c>
      <c r="Q27" s="14">
        <f>P27*'Vehicle '!$F$40*9.81</f>
        <v>127.39265999999999</v>
      </c>
      <c r="R27" s="14">
        <f>0.5*'Vehicle '!$F$53*'Vehicle '!$F$25*'Track '!$F$57*'Duty Cycle '!L27^2</f>
        <v>39.807183799787531</v>
      </c>
      <c r="S27" s="14">
        <f>'Vehicle '!$F$40*9.81*SIN(RADIANS('Duty Cycle '!I27))</f>
        <v>-621.1008038983781</v>
      </c>
      <c r="T27" s="18">
        <f t="shared" si="3"/>
        <v>-453.90096009859059</v>
      </c>
      <c r="U27" s="14">
        <f t="shared" si="12"/>
        <v>4.6327501271552975</v>
      </c>
      <c r="V27" s="14">
        <f>'Vehicle '!$F$9-'Duty Cycle '!U27</f>
        <v>8.7900686647910113</v>
      </c>
      <c r="W27" s="14">
        <f t="shared" si="4"/>
        <v>4.6327501271552975</v>
      </c>
      <c r="X27" s="16">
        <f t="shared" si="13"/>
        <v>6.8060776878126665</v>
      </c>
      <c r="Y27" s="16">
        <f t="shared" si="5"/>
        <v>7</v>
      </c>
      <c r="Z27" s="14">
        <f t="shared" si="0"/>
        <v>-89261.784222547358</v>
      </c>
      <c r="AA27" s="14">
        <f t="shared" si="14"/>
        <v>543971.98137273791</v>
      </c>
      <c r="AB27" s="14">
        <f>'BSFC '!$X$14</f>
        <v>306.74480096579998</v>
      </c>
      <c r="AC27" s="14">
        <f t="shared" si="1"/>
        <v>0.39474222657737118</v>
      </c>
      <c r="AD27" s="14">
        <f t="shared" si="15"/>
        <v>7.7525735222559469</v>
      </c>
      <c r="AE27" s="14">
        <f t="shared" si="16"/>
        <v>1.2197534801240768</v>
      </c>
      <c r="AF27" s="14">
        <f>0.5*'Vehicle '!$F$40*'Duty Cycle '!L27^2/1000</f>
        <v>33.819793986870565</v>
      </c>
      <c r="AG27" s="14">
        <f t="shared" si="6"/>
        <v>-89227.964428560488</v>
      </c>
    </row>
    <row r="28" spans="1:33" ht="30" customHeight="1" x14ac:dyDescent="0.25">
      <c r="A28" s="36">
        <v>18</v>
      </c>
      <c r="B28" s="13">
        <f t="shared" si="7"/>
        <v>25</v>
      </c>
      <c r="C28" s="14" t="s">
        <v>86</v>
      </c>
      <c r="D28" s="14">
        <f>SUM($L$3:L28)</f>
        <v>207.91948292918346</v>
      </c>
      <c r="E28" s="14">
        <f t="shared" si="8"/>
        <v>11.264723258353399</v>
      </c>
      <c r="F28" s="15" t="s">
        <v>54</v>
      </c>
      <c r="G28" s="14">
        <v>16</v>
      </c>
      <c r="H28" s="14">
        <f t="shared" si="9"/>
        <v>-1.1999999999999993</v>
      </c>
      <c r="I28" s="14">
        <f t="shared" si="10"/>
        <v>-6.0806299612652248</v>
      </c>
      <c r="J28" s="14">
        <v>3</v>
      </c>
      <c r="K28" s="14">
        <v>5500</v>
      </c>
      <c r="L28" s="14">
        <v>11.264723258353396</v>
      </c>
      <c r="M28" s="14">
        <f t="shared" si="2"/>
        <v>25.199185928936547</v>
      </c>
      <c r="N28" s="14">
        <f t="shared" si="11"/>
        <v>1.0582012757847092</v>
      </c>
      <c r="O28" s="14">
        <f>IF(J28=1,'[1]Gearing '!$C$17*'Duty Cycle '!N28,IF(J28=2,'[1]Gearing '!$C$18*'Duty Cycle '!N28,IF(J28=3,'[1]Gearing '!$C$19*'Duty Cycle '!N28)))</f>
        <v>637.23155514912253</v>
      </c>
      <c r="P28" s="14">
        <f>IF(F28='Track '!$B$60,'Track '!$F$53,IF(F28='Track '!$B$61,'Track '!$F$54,IF(F28='Track '!$B$62,'Track '!$F$55)))</f>
        <v>0.02</v>
      </c>
      <c r="Q28" s="14">
        <f>P28*'Vehicle '!$F$40*9.81</f>
        <v>127.39265999999999</v>
      </c>
      <c r="R28" s="14">
        <f>0.5*'Vehicle '!$F$53*'Vehicle '!$F$25*'Track '!$F$57*'Duty Cycle '!L28^2</f>
        <v>48.489416402465956</v>
      </c>
      <c r="S28" s="14">
        <f>'Vehicle '!$F$40*9.81*SIN(RADIANS('Duty Cycle '!I28))</f>
        <v>-674.72190156773252</v>
      </c>
      <c r="T28" s="18">
        <f t="shared" si="3"/>
        <v>-498.83982516526657</v>
      </c>
      <c r="U28" s="14">
        <f t="shared" si="12"/>
        <v>5.6192925807321199</v>
      </c>
      <c r="V28" s="14">
        <f>'Vehicle '!$F$9-'Duty Cycle '!U28</f>
        <v>7.803526211214189</v>
      </c>
      <c r="W28" s="14">
        <f t="shared" si="4"/>
        <v>5.6192925807321199</v>
      </c>
      <c r="X28" s="16">
        <f t="shared" si="13"/>
        <v>9.7564166280341507</v>
      </c>
      <c r="Y28" s="16">
        <f t="shared" si="5"/>
        <v>10</v>
      </c>
      <c r="Z28" s="14">
        <f t="shared" si="0"/>
        <v>-103718.51851284651</v>
      </c>
      <c r="AA28" s="14">
        <f t="shared" si="14"/>
        <v>440253.46285989141</v>
      </c>
      <c r="AB28" s="14">
        <f>'BSFC '!$X$14</f>
        <v>306.74480096579998</v>
      </c>
      <c r="AC28" s="14">
        <f t="shared" si="1"/>
        <v>0.47880244006813072</v>
      </c>
      <c r="AD28" s="14">
        <f t="shared" si="15"/>
        <v>8.2313759623240781</v>
      </c>
      <c r="AE28" s="14">
        <f t="shared" si="16"/>
        <v>1.479499539810524</v>
      </c>
      <c r="AF28" s="14">
        <f>0.5*'Vehicle '!$F$40*'Duty Cycle '!L28^2/1000</f>
        <v>41.19613388183803</v>
      </c>
      <c r="AG28" s="14">
        <f t="shared" si="6"/>
        <v>-103677.32237896467</v>
      </c>
    </row>
    <row r="29" spans="1:33" ht="30" customHeight="1" x14ac:dyDescent="0.25">
      <c r="A29" s="36"/>
      <c r="B29" s="13">
        <f t="shared" si="7"/>
        <v>26</v>
      </c>
      <c r="C29" s="14" t="s">
        <v>86</v>
      </c>
      <c r="D29" s="14">
        <f>SUM($L$3:L29)</f>
        <v>220.20827193829626</v>
      </c>
      <c r="E29" s="14">
        <f t="shared" si="8"/>
        <v>12.288789009112804</v>
      </c>
      <c r="F29" s="15" t="s">
        <v>54</v>
      </c>
      <c r="G29" s="14">
        <v>15</v>
      </c>
      <c r="H29" s="14">
        <f t="shared" si="9"/>
        <v>-1</v>
      </c>
      <c r="I29" s="14">
        <f t="shared" si="10"/>
        <v>-4.6521924040056453</v>
      </c>
      <c r="J29" s="14">
        <v>3</v>
      </c>
      <c r="K29" s="14">
        <v>6000</v>
      </c>
      <c r="L29" s="14">
        <v>12.288789009112795</v>
      </c>
      <c r="M29" s="14">
        <f t="shared" si="2"/>
        <v>27.490021013385324</v>
      </c>
      <c r="N29" s="14">
        <f t="shared" si="11"/>
        <v>1.0240657507593998</v>
      </c>
      <c r="O29" s="14">
        <f>IF(J29=1,'[1]Gearing '!$C$17*'Duty Cycle '!N29,IF(J29=2,'[1]Gearing '!$C$18*'Duty Cycle '!N29,IF(J29=3,'[1]Gearing '!$C$19*'Duty Cycle '!N29)))</f>
        <v>616.67569853141106</v>
      </c>
      <c r="P29" s="14">
        <f>IF(F29='Track '!$B$60,'Track '!$F$53,IF(F29='Track '!$B$61,'Track '!$F$54,IF(F29='Track '!$B$62,'Track '!$F$55)))</f>
        <v>0.02</v>
      </c>
      <c r="Q29" s="14">
        <f>P29*'Vehicle '!$F$40*9.81</f>
        <v>127.39265999999999</v>
      </c>
      <c r="R29" s="14">
        <f>0.5*'Vehicle '!$F$53*'Vehicle '!$F$25*'Track '!$F$57*'Duty Cycle '!L29^2</f>
        <v>57.70641290871982</v>
      </c>
      <c r="S29" s="14">
        <f>'Vehicle '!$F$40*9.81*SIN(RADIANS('Duty Cycle '!I29))</f>
        <v>-516.62109765348362</v>
      </c>
      <c r="T29" s="18">
        <f t="shared" si="3"/>
        <v>-331.52202474476383</v>
      </c>
      <c r="U29" s="14">
        <f t="shared" si="12"/>
        <v>4.0740042139622741</v>
      </c>
      <c r="V29" s="14">
        <f>'Vehicle '!$F$9-'Duty Cycle '!U29</f>
        <v>9.3488145779840348</v>
      </c>
      <c r="W29" s="14">
        <f t="shared" si="4"/>
        <v>4.0740042139622741</v>
      </c>
      <c r="X29" s="16">
        <f t="shared" si="13"/>
        <v>6.4839790882930757</v>
      </c>
      <c r="Y29" s="16">
        <f t="shared" si="5"/>
        <v>7</v>
      </c>
      <c r="Z29" s="14">
        <f t="shared" si="0"/>
        <v>-73003.892178529539</v>
      </c>
      <c r="AA29" s="14">
        <f t="shared" si="14"/>
        <v>367249.57068136189</v>
      </c>
      <c r="AB29" s="14">
        <f>'BSFC '!$X$14</f>
        <v>306.74480096579998</v>
      </c>
      <c r="AC29" s="14">
        <f t="shared" si="1"/>
        <v>0.34713322548491338</v>
      </c>
      <c r="AD29" s="14">
        <f t="shared" si="15"/>
        <v>8.5785091878089919</v>
      </c>
      <c r="AE29" s="14">
        <f t="shared" si="16"/>
        <v>1.0726416667483822</v>
      </c>
      <c r="AF29" s="14">
        <f>0.5*'Vehicle '!$F$40*'Duty Cycle '!L29^2/1000</f>
        <v>49.026803958551042</v>
      </c>
      <c r="AG29" s="14">
        <f t="shared" si="6"/>
        <v>-72954.865374570989</v>
      </c>
    </row>
    <row r="30" spans="1:33" ht="30" customHeight="1" x14ac:dyDescent="0.25">
      <c r="A30" s="20" t="s">
        <v>135</v>
      </c>
      <c r="B30" s="13">
        <f t="shared" si="7"/>
        <v>27</v>
      </c>
      <c r="C30" s="14" t="s">
        <v>86</v>
      </c>
      <c r="D30" s="14">
        <f>SUM($L$3:L30)</f>
        <v>233.52112669816847</v>
      </c>
      <c r="E30" s="14">
        <f t="shared" si="8"/>
        <v>13.312854759872209</v>
      </c>
      <c r="F30" s="15" t="s">
        <v>54</v>
      </c>
      <c r="G30" s="14">
        <v>14.2</v>
      </c>
      <c r="H30" s="14">
        <f t="shared" si="9"/>
        <v>-0.80000000000000071</v>
      </c>
      <c r="I30" s="14">
        <f t="shared" si="10"/>
        <v>-3.4388994976108922</v>
      </c>
      <c r="J30" s="14">
        <v>3</v>
      </c>
      <c r="K30" s="14">
        <v>6500</v>
      </c>
      <c r="L30" s="14">
        <v>13.312854759872195</v>
      </c>
      <c r="M30" s="14">
        <f t="shared" si="2"/>
        <v>29.780856097834103</v>
      </c>
      <c r="N30" s="14">
        <f t="shared" si="11"/>
        <v>1.0240657507593998</v>
      </c>
      <c r="O30" s="14">
        <f>IF(J30=1,'[1]Gearing '!$C$17*'Duty Cycle '!N30,IF(J30=2,'[1]Gearing '!$C$18*'Duty Cycle '!N30,IF(J30=3,'[1]Gearing '!$C$19*'Duty Cycle '!N30)))</f>
        <v>616.67569853141106</v>
      </c>
      <c r="P30" s="14">
        <f>IF(F30='Track '!$B$60,'Track '!$F$53,IF(F30='Track '!$B$61,'Track '!$F$54,IF(F30='Track '!$B$62,'Track '!$F$55)))</f>
        <v>0.02</v>
      </c>
      <c r="Q30" s="14">
        <f>P30*'Vehicle '!$F$40*9.81</f>
        <v>127.39265999999999</v>
      </c>
      <c r="R30" s="14">
        <f>0.5*'Vehicle '!$F$53*'Vehicle '!$F$25*'Track '!$F$57*'Duty Cycle '!L30^2</f>
        <v>67.724887372039234</v>
      </c>
      <c r="S30" s="14">
        <f>'Vehicle '!$F$40*9.81*SIN(RADIANS('Duty Cycle '!I30))</f>
        <v>-382.07663367814348</v>
      </c>
      <c r="T30" s="18">
        <f t="shared" si="3"/>
        <v>-186.95908630610427</v>
      </c>
      <c r="U30" s="14">
        <f t="shared" si="12"/>
        <v>2.488959162031577</v>
      </c>
      <c r="V30" s="14">
        <f>'Vehicle '!$F$9-'Duty Cycle '!U30</f>
        <v>10.933859629914732</v>
      </c>
      <c r="W30" s="14">
        <f t="shared" si="4"/>
        <v>2.488959162031577</v>
      </c>
      <c r="X30" s="16">
        <f t="shared" si="13"/>
        <v>3.6565860349955734</v>
      </c>
      <c r="Y30" s="16">
        <f t="shared" si="5"/>
        <v>4</v>
      </c>
      <c r="Z30" s="14">
        <f t="shared" si="0"/>
        <v>-43658.896480661591</v>
      </c>
      <c r="AA30" s="14">
        <f t="shared" si="14"/>
        <v>323590.6742007003</v>
      </c>
      <c r="AB30" s="14">
        <f>'BSFC '!$X$14</f>
        <v>306.74480096579998</v>
      </c>
      <c r="AC30" s="14">
        <f t="shared" si="1"/>
        <v>0.21207646743593897</v>
      </c>
      <c r="AD30" s="14">
        <f t="shared" si="15"/>
        <v>8.7905856552449304</v>
      </c>
      <c r="AE30" s="14">
        <f t="shared" si="16"/>
        <v>0.65531628437705136</v>
      </c>
      <c r="AF30" s="14">
        <f>0.5*'Vehicle '!$F$40*'Duty Cycle '!L30^2/1000</f>
        <v>57.538401868021715</v>
      </c>
      <c r="AG30" s="14">
        <f t="shared" si="6"/>
        <v>-43601.358078793572</v>
      </c>
    </row>
    <row r="31" spans="1:33" ht="30" customHeight="1" x14ac:dyDescent="0.25">
      <c r="A31" s="20"/>
      <c r="B31" s="13">
        <f t="shared" si="7"/>
        <v>28</v>
      </c>
      <c r="C31" s="14" t="s">
        <v>86</v>
      </c>
      <c r="D31" s="14">
        <f>SUM($L$3:L31)</f>
        <v>246.83398145804068</v>
      </c>
      <c r="E31" s="14">
        <f t="shared" si="8"/>
        <v>13.312854759872209</v>
      </c>
      <c r="F31" s="15" t="s">
        <v>54</v>
      </c>
      <c r="G31" s="14">
        <v>14</v>
      </c>
      <c r="H31" s="14">
        <f t="shared" si="9"/>
        <v>-0.19999999999999929</v>
      </c>
      <c r="I31" s="14">
        <f t="shared" si="10"/>
        <v>-0.86069397910671375</v>
      </c>
      <c r="J31" s="14">
        <v>3</v>
      </c>
      <c r="K31" s="14">
        <v>6500</v>
      </c>
      <c r="L31" s="14">
        <v>13.312854759872195</v>
      </c>
      <c r="M31" s="14">
        <f t="shared" si="2"/>
        <v>29.780856097834103</v>
      </c>
      <c r="N31" s="14">
        <f t="shared" si="11"/>
        <v>0</v>
      </c>
      <c r="O31" s="14">
        <f>IF(J31=1,'[1]Gearing '!$C$17*'Duty Cycle '!N31,IF(J31=2,'[1]Gearing '!$C$18*'Duty Cycle '!N31,IF(J31=3,'[1]Gearing '!$C$19*'Duty Cycle '!N31)))</f>
        <v>0</v>
      </c>
      <c r="P31" s="14">
        <f>IF(F31='Track '!$B$60,'Track '!$F$53,IF(F31='Track '!$B$61,'Track '!$F$54,IF(F31='Track '!$B$62,'Track '!$F$55)))</f>
        <v>0.02</v>
      </c>
      <c r="Q31" s="14">
        <f>P31*'Vehicle '!$F$40*9.81</f>
        <v>127.39265999999999</v>
      </c>
      <c r="R31" s="14">
        <f>0.5*'Vehicle '!$F$53*'Vehicle '!$F$25*'Track '!$F$57*'Duty Cycle '!L31^2</f>
        <v>67.724887372039234</v>
      </c>
      <c r="S31" s="14">
        <f>'Vehicle '!$F$40*9.81*SIN(RADIANS('Duty Cycle '!I31))</f>
        <v>-95.680670247492003</v>
      </c>
      <c r="T31" s="18">
        <f t="shared" si="3"/>
        <v>99.436877124547209</v>
      </c>
      <c r="U31" s="14">
        <f t="shared" si="12"/>
        <v>1.3237887029343549</v>
      </c>
      <c r="V31" s="14">
        <f>'Vehicle '!$F$9-'Duty Cycle '!U31</f>
        <v>12.099030089011954</v>
      </c>
      <c r="W31" s="14">
        <f t="shared" si="4"/>
        <v>1.3237887029343549</v>
      </c>
      <c r="X31" s="16">
        <f t="shared" si="13"/>
        <v>1.9448078370573341</v>
      </c>
      <c r="Y31" s="16">
        <f t="shared" si="5"/>
        <v>2</v>
      </c>
      <c r="Z31" s="14">
        <f t="shared" si="0"/>
        <v>24544.400284405954</v>
      </c>
      <c r="AA31" s="14">
        <f t="shared" si="14"/>
        <v>348135.07448510628</v>
      </c>
      <c r="AB31" s="14">
        <f>'BSFC '!$X$14</f>
        <v>306.74480096579998</v>
      </c>
      <c r="AC31" s="14">
        <f t="shared" si="1"/>
        <v>0.11279591727843701</v>
      </c>
      <c r="AD31" s="14">
        <f t="shared" si="15"/>
        <v>8.9033815725233669</v>
      </c>
      <c r="AE31" s="14">
        <f t="shared" si="16"/>
        <v>0.34853938439037035</v>
      </c>
      <c r="AF31" s="14">
        <f>0.5*'Vehicle '!$F$40*'Duty Cycle '!L31^2/1000</f>
        <v>57.538401868021715</v>
      </c>
      <c r="AG31" s="14">
        <f t="shared" si="6"/>
        <v>24601.938686273978</v>
      </c>
    </row>
    <row r="32" spans="1:33" ht="30" customHeight="1" x14ac:dyDescent="0.25">
      <c r="A32" s="36">
        <v>18</v>
      </c>
      <c r="B32" s="13">
        <f t="shared" si="7"/>
        <v>29</v>
      </c>
      <c r="C32" s="14" t="s">
        <v>71</v>
      </c>
      <c r="D32" s="14">
        <f>SUM($L$3:L32)</f>
        <v>260.14683621791289</v>
      </c>
      <c r="E32" s="14">
        <f t="shared" si="8"/>
        <v>13.312854759872209</v>
      </c>
      <c r="F32" s="15" t="s">
        <v>54</v>
      </c>
      <c r="G32" s="14">
        <v>14</v>
      </c>
      <c r="H32" s="14">
        <f t="shared" si="9"/>
        <v>0</v>
      </c>
      <c r="I32" s="14">
        <f t="shared" si="10"/>
        <v>0</v>
      </c>
      <c r="J32" s="14">
        <v>3</v>
      </c>
      <c r="K32" s="14">
        <v>6500</v>
      </c>
      <c r="L32" s="14">
        <v>13.312854759872195</v>
      </c>
      <c r="M32" s="14">
        <f t="shared" si="2"/>
        <v>29.780856097834103</v>
      </c>
      <c r="N32" s="14">
        <f t="shared" si="11"/>
        <v>0</v>
      </c>
      <c r="O32" s="14">
        <f>IF(J32=1,'[1]Gearing '!$C$17*'Duty Cycle '!N32,IF(J32=2,'[1]Gearing '!$C$18*'Duty Cycle '!N32,IF(J32=3,'[1]Gearing '!$C$19*'Duty Cycle '!N32)))</f>
        <v>0</v>
      </c>
      <c r="P32" s="14">
        <f>IF(F32='Track '!$B$60,'Track '!$F$53,IF(F32='Track '!$B$61,'Track '!$F$54,IF(F32='Track '!$B$62,'Track '!$F$55)))</f>
        <v>0.02</v>
      </c>
      <c r="Q32" s="14">
        <f>P32*'Vehicle '!$F$40*9.81</f>
        <v>127.39265999999999</v>
      </c>
      <c r="R32" s="14">
        <f>0.5*'Vehicle '!$F$53*'Vehicle '!$F$25*'Track '!$F$57*'Duty Cycle '!L32^2</f>
        <v>67.724887372039234</v>
      </c>
      <c r="S32" s="14">
        <f>'Vehicle '!$F$40*9.81*SIN(RADIANS('Duty Cycle '!I32))</f>
        <v>0</v>
      </c>
      <c r="T32" s="18">
        <f t="shared" si="3"/>
        <v>195.11754737203921</v>
      </c>
      <c r="U32" s="14">
        <f t="shared" si="12"/>
        <v>2.5975715692664409</v>
      </c>
      <c r="V32" s="14">
        <f>'Vehicle '!$F$9-'Duty Cycle '!U32</f>
        <v>10.825247222679868</v>
      </c>
      <c r="W32" s="14">
        <f t="shared" si="4"/>
        <v>2.5975715692664409</v>
      </c>
      <c r="X32" s="16">
        <f t="shared" si="13"/>
        <v>3.8161509718497753</v>
      </c>
      <c r="Y32" s="16">
        <f t="shared" si="5"/>
        <v>4</v>
      </c>
      <c r="Z32" s="14">
        <f t="shared" si="0"/>
        <v>50759.212639434743</v>
      </c>
      <c r="AA32" s="14">
        <f t="shared" si="14"/>
        <v>398894.28712454101</v>
      </c>
      <c r="AB32" s="14">
        <f>'BSFC '!$X$14</f>
        <v>306.74480096579998</v>
      </c>
      <c r="AC32" s="14">
        <f t="shared" si="1"/>
        <v>0.22133099278029308</v>
      </c>
      <c r="AD32" s="14">
        <f t="shared" si="15"/>
        <v>9.1247125653036605</v>
      </c>
      <c r="AE32" s="14">
        <f t="shared" si="16"/>
        <v>0.68391276769110565</v>
      </c>
      <c r="AF32" s="14">
        <f>0.5*'Vehicle '!$F$40*'Duty Cycle '!L32^2/1000</f>
        <v>57.538401868021715</v>
      </c>
      <c r="AG32" s="14">
        <f t="shared" si="6"/>
        <v>50816.751041302763</v>
      </c>
    </row>
    <row r="33" spans="1:33" ht="30" customHeight="1" x14ac:dyDescent="0.25">
      <c r="A33" s="36"/>
      <c r="B33" s="13">
        <f t="shared" si="7"/>
        <v>30</v>
      </c>
      <c r="C33" s="14" t="s">
        <v>71</v>
      </c>
      <c r="D33" s="14">
        <f>SUM($L$3:L33)</f>
        <v>273.4596909777851</v>
      </c>
      <c r="E33" s="14">
        <f t="shared" si="8"/>
        <v>13.312854759872209</v>
      </c>
      <c r="F33" s="15" t="s">
        <v>54</v>
      </c>
      <c r="G33" s="14">
        <v>14</v>
      </c>
      <c r="H33" s="14">
        <f t="shared" si="9"/>
        <v>0</v>
      </c>
      <c r="I33" s="14">
        <f t="shared" si="10"/>
        <v>0</v>
      </c>
      <c r="J33" s="14">
        <v>3</v>
      </c>
      <c r="K33" s="14">
        <v>6500</v>
      </c>
      <c r="L33" s="14">
        <v>13.312854759872195</v>
      </c>
      <c r="M33" s="14">
        <f t="shared" si="2"/>
        <v>29.780856097834103</v>
      </c>
      <c r="N33" s="14">
        <f t="shared" si="11"/>
        <v>0</v>
      </c>
      <c r="O33" s="14">
        <f>IF(J33=1,'[1]Gearing '!$C$17*'Duty Cycle '!N33,IF(J33=2,'[1]Gearing '!$C$18*'Duty Cycle '!N33,IF(J33=3,'[1]Gearing '!$C$19*'Duty Cycle '!N33)))</f>
        <v>0</v>
      </c>
      <c r="P33" s="14">
        <f>IF(F33='Track '!$B$60,'Track '!$F$53,IF(F33='Track '!$B$61,'Track '!$F$54,IF(F33='Track '!$B$62,'Track '!$F$55)))</f>
        <v>0.02</v>
      </c>
      <c r="Q33" s="14">
        <f>P33*'Vehicle '!$F$40*9.81</f>
        <v>127.39265999999999</v>
      </c>
      <c r="R33" s="14">
        <f>0.5*'Vehicle '!$F$53*'Vehicle '!$F$25*'Track '!$F$57*'Duty Cycle '!L33^2</f>
        <v>67.724887372039234</v>
      </c>
      <c r="S33" s="14">
        <f>'Vehicle '!$F$40*9.81*SIN(RADIANS('Duty Cycle '!I33))</f>
        <v>0</v>
      </c>
      <c r="T33" s="18">
        <f t="shared" si="3"/>
        <v>195.11754737203921</v>
      </c>
      <c r="U33" s="14">
        <f t="shared" si="12"/>
        <v>2.5975715692664409</v>
      </c>
      <c r="V33" s="14">
        <f>'Vehicle '!$F$9-'Duty Cycle '!U33</f>
        <v>10.825247222679868</v>
      </c>
      <c r="W33" s="14">
        <f t="shared" si="4"/>
        <v>2.5975715692664409</v>
      </c>
      <c r="X33" s="16">
        <f t="shared" si="13"/>
        <v>3.8161509718497753</v>
      </c>
      <c r="Y33" s="16">
        <f t="shared" si="5"/>
        <v>4</v>
      </c>
      <c r="Z33" s="14">
        <f t="shared" si="0"/>
        <v>53356.784208701189</v>
      </c>
      <c r="AA33" s="14">
        <f t="shared" si="14"/>
        <v>452251.07133324217</v>
      </c>
      <c r="AB33" s="14">
        <f>'BSFC '!$X$14</f>
        <v>306.74480096579998</v>
      </c>
      <c r="AC33" s="14">
        <f t="shared" si="1"/>
        <v>0.22133099278029308</v>
      </c>
      <c r="AD33" s="14">
        <f t="shared" si="15"/>
        <v>9.346043558083954</v>
      </c>
      <c r="AE33" s="14">
        <f t="shared" si="16"/>
        <v>0.68391276769110565</v>
      </c>
      <c r="AF33" s="14">
        <f>0.5*'Vehicle '!$F$40*'Duty Cycle '!L33^2/1000</f>
        <v>57.538401868021715</v>
      </c>
      <c r="AG33" s="14">
        <f t="shared" si="6"/>
        <v>53414.322610569208</v>
      </c>
    </row>
    <row r="34" spans="1:33" ht="30" customHeight="1" x14ac:dyDescent="0.25">
      <c r="A34" s="20" t="s">
        <v>136</v>
      </c>
      <c r="B34" s="13">
        <f t="shared" si="7"/>
        <v>31</v>
      </c>
      <c r="C34" s="14" t="s">
        <v>71</v>
      </c>
      <c r="D34" s="14">
        <f>SUM($L$3:L34)</f>
        <v>286.77254573765731</v>
      </c>
      <c r="E34" s="14">
        <f t="shared" si="8"/>
        <v>13.312854759872209</v>
      </c>
      <c r="F34" s="15" t="s">
        <v>54</v>
      </c>
      <c r="G34" s="14">
        <v>13.8</v>
      </c>
      <c r="H34" s="14">
        <f t="shared" si="9"/>
        <v>-0.19999999999999929</v>
      </c>
      <c r="I34" s="14">
        <f t="shared" si="10"/>
        <v>-0.86069397910671375</v>
      </c>
      <c r="J34" s="14">
        <v>3</v>
      </c>
      <c r="K34" s="14">
        <v>6500</v>
      </c>
      <c r="L34" s="14">
        <v>13.312854759872195</v>
      </c>
      <c r="M34" s="14">
        <f t="shared" si="2"/>
        <v>29.780856097834103</v>
      </c>
      <c r="N34" s="14">
        <f t="shared" si="11"/>
        <v>0</v>
      </c>
      <c r="O34" s="14">
        <f>IF(J34=1,'[1]Gearing '!$C$17*'Duty Cycle '!N34,IF(J34=2,'[1]Gearing '!$C$18*'Duty Cycle '!N34,IF(J34=3,'[1]Gearing '!$C$19*'Duty Cycle '!N34)))</f>
        <v>0</v>
      </c>
      <c r="P34" s="14">
        <f>IF(F34='Track '!$B$60,'Track '!$F$53,IF(F34='Track '!$B$61,'Track '!$F$54,IF(F34='Track '!$B$62,'Track '!$F$55)))</f>
        <v>0.02</v>
      </c>
      <c r="Q34" s="14">
        <f>P34*'Vehicle '!$F$40*9.81</f>
        <v>127.39265999999999</v>
      </c>
      <c r="R34" s="14">
        <f>0.5*'Vehicle '!$F$53*'Vehicle '!$F$25*'Track '!$F$57*'Duty Cycle '!L34^2</f>
        <v>67.724887372039234</v>
      </c>
      <c r="S34" s="14">
        <f>'Vehicle '!$F$40*9.81*SIN(RADIANS('Duty Cycle '!I34))</f>
        <v>-95.680670247492003</v>
      </c>
      <c r="T34" s="18">
        <f t="shared" si="3"/>
        <v>99.436877124547209</v>
      </c>
      <c r="U34" s="14">
        <f t="shared" si="12"/>
        <v>1.3237887029343549</v>
      </c>
      <c r="V34" s="14">
        <f>'Vehicle '!$F$9-'Duty Cycle '!U34</f>
        <v>12.099030089011954</v>
      </c>
      <c r="W34" s="14">
        <f t="shared" si="4"/>
        <v>1.3237887029343549</v>
      </c>
      <c r="X34" s="16">
        <f t="shared" si="13"/>
        <v>1.9448078370573341</v>
      </c>
      <c r="Y34" s="16">
        <f t="shared" si="5"/>
        <v>2</v>
      </c>
      <c r="Z34" s="14">
        <f t="shared" si="0"/>
        <v>28515.766393209025</v>
      </c>
      <c r="AA34" s="14">
        <f t="shared" si="14"/>
        <v>480766.83772645122</v>
      </c>
      <c r="AB34" s="14">
        <f>'BSFC '!$X$14</f>
        <v>306.74480096579998</v>
      </c>
      <c r="AC34" s="14">
        <f t="shared" si="1"/>
        <v>0.11279591727843701</v>
      </c>
      <c r="AD34" s="14">
        <f t="shared" si="15"/>
        <v>9.4588394753623906</v>
      </c>
      <c r="AE34" s="14">
        <f t="shared" si="16"/>
        <v>0.34853938439037035</v>
      </c>
      <c r="AF34" s="14">
        <f>0.5*'Vehicle '!$F$40*'Duty Cycle '!L34^2/1000</f>
        <v>57.538401868021715</v>
      </c>
      <c r="AG34" s="14">
        <f t="shared" si="6"/>
        <v>28573.304795077049</v>
      </c>
    </row>
    <row r="35" spans="1:33" ht="30" customHeight="1" x14ac:dyDescent="0.25">
      <c r="A35" s="20"/>
      <c r="B35" s="13">
        <f t="shared" si="7"/>
        <v>32</v>
      </c>
      <c r="C35" s="14" t="s">
        <v>71</v>
      </c>
      <c r="D35" s="14">
        <f>SUM($L$3:L35)</f>
        <v>300.08540049752952</v>
      </c>
      <c r="E35" s="14">
        <f t="shared" si="8"/>
        <v>13.312854759872209</v>
      </c>
      <c r="F35" s="15" t="s">
        <v>54</v>
      </c>
      <c r="G35" s="14">
        <v>13.2</v>
      </c>
      <c r="H35" s="14">
        <f t="shared" si="9"/>
        <v>-0.60000000000000142</v>
      </c>
      <c r="I35" s="14">
        <f t="shared" si="10"/>
        <v>-2.5805299027670867</v>
      </c>
      <c r="J35" s="14">
        <v>3</v>
      </c>
      <c r="K35" s="14">
        <v>6500</v>
      </c>
      <c r="L35" s="14">
        <v>13.312854759872195</v>
      </c>
      <c r="M35" s="14">
        <f t="shared" si="2"/>
        <v>29.780856097834103</v>
      </c>
      <c r="N35" s="14">
        <f t="shared" si="11"/>
        <v>0</v>
      </c>
      <c r="O35" s="14">
        <f>IF(J35=1,'[1]Gearing '!$C$17*'Duty Cycle '!N35,IF(J35=2,'[1]Gearing '!$C$18*'Duty Cycle '!N35,IF(J35=3,'[1]Gearing '!$C$19*'Duty Cycle '!N35)))</f>
        <v>0</v>
      </c>
      <c r="P35" s="14">
        <f>IF(F35='Track '!$B$60,'Track '!$F$53,IF(F35='Track '!$B$61,'Track '!$F$54,IF(F35='Track '!$B$62,'Track '!$F$55)))</f>
        <v>0.02</v>
      </c>
      <c r="Q35" s="14">
        <f>P35*'Vehicle '!$F$40*9.81</f>
        <v>127.39265999999999</v>
      </c>
      <c r="R35" s="14">
        <f>0.5*'Vehicle '!$F$53*'Vehicle '!$F$25*'Track '!$F$57*'Duty Cycle '!L35^2</f>
        <v>67.724887372039234</v>
      </c>
      <c r="S35" s="14">
        <f>'Vehicle '!$F$40*9.81*SIN(RADIANS('Duty Cycle '!I35))</f>
        <v>-286.78328623541336</v>
      </c>
      <c r="T35" s="18">
        <f t="shared" si="3"/>
        <v>-91.665738863374145</v>
      </c>
      <c r="U35" s="14">
        <f t="shared" si="12"/>
        <v>1.2203326679444721</v>
      </c>
      <c r="V35" s="14">
        <f>'Vehicle '!$F$9-'Duty Cycle '!U35</f>
        <v>12.202486124001837</v>
      </c>
      <c r="W35" s="14">
        <f t="shared" si="4"/>
        <v>1.2203326679444721</v>
      </c>
      <c r="X35" s="16">
        <f t="shared" si="13"/>
        <v>1.7928182429527686</v>
      </c>
      <c r="Y35" s="16">
        <f t="shared" si="5"/>
        <v>2</v>
      </c>
      <c r="Z35" s="14">
        <f t="shared" si="0"/>
        <v>-27507.549958717587</v>
      </c>
      <c r="AA35" s="14">
        <f t="shared" si="14"/>
        <v>453259.28776773362</v>
      </c>
      <c r="AB35" s="14">
        <f>'BSFC '!$X$14</f>
        <v>306.74480096579998</v>
      </c>
      <c r="AC35" s="14">
        <f t="shared" si="1"/>
        <v>0.10398075037241411</v>
      </c>
      <c r="AD35" s="14">
        <f t="shared" si="15"/>
        <v>9.5628202257348054</v>
      </c>
      <c r="AE35" s="14">
        <f t="shared" si="16"/>
        <v>0.32130051865075959</v>
      </c>
      <c r="AF35" s="14">
        <f>0.5*'Vehicle '!$F$40*'Duty Cycle '!L35^2/1000</f>
        <v>57.538401868021715</v>
      </c>
      <c r="AG35" s="14">
        <f t="shared" si="6"/>
        <v>-27450.011556849564</v>
      </c>
    </row>
    <row r="36" spans="1:33" ht="30" customHeight="1" x14ac:dyDescent="0.25">
      <c r="A36" s="36">
        <f>A28*A32</f>
        <v>324</v>
      </c>
      <c r="B36" s="13">
        <f t="shared" si="7"/>
        <v>33</v>
      </c>
      <c r="C36" s="14" t="s">
        <v>71</v>
      </c>
      <c r="D36" s="14">
        <f>SUM($L$3:L36)</f>
        <v>313.39825525740173</v>
      </c>
      <c r="E36" s="14">
        <f t="shared" si="8"/>
        <v>13.312854759872209</v>
      </c>
      <c r="F36" s="15" t="s">
        <v>54</v>
      </c>
      <c r="G36" s="14">
        <v>12</v>
      </c>
      <c r="H36" s="14">
        <f t="shared" si="9"/>
        <v>-1.1999999999999993</v>
      </c>
      <c r="I36" s="14">
        <f t="shared" si="10"/>
        <v>-5.1506329258760664</v>
      </c>
      <c r="J36" s="14">
        <v>3</v>
      </c>
      <c r="K36" s="14">
        <v>6500</v>
      </c>
      <c r="L36" s="14">
        <v>13.312854759872195</v>
      </c>
      <c r="M36" s="14">
        <f t="shared" si="2"/>
        <v>29.780856097834103</v>
      </c>
      <c r="N36" s="14">
        <f t="shared" si="11"/>
        <v>0</v>
      </c>
      <c r="O36" s="14">
        <f>IF(J36=1,'[1]Gearing '!$C$17*'Duty Cycle '!N36,IF(J36=2,'[1]Gearing '!$C$18*'Duty Cycle '!N36,IF(J36=3,'[1]Gearing '!$C$19*'Duty Cycle '!N36)))</f>
        <v>0</v>
      </c>
      <c r="P36" s="14">
        <f>IF(F36='Track '!$B$60,'Track '!$F$53,IF(F36='Track '!$B$61,'Track '!$F$54,IF(F36='Track '!$B$62,'Track '!$F$55)))</f>
        <v>0.02</v>
      </c>
      <c r="Q36" s="14">
        <f>P36*'Vehicle '!$F$40*9.81</f>
        <v>127.39265999999999</v>
      </c>
      <c r="R36" s="14">
        <f>0.5*'Vehicle '!$F$53*'Vehicle '!$F$25*'Track '!$F$57*'Duty Cycle '!L36^2</f>
        <v>67.724887372039234</v>
      </c>
      <c r="S36" s="14">
        <f>'Vehicle '!$F$40*9.81*SIN(RADIANS('Duty Cycle '!I36))</f>
        <v>-571.8304569407336</v>
      </c>
      <c r="T36" s="18">
        <f t="shared" si="3"/>
        <v>-376.71290956869439</v>
      </c>
      <c r="U36" s="14">
        <f t="shared" si="12"/>
        <v>5.0151242512568972</v>
      </c>
      <c r="V36" s="14">
        <f>'Vehicle '!$F$9-'Duty Cycle '!U36</f>
        <v>8.4076945406894126</v>
      </c>
      <c r="W36" s="14">
        <f t="shared" si="4"/>
        <v>5.0151242512568972</v>
      </c>
      <c r="X36" s="16">
        <f t="shared" si="13"/>
        <v>7.3678321366853137</v>
      </c>
      <c r="Y36" s="16">
        <f t="shared" si="5"/>
        <v>8</v>
      </c>
      <c r="Z36" s="14">
        <f t="shared" si="0"/>
        <v>-118061.16859176818</v>
      </c>
      <c r="AA36" s="14">
        <f t="shared" si="14"/>
        <v>335198.11917596543</v>
      </c>
      <c r="AB36" s="14">
        <f>'BSFC '!$X$14</f>
        <v>306.74480096579998</v>
      </c>
      <c r="AC36" s="14">
        <f t="shared" si="1"/>
        <v>0.42732313618626488</v>
      </c>
      <c r="AD36" s="14">
        <f t="shared" si="15"/>
        <v>9.9901433619210707</v>
      </c>
      <c r="AE36" s="14">
        <f t="shared" si="16"/>
        <v>1.3204284908155584</v>
      </c>
      <c r="AF36" s="14">
        <f>0.5*'Vehicle '!$F$40*'Duty Cycle '!L36^2/1000</f>
        <v>57.538401868021715</v>
      </c>
      <c r="AG36" s="14">
        <f t="shared" si="6"/>
        <v>-118003.63018990016</v>
      </c>
    </row>
    <row r="37" spans="1:33" ht="30" customHeight="1" x14ac:dyDescent="0.25">
      <c r="A37" s="36"/>
      <c r="B37" s="13">
        <f t="shared" si="7"/>
        <v>34</v>
      </c>
      <c r="C37" s="14" t="s">
        <v>71</v>
      </c>
      <c r="D37" s="14">
        <f>SUM($L$3:L37)</f>
        <v>326.71111001727394</v>
      </c>
      <c r="E37" s="14">
        <f t="shared" si="8"/>
        <v>13.312854759872209</v>
      </c>
      <c r="F37" s="15" t="s">
        <v>54</v>
      </c>
      <c r="G37" s="14">
        <v>11</v>
      </c>
      <c r="H37" s="14">
        <f t="shared" si="9"/>
        <v>-1</v>
      </c>
      <c r="I37" s="14">
        <f t="shared" si="10"/>
        <v>-4.2957264645771476</v>
      </c>
      <c r="J37" s="14">
        <v>3</v>
      </c>
      <c r="K37" s="14">
        <v>6500</v>
      </c>
      <c r="L37" s="14">
        <v>13.312854759872195</v>
      </c>
      <c r="M37" s="14">
        <f t="shared" si="2"/>
        <v>29.780856097834103</v>
      </c>
      <c r="N37" s="14">
        <f t="shared" si="11"/>
        <v>0</v>
      </c>
      <c r="O37" s="14">
        <f>IF(J37=1,'[1]Gearing '!$C$17*'Duty Cycle '!N37,IF(J37=2,'[1]Gearing '!$C$18*'Duty Cycle '!N37,IF(J37=3,'[1]Gearing '!$C$19*'Duty Cycle '!N37)))</f>
        <v>0</v>
      </c>
      <c r="P37" s="14">
        <f>IF(F37='Track '!$B$60,'Track '!$F$53,IF(F37='Track '!$B$61,'Track '!$F$54,IF(F37='Track '!$B$62,'Track '!$F$55)))</f>
        <v>0.02</v>
      </c>
      <c r="Q37" s="14">
        <f>P37*'Vehicle '!$F$40*9.81</f>
        <v>127.39265999999999</v>
      </c>
      <c r="R37" s="14">
        <f>0.5*'Vehicle '!$F$53*'Vehicle '!$F$25*'Track '!$F$57*'Duty Cycle '!L37^2</f>
        <v>67.724887372039234</v>
      </c>
      <c r="S37" s="14">
        <f>'Vehicle '!$F$40*9.81*SIN(RADIANS('Duty Cycle '!I37))</f>
        <v>-477.11321519062119</v>
      </c>
      <c r="T37" s="18">
        <f t="shared" si="3"/>
        <v>-281.99566781858198</v>
      </c>
      <c r="U37" s="14">
        <f t="shared" si="12"/>
        <v>3.7541673685819474</v>
      </c>
      <c r="V37" s="14">
        <f>'Vehicle '!$F$9-'Duty Cycle '!U37</f>
        <v>9.668651423364361</v>
      </c>
      <c r="W37" s="14">
        <f t="shared" si="4"/>
        <v>3.7541673685819474</v>
      </c>
      <c r="X37" s="16">
        <f t="shared" si="13"/>
        <v>5.5153319437302484</v>
      </c>
      <c r="Y37" s="16">
        <f t="shared" si="5"/>
        <v>6</v>
      </c>
      <c r="Z37" s="14">
        <f t="shared" si="0"/>
        <v>-92131.117653071371</v>
      </c>
      <c r="AA37" s="14">
        <f t="shared" si="14"/>
        <v>243067.00152289408</v>
      </c>
      <c r="AB37" s="14">
        <f>'BSFC '!$X$14</f>
        <v>306.74480096579998</v>
      </c>
      <c r="AC37" s="14">
        <f t="shared" si="1"/>
        <v>0.31988092285221403</v>
      </c>
      <c r="AD37" s="14">
        <f t="shared" si="15"/>
        <v>10.310024284773284</v>
      </c>
      <c r="AE37" s="14">
        <f t="shared" si="16"/>
        <v>0.98843205161334136</v>
      </c>
      <c r="AF37" s="14">
        <f>0.5*'Vehicle '!$F$40*'Duty Cycle '!L37^2/1000</f>
        <v>57.538401868021715</v>
      </c>
      <c r="AG37" s="14">
        <f t="shared" si="6"/>
        <v>-92073.579251203351</v>
      </c>
    </row>
    <row r="38" spans="1:33" ht="30" customHeight="1" x14ac:dyDescent="0.25">
      <c r="A38" s="20" t="s">
        <v>137</v>
      </c>
      <c r="B38" s="13">
        <f t="shared" si="7"/>
        <v>35</v>
      </c>
      <c r="C38" s="14" t="s">
        <v>71</v>
      </c>
      <c r="D38" s="14">
        <f>SUM($L$3:L38)</f>
        <v>340.02396477714615</v>
      </c>
      <c r="E38" s="14">
        <f t="shared" si="8"/>
        <v>13.312854759872209</v>
      </c>
      <c r="F38" s="15" t="s">
        <v>54</v>
      </c>
      <c r="G38" s="14">
        <v>10</v>
      </c>
      <c r="H38" s="14">
        <f t="shared" si="9"/>
        <v>-1</v>
      </c>
      <c r="I38" s="14">
        <f t="shared" si="10"/>
        <v>-4.2957264645771476</v>
      </c>
      <c r="J38" s="14">
        <v>3</v>
      </c>
      <c r="K38" s="14">
        <v>6500</v>
      </c>
      <c r="L38" s="14">
        <v>13.312854759872195</v>
      </c>
      <c r="M38" s="14">
        <f t="shared" si="2"/>
        <v>29.780856097834103</v>
      </c>
      <c r="N38" s="14">
        <f t="shared" si="11"/>
        <v>0</v>
      </c>
      <c r="O38" s="14">
        <f>IF(J38=1,'[1]Gearing '!$C$17*'Duty Cycle '!N38,IF(J38=2,'[1]Gearing '!$C$18*'Duty Cycle '!N38,IF(J38=3,'[1]Gearing '!$C$19*'Duty Cycle '!N38)))</f>
        <v>0</v>
      </c>
      <c r="P38" s="14">
        <f>IF(F38='Track '!$B$60,'Track '!$F$53,IF(F38='Track '!$B$61,'Track '!$F$54,IF(F38='Track '!$B$62,'Track '!$F$55)))</f>
        <v>0.02</v>
      </c>
      <c r="Q38" s="14">
        <f>P38*'Vehicle '!$F$40*9.81</f>
        <v>127.39265999999999</v>
      </c>
      <c r="R38" s="14">
        <f>0.5*'Vehicle '!$F$53*'Vehicle '!$F$25*'Track '!$F$57*'Duty Cycle '!L38^2</f>
        <v>67.724887372039234</v>
      </c>
      <c r="S38" s="14">
        <f>'Vehicle '!$F$40*9.81*SIN(RADIANS('Duty Cycle '!I38))</f>
        <v>-477.11321519062119</v>
      </c>
      <c r="T38" s="18">
        <f t="shared" si="3"/>
        <v>-281.99566781858198</v>
      </c>
      <c r="U38" s="14">
        <f t="shared" si="12"/>
        <v>3.7541673685819474</v>
      </c>
      <c r="V38" s="14">
        <f>'Vehicle '!$F$9-'Duty Cycle '!U38</f>
        <v>9.668651423364361</v>
      </c>
      <c r="W38" s="14">
        <f t="shared" si="4"/>
        <v>3.7541673685819474</v>
      </c>
      <c r="X38" s="16">
        <f t="shared" si="13"/>
        <v>5.5153319437302484</v>
      </c>
      <c r="Y38" s="16">
        <f t="shared" si="5"/>
        <v>6</v>
      </c>
      <c r="Z38" s="14">
        <f t="shared" si="0"/>
        <v>-95885.285021653326</v>
      </c>
      <c r="AA38" s="14">
        <f t="shared" si="14"/>
        <v>147181.71650124073</v>
      </c>
      <c r="AB38" s="14">
        <f>'BSFC '!$X$14</f>
        <v>306.74480096579998</v>
      </c>
      <c r="AC38" s="14">
        <f t="shared" si="1"/>
        <v>0.31988092285221403</v>
      </c>
      <c r="AD38" s="14">
        <f t="shared" si="15"/>
        <v>10.629905207625498</v>
      </c>
      <c r="AE38" s="14">
        <f t="shared" si="16"/>
        <v>0.98843205161334136</v>
      </c>
      <c r="AF38" s="14">
        <f>0.5*'Vehicle '!$F$40*'Duty Cycle '!L38^2/1000</f>
        <v>57.538401868021715</v>
      </c>
      <c r="AG38" s="14">
        <f t="shared" si="6"/>
        <v>-95827.746619785306</v>
      </c>
    </row>
    <row r="39" spans="1:33" ht="30" customHeight="1" x14ac:dyDescent="0.25">
      <c r="A39" s="20"/>
      <c r="B39" s="13">
        <f t="shared" si="7"/>
        <v>36</v>
      </c>
      <c r="C39" s="14" t="s">
        <v>71</v>
      </c>
      <c r="D39" s="14">
        <f>SUM($L$3:L39)</f>
        <v>353.33681953701836</v>
      </c>
      <c r="E39" s="14">
        <f t="shared" si="8"/>
        <v>13.312854759872209</v>
      </c>
      <c r="F39" s="15" t="s">
        <v>54</v>
      </c>
      <c r="G39" s="14">
        <v>9</v>
      </c>
      <c r="H39" s="14">
        <f t="shared" si="9"/>
        <v>-1</v>
      </c>
      <c r="I39" s="14">
        <f t="shared" si="10"/>
        <v>-4.2957264645771476</v>
      </c>
      <c r="J39" s="14">
        <v>3</v>
      </c>
      <c r="K39" s="14">
        <v>6500</v>
      </c>
      <c r="L39" s="14">
        <v>13.312854759872195</v>
      </c>
      <c r="M39" s="14">
        <f t="shared" si="2"/>
        <v>29.780856097834103</v>
      </c>
      <c r="N39" s="14">
        <f t="shared" si="11"/>
        <v>0</v>
      </c>
      <c r="O39" s="14">
        <f>IF(J39=1,'[1]Gearing '!$C$17*'Duty Cycle '!N39,IF(J39=2,'[1]Gearing '!$C$18*'Duty Cycle '!N39,IF(J39=3,'[1]Gearing '!$C$19*'Duty Cycle '!N39)))</f>
        <v>0</v>
      </c>
      <c r="P39" s="14">
        <f>IF(F39='Track '!$B$60,'Track '!$F$53,IF(F39='Track '!$B$61,'Track '!$F$54,IF(F39='Track '!$B$62,'Track '!$F$55)))</f>
        <v>0.02</v>
      </c>
      <c r="Q39" s="14">
        <f>P39*'Vehicle '!$F$40*9.81</f>
        <v>127.39265999999999</v>
      </c>
      <c r="R39" s="14">
        <f>0.5*'Vehicle '!$F$53*'Vehicle '!$F$25*'Track '!$F$57*'Duty Cycle '!L39^2</f>
        <v>67.724887372039234</v>
      </c>
      <c r="S39" s="14">
        <f>'Vehicle '!$F$40*9.81*SIN(RADIANS('Duty Cycle '!I39))</f>
        <v>-477.11321519062119</v>
      </c>
      <c r="T39" s="18">
        <f t="shared" si="3"/>
        <v>-281.99566781858198</v>
      </c>
      <c r="U39" s="14">
        <f t="shared" si="12"/>
        <v>3.7541673685819474</v>
      </c>
      <c r="V39" s="14">
        <f>'Vehicle '!$F$9-'Duty Cycle '!U39</f>
        <v>9.668651423364361</v>
      </c>
      <c r="W39" s="14">
        <f t="shared" si="4"/>
        <v>3.7541673685819474</v>
      </c>
      <c r="X39" s="16">
        <f t="shared" si="13"/>
        <v>5.5153319437302484</v>
      </c>
      <c r="Y39" s="16">
        <f t="shared" si="5"/>
        <v>6</v>
      </c>
      <c r="Z39" s="14">
        <f t="shared" si="0"/>
        <v>-99639.452390235281</v>
      </c>
      <c r="AA39" s="14">
        <f t="shared" si="14"/>
        <v>47542.264111005454</v>
      </c>
      <c r="AB39" s="14">
        <f>'BSFC '!$X$14</f>
        <v>306.74480096579998</v>
      </c>
      <c r="AC39" s="14">
        <f t="shared" si="1"/>
        <v>0.31988092285221403</v>
      </c>
      <c r="AD39" s="14">
        <f t="shared" si="15"/>
        <v>10.949786130477712</v>
      </c>
      <c r="AE39" s="14">
        <f t="shared" si="16"/>
        <v>0.98843205161334136</v>
      </c>
      <c r="AF39" s="14">
        <f>0.5*'Vehicle '!$F$40*'Duty Cycle '!L39^2/1000</f>
        <v>57.538401868021715</v>
      </c>
      <c r="AG39" s="14">
        <f t="shared" si="6"/>
        <v>-99581.913988367261</v>
      </c>
    </row>
    <row r="40" spans="1:33" ht="30" customHeight="1" x14ac:dyDescent="0.25">
      <c r="A40" s="35">
        <f>A36*A20</f>
        <v>35.090952054072886</v>
      </c>
      <c r="B40" s="13">
        <f t="shared" si="7"/>
        <v>37</v>
      </c>
      <c r="C40" s="14" t="s">
        <v>71</v>
      </c>
      <c r="D40" s="14">
        <f>SUM($L$3:L40)</f>
        <v>366.64967429689057</v>
      </c>
      <c r="E40" s="14">
        <f t="shared" si="8"/>
        <v>13.312854759872209</v>
      </c>
      <c r="F40" s="15" t="s">
        <v>54</v>
      </c>
      <c r="G40" s="14">
        <v>8</v>
      </c>
      <c r="H40" s="14">
        <f t="shared" si="9"/>
        <v>-1</v>
      </c>
      <c r="I40" s="14">
        <f t="shared" si="10"/>
        <v>-4.2957264645771476</v>
      </c>
      <c r="J40" s="14">
        <v>3</v>
      </c>
      <c r="K40" s="14">
        <v>6500</v>
      </c>
      <c r="L40" s="14">
        <v>13.312854759872195</v>
      </c>
      <c r="M40" s="14">
        <f t="shared" si="2"/>
        <v>29.780856097834103</v>
      </c>
      <c r="N40" s="14">
        <f t="shared" si="11"/>
        <v>0</v>
      </c>
      <c r="O40" s="14">
        <f>IF(J40=1,'[1]Gearing '!$C$17*'Duty Cycle '!N40,IF(J40=2,'[1]Gearing '!$C$18*'Duty Cycle '!N40,IF(J40=3,'[1]Gearing '!$C$19*'Duty Cycle '!N40)))</f>
        <v>0</v>
      </c>
      <c r="P40" s="14">
        <f>IF(F40='Track '!$B$60,'Track '!$F$53,IF(F40='Track '!$B$61,'Track '!$F$54,IF(F40='Track '!$B$62,'Track '!$F$55)))</f>
        <v>0.02</v>
      </c>
      <c r="Q40" s="14">
        <f>P40*'Vehicle '!$F$40*9.81</f>
        <v>127.39265999999999</v>
      </c>
      <c r="R40" s="14">
        <f>0.5*'Vehicle '!$F$53*'Vehicle '!$F$25*'Track '!$F$57*'Duty Cycle '!L40^2</f>
        <v>67.724887372039234</v>
      </c>
      <c r="S40" s="14">
        <f>'Vehicle '!$F$40*9.81*SIN(RADIANS('Duty Cycle '!I40))</f>
        <v>-477.11321519062119</v>
      </c>
      <c r="T40" s="18">
        <f t="shared" si="3"/>
        <v>-281.99566781858198</v>
      </c>
      <c r="U40" s="14">
        <f t="shared" si="12"/>
        <v>3.7541673685819474</v>
      </c>
      <c r="V40" s="14">
        <f>'Vehicle '!$F$9-'Duty Cycle '!U40</f>
        <v>9.668651423364361</v>
      </c>
      <c r="W40" s="14">
        <f t="shared" si="4"/>
        <v>3.7541673685819474</v>
      </c>
      <c r="X40" s="16">
        <f t="shared" si="13"/>
        <v>5.5153319437302484</v>
      </c>
      <c r="Y40" s="16">
        <f t="shared" si="5"/>
        <v>6</v>
      </c>
      <c r="Z40" s="14">
        <f t="shared" si="0"/>
        <v>-103393.61975881722</v>
      </c>
      <c r="AA40" s="14">
        <f t="shared" si="14"/>
        <v>-55851.355647811768</v>
      </c>
      <c r="AB40" s="14">
        <f>'BSFC '!$X$14</f>
        <v>306.74480096579998</v>
      </c>
      <c r="AC40" s="14">
        <f t="shared" si="1"/>
        <v>0.31988092285221403</v>
      </c>
      <c r="AD40" s="14">
        <f t="shared" si="15"/>
        <v>11.269667053329925</v>
      </c>
      <c r="AE40" s="14">
        <f t="shared" si="16"/>
        <v>0.98843205161334136</v>
      </c>
      <c r="AF40" s="14">
        <f>0.5*'Vehicle '!$F$40*'Duty Cycle '!L40^2/1000</f>
        <v>57.538401868021715</v>
      </c>
      <c r="AG40" s="14">
        <f t="shared" si="6"/>
        <v>-103336.0813569492</v>
      </c>
    </row>
    <row r="41" spans="1:33" ht="30" customHeight="1" x14ac:dyDescent="0.25">
      <c r="A41" s="35"/>
      <c r="B41" s="13">
        <f t="shared" si="7"/>
        <v>38</v>
      </c>
      <c r="C41" s="14" t="s">
        <v>85</v>
      </c>
      <c r="D41" s="14">
        <f>SUM($L$3:L41)</f>
        <v>379.96252905676278</v>
      </c>
      <c r="E41" s="14">
        <f t="shared" si="8"/>
        <v>13.312854759872209</v>
      </c>
      <c r="F41" s="15" t="s">
        <v>53</v>
      </c>
      <c r="G41" s="14">
        <v>7</v>
      </c>
      <c r="H41" s="14">
        <f t="shared" si="9"/>
        <v>-1</v>
      </c>
      <c r="I41" s="14">
        <f t="shared" si="10"/>
        <v>-4.2957264645771476</v>
      </c>
      <c r="J41" s="14">
        <v>3</v>
      </c>
      <c r="K41" s="14">
        <v>6500</v>
      </c>
      <c r="L41" s="14">
        <v>13.312854759872195</v>
      </c>
      <c r="M41" s="14">
        <f t="shared" si="2"/>
        <v>29.780856097834103</v>
      </c>
      <c r="N41" s="14">
        <f t="shared" si="11"/>
        <v>0</v>
      </c>
      <c r="O41" s="14">
        <f>IF(J41=1,'[1]Gearing '!$C$17*'Duty Cycle '!N41,IF(J41=2,'[1]Gearing '!$C$18*'Duty Cycle '!N41,IF(J41=3,'[1]Gearing '!$C$19*'Duty Cycle '!N41)))</f>
        <v>0</v>
      </c>
      <c r="P41" s="14">
        <f>IF(F41='Track '!$B$60,'Track '!$F$53,IF(F41='Track '!$B$61,'Track '!$F$54,IF(F41='Track '!$B$62,'Track '!$F$55)))</f>
        <v>0.04</v>
      </c>
      <c r="Q41" s="14">
        <f>P41*'Vehicle '!$F$40*9.81</f>
        <v>254.78531999999998</v>
      </c>
      <c r="R41" s="14">
        <f>0.5*'Vehicle '!$F$53*'Vehicle '!$F$25*'Track '!$F$57*'Duty Cycle '!L41^2</f>
        <v>67.724887372039234</v>
      </c>
      <c r="S41" s="14">
        <f>'Vehicle '!$F$40*9.81*SIN(RADIANS('Duty Cycle '!I41))</f>
        <v>-477.11321519062119</v>
      </c>
      <c r="T41" s="18">
        <f t="shared" si="3"/>
        <v>-154.603007818582</v>
      </c>
      <c r="U41" s="14">
        <f t="shared" si="12"/>
        <v>2.0582073885281673</v>
      </c>
      <c r="V41" s="14">
        <f>'Vehicle '!$F$9-'Duty Cycle '!U41</f>
        <v>11.364611403418142</v>
      </c>
      <c r="W41" s="14">
        <f t="shared" si="4"/>
        <v>2.0582073885281673</v>
      </c>
      <c r="X41" s="16">
        <f t="shared" si="13"/>
        <v>3.0237588903924832</v>
      </c>
      <c r="Y41" s="16">
        <f t="shared" si="5"/>
        <v>4</v>
      </c>
      <c r="Z41" s="14">
        <f t="shared" si="0"/>
        <v>-58743.349850530889</v>
      </c>
      <c r="AA41" s="14">
        <f t="shared" si="14"/>
        <v>-114594.70549834266</v>
      </c>
      <c r="AB41" s="14">
        <f>'BSFC '!$X$14</f>
        <v>306.74480096579998</v>
      </c>
      <c r="AC41" s="14">
        <f t="shared" si="1"/>
        <v>0.17537344881678099</v>
      </c>
      <c r="AD41" s="14">
        <f t="shared" si="15"/>
        <v>11.445040502146707</v>
      </c>
      <c r="AE41" s="14">
        <f t="shared" si="16"/>
        <v>0.54190395684385329</v>
      </c>
      <c r="AF41" s="14">
        <f>0.5*'Vehicle '!$F$40*'Duty Cycle '!L41^2/1000</f>
        <v>57.538401868021715</v>
      </c>
      <c r="AG41" s="14">
        <f t="shared" si="6"/>
        <v>-58685.811448662869</v>
      </c>
    </row>
    <row r="42" spans="1:33" ht="30" customHeight="1" x14ac:dyDescent="0.25">
      <c r="A42" s="20" t="s">
        <v>138</v>
      </c>
      <c r="B42" s="13">
        <f t="shared" si="7"/>
        <v>39</v>
      </c>
      <c r="C42" s="14" t="s">
        <v>85</v>
      </c>
      <c r="D42" s="14">
        <f>SUM($L$3:L42)</f>
        <v>393.27538381663499</v>
      </c>
      <c r="E42" s="14">
        <f t="shared" si="8"/>
        <v>13.312854759872209</v>
      </c>
      <c r="F42" s="15" t="s">
        <v>53</v>
      </c>
      <c r="G42" s="14">
        <v>6</v>
      </c>
      <c r="H42" s="14">
        <f t="shared" si="9"/>
        <v>-1</v>
      </c>
      <c r="I42" s="14">
        <f t="shared" si="10"/>
        <v>-4.2957264645771476</v>
      </c>
      <c r="J42" s="14">
        <v>3</v>
      </c>
      <c r="K42" s="14">
        <v>6500</v>
      </c>
      <c r="L42" s="14">
        <v>13.312854759872195</v>
      </c>
      <c r="M42" s="14">
        <f t="shared" si="2"/>
        <v>29.780856097834103</v>
      </c>
      <c r="N42" s="14">
        <f t="shared" si="11"/>
        <v>0</v>
      </c>
      <c r="O42" s="14">
        <f>IF(J42=1,'[1]Gearing '!$C$17*'Duty Cycle '!N42,IF(J42=2,'[1]Gearing '!$C$18*'Duty Cycle '!N42,IF(J42=3,'[1]Gearing '!$C$19*'Duty Cycle '!N42)))</f>
        <v>0</v>
      </c>
      <c r="P42" s="14">
        <f>IF(F42='Track '!$B$60,'Track '!$F$53,IF(F42='Track '!$B$61,'Track '!$F$54,IF(F42='Track '!$B$62,'Track '!$F$55)))</f>
        <v>0.04</v>
      </c>
      <c r="Q42" s="14">
        <f>P42*'Vehicle '!$F$40*9.81</f>
        <v>254.78531999999998</v>
      </c>
      <c r="R42" s="14">
        <f>0.5*'Vehicle '!$F$53*'Vehicle '!$F$25*'Track '!$F$57*'Duty Cycle '!L42^2</f>
        <v>67.724887372039234</v>
      </c>
      <c r="S42" s="14">
        <f>'Vehicle '!$F$40*9.81*SIN(RADIANS('Duty Cycle '!I42))</f>
        <v>-477.11321519062119</v>
      </c>
      <c r="T42" s="18">
        <f t="shared" si="3"/>
        <v>-154.603007818582</v>
      </c>
      <c r="U42" s="14">
        <f t="shared" si="12"/>
        <v>2.0582073885281673</v>
      </c>
      <c r="V42" s="14">
        <f>'Vehicle '!$F$9-'Duty Cycle '!U42</f>
        <v>11.364611403418142</v>
      </c>
      <c r="W42" s="14">
        <f t="shared" si="4"/>
        <v>2.0582073885281673</v>
      </c>
      <c r="X42" s="16">
        <f t="shared" si="13"/>
        <v>3.0237588903924832</v>
      </c>
      <c r="Y42" s="16">
        <f t="shared" si="5"/>
        <v>4</v>
      </c>
      <c r="Z42" s="14">
        <f t="shared" si="0"/>
        <v>-60801.557239059053</v>
      </c>
      <c r="AA42" s="14">
        <f t="shared" si="14"/>
        <v>-175396.2627374017</v>
      </c>
      <c r="AB42" s="14">
        <f>'BSFC '!$X$14</f>
        <v>306.74480096579998</v>
      </c>
      <c r="AC42" s="14">
        <f t="shared" si="1"/>
        <v>0.17537344881678099</v>
      </c>
      <c r="AD42" s="14">
        <f t="shared" si="15"/>
        <v>11.620413950963489</v>
      </c>
      <c r="AE42" s="14">
        <f t="shared" si="16"/>
        <v>0.54190395684385329</v>
      </c>
      <c r="AF42" s="14">
        <f>0.5*'Vehicle '!$F$40*'Duty Cycle '!L42^2/1000</f>
        <v>57.538401868021715</v>
      </c>
      <c r="AG42" s="14">
        <f t="shared" si="6"/>
        <v>-60744.018837191034</v>
      </c>
    </row>
    <row r="43" spans="1:33" ht="30" customHeight="1" x14ac:dyDescent="0.25">
      <c r="A43" s="20"/>
      <c r="B43" s="13">
        <f t="shared" si="7"/>
        <v>40</v>
      </c>
      <c r="C43" s="14" t="s">
        <v>85</v>
      </c>
      <c r="D43" s="14">
        <f>SUM($L$3:L43)</f>
        <v>406.07620570112749</v>
      </c>
      <c r="E43" s="14">
        <f t="shared" si="8"/>
        <v>12.800821884492507</v>
      </c>
      <c r="F43" s="15" t="s">
        <v>53</v>
      </c>
      <c r="G43" s="14">
        <v>5.5</v>
      </c>
      <c r="H43" s="14">
        <f t="shared" si="9"/>
        <v>-0.5</v>
      </c>
      <c r="I43" s="14">
        <f t="shared" si="10"/>
        <v>-2.2368355827447917</v>
      </c>
      <c r="J43" s="14">
        <v>3</v>
      </c>
      <c r="K43" s="14">
        <v>6250</v>
      </c>
      <c r="L43" s="14">
        <v>12.800821884492496</v>
      </c>
      <c r="M43" s="14">
        <f t="shared" si="2"/>
        <v>28.635438555609714</v>
      </c>
      <c r="N43" s="14">
        <f t="shared" si="11"/>
        <v>-0.51203287537969899</v>
      </c>
      <c r="O43" s="14">
        <f>IF(J43=1,'[1]Gearing '!$C$17*'Duty Cycle '!N43,IF(J43=2,'[1]Gearing '!$C$18*'Duty Cycle '!N43,IF(J43=3,'[1]Gearing '!$C$19*'Duty Cycle '!N43)))</f>
        <v>-308.33784926570502</v>
      </c>
      <c r="P43" s="14">
        <f>IF(F43='Track '!$B$60,'Track '!$F$53,IF(F43='Track '!$B$61,'Track '!$F$54,IF(F43='Track '!$B$62,'Track '!$F$55)))</f>
        <v>0.04</v>
      </c>
      <c r="Q43" s="14">
        <f>P43*'Vehicle '!$F$40*9.81</f>
        <v>254.78531999999998</v>
      </c>
      <c r="R43" s="14">
        <f>0.5*'Vehicle '!$F$53*'Vehicle '!$F$25*'Track '!$F$57*'Duty Cycle '!L43^2</f>
        <v>62.615465395746334</v>
      </c>
      <c r="S43" s="14">
        <f>'Vehicle '!$F$40*9.81*SIN(RADIANS('Duty Cycle '!I43))</f>
        <v>-248.60823742651846</v>
      </c>
      <c r="T43" s="18">
        <f t="shared" si="3"/>
        <v>68.792547969227854</v>
      </c>
      <c r="U43" s="14">
        <f t="shared" si="12"/>
        <v>0.88060115353449164</v>
      </c>
      <c r="V43" s="14">
        <f>'Vehicle '!$F$9-'Duty Cycle '!U43</f>
        <v>12.542217638411817</v>
      </c>
      <c r="W43" s="14">
        <f t="shared" si="4"/>
        <v>0.88060115353449164</v>
      </c>
      <c r="X43" s="16">
        <f t="shared" si="13"/>
        <v>1.3454594541834184</v>
      </c>
      <c r="Y43" s="16">
        <f t="shared" si="5"/>
        <v>2</v>
      </c>
      <c r="Z43" s="14">
        <f t="shared" si="0"/>
        <v>27935.016859856849</v>
      </c>
      <c r="AA43" s="14">
        <f t="shared" si="14"/>
        <v>-147461.24587754486</v>
      </c>
      <c r="AB43" s="14">
        <f>'BSFC '!$X$14</f>
        <v>306.74480096579998</v>
      </c>
      <c r="AC43" s="14">
        <f t="shared" si="1"/>
        <v>7.5033284880886522E-2</v>
      </c>
      <c r="AD43" s="14">
        <f t="shared" si="15"/>
        <v>11.695447235844375</v>
      </c>
      <c r="AE43" s="14">
        <f t="shared" si="16"/>
        <v>0.23185285028193933</v>
      </c>
      <c r="AF43" s="14">
        <f>0.5*'Vehicle '!$F$40*'Duty Cycle '!L43^2/1000</f>
        <v>53.19748693419168</v>
      </c>
      <c r="AG43" s="14">
        <f t="shared" si="6"/>
        <v>27988.214346791039</v>
      </c>
    </row>
    <row r="44" spans="1:33" ht="30" customHeight="1" x14ac:dyDescent="0.25">
      <c r="A44" s="35">
        <f>MAX(B:B)</f>
        <v>150</v>
      </c>
      <c r="B44" s="13">
        <f t="shared" si="7"/>
        <v>41</v>
      </c>
      <c r="C44" s="14" t="s">
        <v>85</v>
      </c>
      <c r="D44" s="14">
        <f>SUM($L$3:L44)</f>
        <v>418.3649947102403</v>
      </c>
      <c r="E44" s="14">
        <f t="shared" si="8"/>
        <v>12.288789009112804</v>
      </c>
      <c r="F44" s="15" t="s">
        <v>53</v>
      </c>
      <c r="G44" s="14">
        <v>5</v>
      </c>
      <c r="H44" s="14">
        <f t="shared" si="9"/>
        <v>-0.5</v>
      </c>
      <c r="I44" s="14">
        <f t="shared" si="10"/>
        <v>-2.3299364018937725</v>
      </c>
      <c r="J44" s="14">
        <v>3</v>
      </c>
      <c r="K44" s="14">
        <v>6000</v>
      </c>
      <c r="L44" s="14">
        <v>12.288789009112795</v>
      </c>
      <c r="M44" s="14">
        <f t="shared" si="2"/>
        <v>27.490021013385324</v>
      </c>
      <c r="N44" s="14">
        <f t="shared" si="11"/>
        <v>-0.51203287537970077</v>
      </c>
      <c r="O44" s="14">
        <f>IF(J44=1,'[1]Gearing '!$C$17*'Duty Cycle '!N44,IF(J44=2,'[1]Gearing '!$C$18*'Duty Cycle '!N44,IF(J44=3,'[1]Gearing '!$C$19*'Duty Cycle '!N44)))</f>
        <v>-308.3378492657061</v>
      </c>
      <c r="P44" s="14">
        <f>IF(F44='Track '!$B$60,'Track '!$F$53,IF(F44='Track '!$B$61,'Track '!$F$54,IF(F44='Track '!$B$62,'Track '!$F$55)))</f>
        <v>0.04</v>
      </c>
      <c r="Q44" s="14">
        <f>P44*'Vehicle '!$F$40*9.81</f>
        <v>254.78531999999998</v>
      </c>
      <c r="R44" s="14">
        <f>0.5*'Vehicle '!$F$53*'Vehicle '!$F$25*'Track '!$F$57*'Duty Cycle '!L44^2</f>
        <v>57.70641290871982</v>
      </c>
      <c r="S44" s="14">
        <f>'Vehicle '!$F$40*9.81*SIN(RADIANS('Duty Cycle '!I44))</f>
        <v>-258.95013568875817</v>
      </c>
      <c r="T44" s="18">
        <f t="shared" si="3"/>
        <v>53.541597219961659</v>
      </c>
      <c r="U44" s="14">
        <f t="shared" si="12"/>
        <v>0.65796139144700905</v>
      </c>
      <c r="V44" s="14">
        <f>'Vehicle '!$F$9-'Duty Cycle '!U44</f>
        <v>12.764857400499301</v>
      </c>
      <c r="W44" s="14">
        <f t="shared" si="4"/>
        <v>0.65796139144700905</v>
      </c>
      <c r="X44" s="16">
        <f t="shared" si="13"/>
        <v>1.04717807812413</v>
      </c>
      <c r="Y44" s="16">
        <f t="shared" si="5"/>
        <v>2</v>
      </c>
      <c r="Z44" s="14">
        <f t="shared" si="0"/>
        <v>22399.930037707076</v>
      </c>
      <c r="AA44" s="14">
        <f t="shared" si="14"/>
        <v>-125061.31583983779</v>
      </c>
      <c r="AB44" s="14">
        <f>'BSFC '!$X$14</f>
        <v>306.74480096579998</v>
      </c>
      <c r="AC44" s="14">
        <f t="shared" si="1"/>
        <v>5.6062843350720447E-2</v>
      </c>
      <c r="AD44" s="14">
        <f t="shared" si="15"/>
        <v>11.751510079195095</v>
      </c>
      <c r="AE44" s="14">
        <f t="shared" si="16"/>
        <v>0.17323418595372617</v>
      </c>
      <c r="AF44" s="14">
        <f>0.5*'Vehicle '!$F$40*'Duty Cycle '!L44^2/1000</f>
        <v>49.026803958551042</v>
      </c>
      <c r="AG44" s="14">
        <f t="shared" si="6"/>
        <v>22448.956841665626</v>
      </c>
    </row>
    <row r="45" spans="1:33" ht="30" customHeight="1" x14ac:dyDescent="0.25">
      <c r="A45" s="35"/>
      <c r="B45" s="13">
        <f t="shared" si="7"/>
        <v>42</v>
      </c>
      <c r="C45" s="14" t="s">
        <v>70</v>
      </c>
      <c r="D45" s="14">
        <f>SUM($L$3:L45)</f>
        <v>429.6297179685937</v>
      </c>
      <c r="E45" s="14">
        <f t="shared" si="8"/>
        <v>11.264723258353399</v>
      </c>
      <c r="F45" s="15" t="s">
        <v>53</v>
      </c>
      <c r="G45" s="14">
        <v>5</v>
      </c>
      <c r="H45" s="14">
        <f t="shared" si="9"/>
        <v>0</v>
      </c>
      <c r="I45" s="14">
        <f t="shared" si="10"/>
        <v>0</v>
      </c>
      <c r="J45" s="14">
        <v>3</v>
      </c>
      <c r="K45" s="14">
        <v>5500</v>
      </c>
      <c r="L45" s="14">
        <v>11.264723258353396</v>
      </c>
      <c r="M45" s="14">
        <f t="shared" si="2"/>
        <v>25.199185928936547</v>
      </c>
      <c r="N45" s="14">
        <f t="shared" si="11"/>
        <v>-1.0240657507593998</v>
      </c>
      <c r="O45" s="14">
        <f>IF(J45=1,'[1]Gearing '!$C$17*'Duty Cycle '!N45,IF(J45=2,'[1]Gearing '!$C$18*'Duty Cycle '!N45,IF(J45=3,'[1]Gearing '!$C$19*'Duty Cycle '!N45)))</f>
        <v>-616.67569853141106</v>
      </c>
      <c r="P45" s="14">
        <f>IF(F45='Track '!$B$60,'Track '!$F$53,IF(F45='Track '!$B$61,'Track '!$F$54,IF(F45='Track '!$B$62,'Track '!$F$55)))</f>
        <v>0.04</v>
      </c>
      <c r="Q45" s="14">
        <f>P45*'Vehicle '!$F$40*9.81</f>
        <v>254.78531999999998</v>
      </c>
      <c r="R45" s="14">
        <f>0.5*'Vehicle '!$F$53*'Vehicle '!$F$25*'Track '!$F$57*'Duty Cycle '!L45^2</f>
        <v>48.489416402465956</v>
      </c>
      <c r="S45" s="14">
        <f>'Vehicle '!$F$40*9.81*SIN(RADIANS('Duty Cycle '!I45))</f>
        <v>0</v>
      </c>
      <c r="T45" s="18">
        <f t="shared" si="3"/>
        <v>303.27473640246592</v>
      </c>
      <c r="U45" s="14">
        <f t="shared" si="12"/>
        <v>3.4163059768238533</v>
      </c>
      <c r="V45" s="14">
        <f>'Vehicle '!$F$9-'Duty Cycle '!U45</f>
        <v>10.006512815122456</v>
      </c>
      <c r="W45" s="14">
        <f t="shared" si="4"/>
        <v>3.4163059768238533</v>
      </c>
      <c r="X45" s="16">
        <f t="shared" si="13"/>
        <v>5.9315125453734803</v>
      </c>
      <c r="Y45" s="16">
        <f t="shared" si="5"/>
        <v>6</v>
      </c>
      <c r="Z45" s="14">
        <f t="shared" si="0"/>
        <v>130295.83946759102</v>
      </c>
      <c r="AA45" s="14">
        <f t="shared" si="14"/>
        <v>5234.5236277532385</v>
      </c>
      <c r="AB45" s="14">
        <f>'BSFC '!$X$14</f>
        <v>306.74480096579998</v>
      </c>
      <c r="AC45" s="14">
        <f t="shared" si="1"/>
        <v>0.29109280469419602</v>
      </c>
      <c r="AD45" s="14">
        <f t="shared" si="15"/>
        <v>12.042602883889291</v>
      </c>
      <c r="AE45" s="14">
        <f t="shared" si="16"/>
        <v>0.89947676650506569</v>
      </c>
      <c r="AF45" s="14">
        <f>0.5*'Vehicle '!$F$40*'Duty Cycle '!L45^2/1000</f>
        <v>41.19613388183803</v>
      </c>
      <c r="AG45" s="14">
        <f t="shared" si="6"/>
        <v>130337.03560147286</v>
      </c>
    </row>
    <row r="46" spans="1:33" ht="30" customHeight="1" x14ac:dyDescent="0.25">
      <c r="A46" s="20" t="s">
        <v>139</v>
      </c>
      <c r="B46" s="13">
        <f t="shared" si="7"/>
        <v>43</v>
      </c>
      <c r="C46" s="14" t="s">
        <v>70</v>
      </c>
      <c r="D46" s="14">
        <f>SUM($L$3:L46)</f>
        <v>439.87037547618769</v>
      </c>
      <c r="E46" s="14">
        <f t="shared" si="8"/>
        <v>10.240657507593994</v>
      </c>
      <c r="F46" s="15" t="s">
        <v>53</v>
      </c>
      <c r="G46" s="14">
        <v>5</v>
      </c>
      <c r="H46" s="14">
        <f t="shared" si="9"/>
        <v>0</v>
      </c>
      <c r="I46" s="14">
        <f t="shared" si="10"/>
        <v>0</v>
      </c>
      <c r="J46" s="14">
        <v>3</v>
      </c>
      <c r="K46" s="14">
        <v>5000</v>
      </c>
      <c r="L46" s="14">
        <v>10.240657507593998</v>
      </c>
      <c r="M46" s="14">
        <f t="shared" si="2"/>
        <v>22.908350844487774</v>
      </c>
      <c r="N46" s="14">
        <f t="shared" si="11"/>
        <v>-1.024065750759398</v>
      </c>
      <c r="O46" s="14">
        <f>IF(J46=1,'[1]Gearing '!$C$17*'Duty Cycle '!N46,IF(J46=2,'[1]Gearing '!$C$18*'Duty Cycle '!N46,IF(J46=3,'[1]Gearing '!$C$19*'Duty Cycle '!N46)))</f>
        <v>-616.67569853141003</v>
      </c>
      <c r="P46" s="14">
        <f>IF(F46='Track '!$B$60,'Track '!$F$53,IF(F46='Track '!$B$61,'Track '!$F$54,IF(F46='Track '!$B$62,'Track '!$F$55)))</f>
        <v>0.04</v>
      </c>
      <c r="Q46" s="14">
        <f>P46*'Vehicle '!$F$40*9.81</f>
        <v>254.78531999999998</v>
      </c>
      <c r="R46" s="14">
        <f>0.5*'Vehicle '!$F$53*'Vehicle '!$F$25*'Track '!$F$57*'Duty Cycle '!L46^2</f>
        <v>40.073897853277657</v>
      </c>
      <c r="S46" s="14">
        <f>'Vehicle '!$F$40*9.81*SIN(RADIANS('Duty Cycle '!I46))</f>
        <v>0</v>
      </c>
      <c r="T46" s="18">
        <f t="shared" si="3"/>
        <v>294.85921785327764</v>
      </c>
      <c r="U46" s="14">
        <f t="shared" si="12"/>
        <v>3.0195522629924616</v>
      </c>
      <c r="V46" s="14">
        <f>'Vehicle '!$F$9-'Duty Cycle '!U46</f>
        <v>10.403266528953846</v>
      </c>
      <c r="W46" s="14">
        <f t="shared" si="4"/>
        <v>3.0195522629924616</v>
      </c>
      <c r="X46" s="16">
        <f t="shared" si="13"/>
        <v>5.7669200229548281</v>
      </c>
      <c r="Y46" s="16">
        <f t="shared" si="5"/>
        <v>6</v>
      </c>
      <c r="Z46" s="14">
        <f t="shared" si="0"/>
        <v>129699.83486973627</v>
      </c>
      <c r="AA46" s="14">
        <f t="shared" si="14"/>
        <v>134934.35849748951</v>
      </c>
      <c r="AB46" s="14">
        <f>'BSFC '!$X$14</f>
        <v>306.74480096579998</v>
      </c>
      <c r="AC46" s="14">
        <f t="shared" si="1"/>
        <v>0.25728665497707043</v>
      </c>
      <c r="AD46" s="14">
        <f t="shared" si="15"/>
        <v>12.299889538866362</v>
      </c>
      <c r="AE46" s="14">
        <f t="shared" si="16"/>
        <v>0.79501576387914763</v>
      </c>
      <c r="AF46" s="14">
        <f>0.5*'Vehicle '!$F$40*'Duty Cycle '!L46^2/1000</f>
        <v>34.046391637882678</v>
      </c>
      <c r="AG46" s="14">
        <f t="shared" si="6"/>
        <v>129733.88126137415</v>
      </c>
    </row>
    <row r="47" spans="1:33" ht="30" customHeight="1" x14ac:dyDescent="0.25">
      <c r="A47" s="20"/>
      <c r="B47" s="13">
        <f t="shared" si="7"/>
        <v>44</v>
      </c>
      <c r="C47" s="14" t="s">
        <v>70</v>
      </c>
      <c r="D47" s="14">
        <f>SUM($L$3:L47)</f>
        <v>448.89922184538307</v>
      </c>
      <c r="E47" s="14">
        <f t="shared" si="8"/>
        <v>9.028846369195378</v>
      </c>
      <c r="F47" s="15" t="s">
        <v>53</v>
      </c>
      <c r="G47" s="14">
        <v>5</v>
      </c>
      <c r="H47" s="14">
        <f t="shared" si="9"/>
        <v>0</v>
      </c>
      <c r="I47" s="14">
        <f t="shared" si="10"/>
        <v>0</v>
      </c>
      <c r="J47" s="14">
        <v>2</v>
      </c>
      <c r="K47" s="14">
        <v>5750</v>
      </c>
      <c r="L47" s="14">
        <v>9.0288463691953762</v>
      </c>
      <c r="M47" s="14">
        <f t="shared" si="2"/>
        <v>20.197529327890056</v>
      </c>
      <c r="N47" s="14">
        <f t="shared" si="11"/>
        <v>-1.2118111383986214</v>
      </c>
      <c r="O47" s="14">
        <f>IF(J47=1,'[1]Gearing '!$C$17*'Duty Cycle '!N47,IF(J47=2,'[1]Gearing '!$C$18*'Duty Cycle '!N47,IF(J47=3,'[1]Gearing '!$C$19*'Duty Cycle '!N47)))</f>
        <v>-732.82260897686308</v>
      </c>
      <c r="P47" s="14">
        <f>IF(F47='Track '!$B$60,'Track '!$F$53,IF(F47='Track '!$B$61,'Track '!$F$54,IF(F47='Track '!$B$62,'Track '!$F$55)))</f>
        <v>0.04</v>
      </c>
      <c r="Q47" s="14">
        <f>P47*'Vehicle '!$F$40*9.81</f>
        <v>254.78531999999998</v>
      </c>
      <c r="R47" s="14">
        <f>0.5*'Vehicle '!$F$53*'Vehicle '!$F$25*'Track '!$F$57*'Duty Cycle '!L47^2</f>
        <v>31.15088791433077</v>
      </c>
      <c r="S47" s="14">
        <f>'Vehicle '!$F$40*9.81*SIN(RADIANS('Duty Cycle '!I47))</f>
        <v>0</v>
      </c>
      <c r="T47" s="18">
        <f t="shared" si="3"/>
        <v>285.93620791433074</v>
      </c>
      <c r="U47" s="14">
        <f t="shared" si="12"/>
        <v>2.5816740926487993</v>
      </c>
      <c r="V47" s="14">
        <f>'Vehicle '!$F$9-'Duty Cycle '!U47</f>
        <v>10.841144699297509</v>
      </c>
      <c r="W47" s="14">
        <f t="shared" si="4"/>
        <v>2.5816740926487993</v>
      </c>
      <c r="X47" s="16">
        <f t="shared" si="13"/>
        <v>4.2875081039722449</v>
      </c>
      <c r="Y47" s="16">
        <f t="shared" si="5"/>
        <v>5</v>
      </c>
      <c r="Z47" s="14">
        <f t="shared" si="0"/>
        <v>128356.54123016274</v>
      </c>
      <c r="AA47" s="14">
        <f t="shared" si="14"/>
        <v>263290.89972765226</v>
      </c>
      <c r="AB47" s="14">
        <f>'BSFC '!$X$14</f>
        <v>306.74480096579998</v>
      </c>
      <c r="AC47" s="14">
        <f t="shared" si="1"/>
        <v>0.21997641825225506</v>
      </c>
      <c r="AD47" s="14">
        <f t="shared" si="15"/>
        <v>12.519865957118617</v>
      </c>
      <c r="AE47" s="14">
        <f t="shared" si="16"/>
        <v>0.67972713239946814</v>
      </c>
      <c r="AF47" s="14">
        <f>0.5*'Vehicle '!$F$40*'Duty Cycle '!L47^2/1000</f>
        <v>26.465489673157581</v>
      </c>
      <c r="AG47" s="14">
        <f t="shared" si="6"/>
        <v>128383.00671983589</v>
      </c>
    </row>
    <row r="48" spans="1:33" ht="30" customHeight="1" x14ac:dyDescent="0.25">
      <c r="A48" s="35">
        <f>SUM(AE3:AE153)/1000</f>
        <v>0.171885102449293</v>
      </c>
      <c r="B48" s="13">
        <f t="shared" si="7"/>
        <v>45</v>
      </c>
      <c r="C48" s="14" t="s">
        <v>70</v>
      </c>
      <c r="D48" s="14">
        <f>SUM($L$3:L48)</f>
        <v>457.92806821457845</v>
      </c>
      <c r="E48" s="14">
        <f t="shared" si="8"/>
        <v>9.028846369195378</v>
      </c>
      <c r="F48" s="15" t="s">
        <v>53</v>
      </c>
      <c r="G48" s="14">
        <v>5</v>
      </c>
      <c r="H48" s="14">
        <f t="shared" si="9"/>
        <v>0</v>
      </c>
      <c r="I48" s="14">
        <f t="shared" si="10"/>
        <v>0</v>
      </c>
      <c r="J48" s="14">
        <v>2</v>
      </c>
      <c r="K48" s="14">
        <v>5750</v>
      </c>
      <c r="L48" s="14">
        <v>9.0288463691953762</v>
      </c>
      <c r="M48" s="14">
        <f t="shared" si="2"/>
        <v>20.197529327890056</v>
      </c>
      <c r="N48" s="14">
        <f t="shared" si="11"/>
        <v>0</v>
      </c>
      <c r="O48" s="14">
        <f>IF(J48=1,'[1]Gearing '!$C$17*'Duty Cycle '!N48,IF(J48=2,'[1]Gearing '!$C$18*'Duty Cycle '!N48,IF(J48=3,'[1]Gearing '!$C$19*'Duty Cycle '!N48)))</f>
        <v>0</v>
      </c>
      <c r="P48" s="14">
        <f>IF(F48='Track '!$B$60,'Track '!$F$53,IF(F48='Track '!$B$61,'Track '!$F$54,IF(F48='Track '!$B$62,'Track '!$F$55)))</f>
        <v>0.04</v>
      </c>
      <c r="Q48" s="14">
        <f>P48*'Vehicle '!$F$40*9.81</f>
        <v>254.78531999999998</v>
      </c>
      <c r="R48" s="14">
        <f>0.5*'Vehicle '!$F$53*'Vehicle '!$F$25*'Track '!$F$57*'Duty Cycle '!L48^2</f>
        <v>31.15088791433077</v>
      </c>
      <c r="S48" s="14">
        <f>'Vehicle '!$F$40*9.81*SIN(RADIANS('Duty Cycle '!I48))</f>
        <v>0</v>
      </c>
      <c r="T48" s="18">
        <f t="shared" si="3"/>
        <v>285.93620791433074</v>
      </c>
      <c r="U48" s="14">
        <f t="shared" si="12"/>
        <v>2.5816740926487993</v>
      </c>
      <c r="V48" s="14">
        <f>'Vehicle '!$F$9-'Duty Cycle '!U48</f>
        <v>10.841144699297509</v>
      </c>
      <c r="W48" s="14">
        <f t="shared" si="4"/>
        <v>2.5816740926487993</v>
      </c>
      <c r="X48" s="16">
        <f t="shared" si="13"/>
        <v>4.2875081039722449</v>
      </c>
      <c r="Y48" s="16">
        <f t="shared" si="5"/>
        <v>5</v>
      </c>
      <c r="Z48" s="14">
        <f t="shared" si="0"/>
        <v>130938.21532281153</v>
      </c>
      <c r="AA48" s="14">
        <f t="shared" si="14"/>
        <v>394229.11505046382</v>
      </c>
      <c r="AB48" s="14">
        <f>'BSFC '!$X$14</f>
        <v>306.74480096579998</v>
      </c>
      <c r="AC48" s="14">
        <f t="shared" si="1"/>
        <v>0.21997641825225506</v>
      </c>
      <c r="AD48" s="14">
        <f t="shared" si="15"/>
        <v>12.739842375370872</v>
      </c>
      <c r="AE48" s="14">
        <f t="shared" si="16"/>
        <v>0.67972713239946814</v>
      </c>
      <c r="AF48" s="14">
        <f>0.5*'Vehicle '!$F$40*'Duty Cycle '!L48^2/1000</f>
        <v>26.465489673157581</v>
      </c>
      <c r="AG48" s="14">
        <f t="shared" si="6"/>
        <v>130964.68081248469</v>
      </c>
    </row>
    <row r="49" spans="1:33" ht="30" customHeight="1" x14ac:dyDescent="0.25">
      <c r="A49" s="35"/>
      <c r="B49" s="13">
        <f t="shared" si="7"/>
        <v>46</v>
      </c>
      <c r="C49" s="14" t="s">
        <v>70</v>
      </c>
      <c r="D49" s="14">
        <f>SUM($L$3:L49)</f>
        <v>466.95691458377382</v>
      </c>
      <c r="E49" s="14">
        <f t="shared" si="8"/>
        <v>9.028846369195378</v>
      </c>
      <c r="F49" s="15" t="s">
        <v>53</v>
      </c>
      <c r="G49" s="14">
        <v>5</v>
      </c>
      <c r="H49" s="14">
        <f t="shared" si="9"/>
        <v>0</v>
      </c>
      <c r="I49" s="14">
        <f t="shared" si="10"/>
        <v>0</v>
      </c>
      <c r="J49" s="14">
        <v>2</v>
      </c>
      <c r="K49" s="14">
        <v>5750</v>
      </c>
      <c r="L49" s="14">
        <v>9.0288463691953762</v>
      </c>
      <c r="M49" s="14">
        <f t="shared" si="2"/>
        <v>20.197529327890056</v>
      </c>
      <c r="N49" s="14">
        <f t="shared" si="11"/>
        <v>0</v>
      </c>
      <c r="O49" s="14">
        <f>IF(J49=1,'[1]Gearing '!$C$17*'Duty Cycle '!N49,IF(J49=2,'[1]Gearing '!$C$18*'Duty Cycle '!N49,IF(J49=3,'[1]Gearing '!$C$19*'Duty Cycle '!N49)))</f>
        <v>0</v>
      </c>
      <c r="P49" s="14">
        <f>IF(F49='Track '!$B$60,'Track '!$F$53,IF(F49='Track '!$B$61,'Track '!$F$54,IF(F49='Track '!$B$62,'Track '!$F$55)))</f>
        <v>0.04</v>
      </c>
      <c r="Q49" s="14">
        <f>P49*'Vehicle '!$F$40*9.81</f>
        <v>254.78531999999998</v>
      </c>
      <c r="R49" s="14">
        <f>0.5*'Vehicle '!$F$53*'Vehicle '!$F$25*'Track '!$F$57*'Duty Cycle '!L49^2</f>
        <v>31.15088791433077</v>
      </c>
      <c r="S49" s="14">
        <f>'Vehicle '!$F$40*9.81*SIN(RADIANS('Duty Cycle '!I49))</f>
        <v>0</v>
      </c>
      <c r="T49" s="18">
        <f t="shared" si="3"/>
        <v>285.93620791433074</v>
      </c>
      <c r="U49" s="14">
        <f t="shared" si="12"/>
        <v>2.5816740926487993</v>
      </c>
      <c r="V49" s="14">
        <f>'Vehicle '!$F$9-'Duty Cycle '!U49</f>
        <v>10.841144699297509</v>
      </c>
      <c r="W49" s="14">
        <f t="shared" si="4"/>
        <v>2.5816740926487993</v>
      </c>
      <c r="X49" s="16">
        <f t="shared" si="13"/>
        <v>4.2875081039722449</v>
      </c>
      <c r="Y49" s="16">
        <f t="shared" si="5"/>
        <v>5</v>
      </c>
      <c r="Z49" s="14">
        <f t="shared" si="0"/>
        <v>133519.88941546032</v>
      </c>
      <c r="AA49" s="14">
        <f t="shared" si="14"/>
        <v>527749.00446592411</v>
      </c>
      <c r="AB49" s="14">
        <f>'BSFC '!$X$14</f>
        <v>306.74480096579998</v>
      </c>
      <c r="AC49" s="14">
        <f t="shared" si="1"/>
        <v>0.21997641825225506</v>
      </c>
      <c r="AD49" s="14">
        <f t="shared" si="15"/>
        <v>12.959818793623127</v>
      </c>
      <c r="AE49" s="14">
        <f t="shared" si="16"/>
        <v>0.67972713239946814</v>
      </c>
      <c r="AF49" s="14">
        <f>0.5*'Vehicle '!$F$40*'Duty Cycle '!L49^2/1000</f>
        <v>26.465489673157581</v>
      </c>
      <c r="AG49" s="14">
        <f t="shared" si="6"/>
        <v>133546.35490513348</v>
      </c>
    </row>
    <row r="50" spans="1:33" ht="30" customHeight="1" x14ac:dyDescent="0.25">
      <c r="A50" s="20" t="s">
        <v>153</v>
      </c>
      <c r="B50" s="13">
        <f t="shared" si="7"/>
        <v>47</v>
      </c>
      <c r="C50" s="14" t="s">
        <v>70</v>
      </c>
      <c r="D50" s="14">
        <f>SUM($L$3:L50)</f>
        <v>475.9857609529692</v>
      </c>
      <c r="E50" s="14">
        <f t="shared" si="8"/>
        <v>9.028846369195378</v>
      </c>
      <c r="F50" s="15" t="s">
        <v>53</v>
      </c>
      <c r="G50" s="14">
        <v>5</v>
      </c>
      <c r="H50" s="14">
        <f t="shared" si="9"/>
        <v>0</v>
      </c>
      <c r="I50" s="14">
        <f t="shared" si="10"/>
        <v>0</v>
      </c>
      <c r="J50" s="14">
        <v>2</v>
      </c>
      <c r="K50" s="14">
        <v>5750</v>
      </c>
      <c r="L50" s="14">
        <v>9.0288463691953762</v>
      </c>
      <c r="M50" s="14">
        <f t="shared" si="2"/>
        <v>20.197529327890056</v>
      </c>
      <c r="N50" s="14">
        <f t="shared" si="11"/>
        <v>0</v>
      </c>
      <c r="O50" s="14">
        <f>IF(J50=1,'[1]Gearing '!$C$17*'Duty Cycle '!N50,IF(J50=2,'[1]Gearing '!$C$18*'Duty Cycle '!N50,IF(J50=3,'[1]Gearing '!$C$19*'Duty Cycle '!N50)))</f>
        <v>0</v>
      </c>
      <c r="P50" s="14">
        <f>IF(F50='Track '!$B$60,'Track '!$F$53,IF(F50='Track '!$B$61,'Track '!$F$54,IF(F50='Track '!$B$62,'Track '!$F$55)))</f>
        <v>0.04</v>
      </c>
      <c r="Q50" s="14">
        <f>P50*'Vehicle '!$F$40*9.81</f>
        <v>254.78531999999998</v>
      </c>
      <c r="R50" s="14">
        <f>0.5*'Vehicle '!$F$53*'Vehicle '!$F$25*'Track '!$F$57*'Duty Cycle '!L50^2</f>
        <v>31.15088791433077</v>
      </c>
      <c r="S50" s="14">
        <f>'Vehicle '!$F$40*9.81*SIN(RADIANS('Duty Cycle '!I50))</f>
        <v>0</v>
      </c>
      <c r="T50" s="18">
        <f t="shared" si="3"/>
        <v>285.93620791433074</v>
      </c>
      <c r="U50" s="14">
        <f t="shared" si="12"/>
        <v>2.5816740926487993</v>
      </c>
      <c r="V50" s="14">
        <f>'Vehicle '!$F$9-'Duty Cycle '!U50</f>
        <v>10.841144699297509</v>
      </c>
      <c r="W50" s="14">
        <f t="shared" si="4"/>
        <v>2.5816740926487993</v>
      </c>
      <c r="X50" s="16">
        <f t="shared" si="13"/>
        <v>4.2875081039722449</v>
      </c>
      <c r="Y50" s="16">
        <f t="shared" si="5"/>
        <v>5</v>
      </c>
      <c r="Z50" s="14">
        <f t="shared" si="0"/>
        <v>136101.56350810913</v>
      </c>
      <c r="AA50" s="14">
        <f t="shared" si="14"/>
        <v>663850.5679740333</v>
      </c>
      <c r="AB50" s="14">
        <f>'BSFC '!$X$14</f>
        <v>306.74480096579998</v>
      </c>
      <c r="AC50" s="14">
        <f t="shared" si="1"/>
        <v>0.21997641825225506</v>
      </c>
      <c r="AD50" s="14">
        <f t="shared" si="15"/>
        <v>13.179795211875382</v>
      </c>
      <c r="AE50" s="14">
        <f t="shared" si="16"/>
        <v>0.67972713239946814</v>
      </c>
      <c r="AF50" s="14">
        <f>0.5*'Vehicle '!$F$40*'Duty Cycle '!L50^2/1000</f>
        <v>26.465489673157581</v>
      </c>
      <c r="AG50" s="14">
        <f t="shared" si="6"/>
        <v>136128.0289977823</v>
      </c>
    </row>
    <row r="51" spans="1:33" ht="30" customHeight="1" x14ac:dyDescent="0.25">
      <c r="A51" s="20"/>
      <c r="B51" s="13">
        <f t="shared" si="7"/>
        <v>48</v>
      </c>
      <c r="C51" s="14" t="s">
        <v>70</v>
      </c>
      <c r="D51" s="14">
        <f>SUM($L$3:L51)</f>
        <v>485.01460732216458</v>
      </c>
      <c r="E51" s="14">
        <f t="shared" si="8"/>
        <v>9.028846369195378</v>
      </c>
      <c r="F51" s="15" t="s">
        <v>53</v>
      </c>
      <c r="G51" s="14">
        <v>5</v>
      </c>
      <c r="H51" s="14">
        <f t="shared" si="9"/>
        <v>0</v>
      </c>
      <c r="I51" s="14">
        <f t="shared" si="10"/>
        <v>0</v>
      </c>
      <c r="J51" s="14">
        <v>2</v>
      </c>
      <c r="K51" s="14">
        <v>5750</v>
      </c>
      <c r="L51" s="14">
        <v>9.0288463691953762</v>
      </c>
      <c r="M51" s="14">
        <f t="shared" si="2"/>
        <v>20.197529327890056</v>
      </c>
      <c r="N51" s="14">
        <f t="shared" si="11"/>
        <v>0</v>
      </c>
      <c r="O51" s="14">
        <f>IF(J51=1,'[1]Gearing '!$C$17*'Duty Cycle '!N51,IF(J51=2,'[1]Gearing '!$C$18*'Duty Cycle '!N51,IF(J51=3,'[1]Gearing '!$C$19*'Duty Cycle '!N51)))</f>
        <v>0</v>
      </c>
      <c r="P51" s="14">
        <f>IF(F51='Track '!$B$60,'Track '!$F$53,IF(F51='Track '!$B$61,'Track '!$F$54,IF(F51='Track '!$B$62,'Track '!$F$55)))</f>
        <v>0.04</v>
      </c>
      <c r="Q51" s="14">
        <f>P51*'Vehicle '!$F$40*9.81</f>
        <v>254.78531999999998</v>
      </c>
      <c r="R51" s="14">
        <f>0.5*'Vehicle '!$F$53*'Vehicle '!$F$25*'Track '!$F$57*'Duty Cycle '!L51^2</f>
        <v>31.15088791433077</v>
      </c>
      <c r="S51" s="14">
        <f>'Vehicle '!$F$40*9.81*SIN(RADIANS('Duty Cycle '!I51))</f>
        <v>0</v>
      </c>
      <c r="T51" s="18">
        <f t="shared" si="3"/>
        <v>285.93620791433074</v>
      </c>
      <c r="U51" s="14">
        <f t="shared" si="12"/>
        <v>2.5816740926487993</v>
      </c>
      <c r="V51" s="14">
        <f>'Vehicle '!$F$9-'Duty Cycle '!U51</f>
        <v>10.841144699297509</v>
      </c>
      <c r="W51" s="14">
        <f t="shared" si="4"/>
        <v>2.5816740926487993</v>
      </c>
      <c r="X51" s="16">
        <f t="shared" si="13"/>
        <v>4.2875081039722449</v>
      </c>
      <c r="Y51" s="16">
        <f t="shared" si="5"/>
        <v>5</v>
      </c>
      <c r="Z51" s="14">
        <f t="shared" si="0"/>
        <v>138683.23760075794</v>
      </c>
      <c r="AA51" s="14">
        <f t="shared" si="14"/>
        <v>802533.80557479127</v>
      </c>
      <c r="AB51" s="14">
        <f>'BSFC '!$X$14</f>
        <v>306.74480096579998</v>
      </c>
      <c r="AC51" s="14">
        <f t="shared" si="1"/>
        <v>0.21997641825225506</v>
      </c>
      <c r="AD51" s="14">
        <f t="shared" si="15"/>
        <v>13.399771630127637</v>
      </c>
      <c r="AE51" s="14">
        <f t="shared" si="16"/>
        <v>0.67972713239946814</v>
      </c>
      <c r="AF51" s="14">
        <f>0.5*'Vehicle '!$F$40*'Duty Cycle '!L51^2/1000</f>
        <v>26.465489673157581</v>
      </c>
      <c r="AG51" s="14">
        <f t="shared" si="6"/>
        <v>138709.70309043111</v>
      </c>
    </row>
    <row r="52" spans="1:33" ht="30" customHeight="1" x14ac:dyDescent="0.25">
      <c r="A52" s="35">
        <f>MAX(W:W)</f>
        <v>11.401132572112015</v>
      </c>
      <c r="B52" s="13">
        <f t="shared" si="7"/>
        <v>49</v>
      </c>
      <c r="C52" s="14" t="s">
        <v>70</v>
      </c>
      <c r="D52" s="14">
        <f>SUM($L$3:L52)</f>
        <v>494.04345369135996</v>
      </c>
      <c r="E52" s="14">
        <f t="shared" si="8"/>
        <v>9.028846369195378</v>
      </c>
      <c r="F52" s="15" t="s">
        <v>53</v>
      </c>
      <c r="G52" s="14">
        <v>4.8</v>
      </c>
      <c r="H52" s="14">
        <f t="shared" si="9"/>
        <v>-0.20000000000000018</v>
      </c>
      <c r="I52" s="14">
        <f t="shared" si="10"/>
        <v>-1.2689641332522625</v>
      </c>
      <c r="J52" s="14">
        <v>2</v>
      </c>
      <c r="K52" s="14">
        <v>5750</v>
      </c>
      <c r="L52" s="14">
        <v>9.0288463691953762</v>
      </c>
      <c r="M52" s="14">
        <f t="shared" si="2"/>
        <v>20.197529327890056</v>
      </c>
      <c r="N52" s="14">
        <f t="shared" si="11"/>
        <v>0</v>
      </c>
      <c r="O52" s="14">
        <f>IF(J52=1,'[1]Gearing '!$C$17*'Duty Cycle '!N52,IF(J52=2,'[1]Gearing '!$C$18*'Duty Cycle '!N52,IF(J52=3,'[1]Gearing '!$C$19*'Duty Cycle '!N52)))</f>
        <v>0</v>
      </c>
      <c r="P52" s="14">
        <f>IF(F52='Track '!$B$60,'Track '!$F$53,IF(F52='Track '!$B$61,'Track '!$F$54,IF(F52='Track '!$B$62,'Track '!$F$55)))</f>
        <v>0.04</v>
      </c>
      <c r="Q52" s="14">
        <f>P52*'Vehicle '!$F$40*9.81</f>
        <v>254.78531999999998</v>
      </c>
      <c r="R52" s="14">
        <f>0.5*'Vehicle '!$F$53*'Vehicle '!$F$25*'Track '!$F$57*'Duty Cycle '!L52^2</f>
        <v>31.15088791433077</v>
      </c>
      <c r="S52" s="14">
        <f>'Vehicle '!$F$40*9.81*SIN(RADIANS('Duty Cycle '!I52))</f>
        <v>-141.06056519531387</v>
      </c>
      <c r="T52" s="18">
        <f t="shared" si="3"/>
        <v>144.87564271901687</v>
      </c>
      <c r="U52" s="14">
        <f t="shared" si="12"/>
        <v>1.308059920748442</v>
      </c>
      <c r="V52" s="14">
        <f>'Vehicle '!$F$9-'Duty Cycle '!U52</f>
        <v>12.114758871197868</v>
      </c>
      <c r="W52" s="14">
        <f t="shared" si="4"/>
        <v>1.308059920748442</v>
      </c>
      <c r="X52" s="16">
        <f t="shared" si="13"/>
        <v>2.1723568930174686</v>
      </c>
      <c r="Y52" s="16">
        <f t="shared" si="5"/>
        <v>3</v>
      </c>
      <c r="Z52" s="14">
        <f t="shared" si="0"/>
        <v>71574.862884658622</v>
      </c>
      <c r="AA52" s="14">
        <f t="shared" si="14"/>
        <v>874108.66845944989</v>
      </c>
      <c r="AB52" s="14">
        <f>'BSFC '!$X$14</f>
        <v>306.74480096579998</v>
      </c>
      <c r="AC52" s="14">
        <f t="shared" si="1"/>
        <v>0.1114557166781447</v>
      </c>
      <c r="AD52" s="14">
        <f t="shared" si="15"/>
        <v>13.511227346805782</v>
      </c>
      <c r="AE52" s="14">
        <f t="shared" si="16"/>
        <v>0.34439816453546712</v>
      </c>
      <c r="AF52" s="14">
        <f>0.5*'Vehicle '!$F$40*'Duty Cycle '!L52^2/1000</f>
        <v>26.465489673157581</v>
      </c>
      <c r="AG52" s="14">
        <f t="shared" si="6"/>
        <v>71601.328374331773</v>
      </c>
    </row>
    <row r="53" spans="1:33" ht="30" customHeight="1" x14ac:dyDescent="0.25">
      <c r="A53" s="35"/>
      <c r="B53" s="13">
        <f t="shared" si="7"/>
        <v>50</v>
      </c>
      <c r="C53" s="14" t="s">
        <v>70</v>
      </c>
      <c r="D53" s="14">
        <f>SUM($L$3:L53)</f>
        <v>503.07230006055534</v>
      </c>
      <c r="E53" s="14">
        <f t="shared" si="8"/>
        <v>9.028846369195378</v>
      </c>
      <c r="F53" s="15" t="s">
        <v>53</v>
      </c>
      <c r="G53" s="14">
        <v>4.4000000000000004</v>
      </c>
      <c r="H53" s="14">
        <f t="shared" si="9"/>
        <v>-0.39999999999999947</v>
      </c>
      <c r="I53" s="14">
        <f t="shared" si="10"/>
        <v>-2.5366845912291938</v>
      </c>
      <c r="J53" s="14">
        <v>2</v>
      </c>
      <c r="K53" s="14">
        <v>5750</v>
      </c>
      <c r="L53" s="14">
        <v>9.0288463691953762</v>
      </c>
      <c r="M53" s="14">
        <f t="shared" si="2"/>
        <v>20.197529327890056</v>
      </c>
      <c r="N53" s="14">
        <f t="shared" si="11"/>
        <v>0</v>
      </c>
      <c r="O53" s="14">
        <f>IF(J53=1,'[1]Gearing '!$C$17*'Duty Cycle '!N53,IF(J53=2,'[1]Gearing '!$C$18*'Duty Cycle '!N53,IF(J53=3,'[1]Gearing '!$C$19*'Duty Cycle '!N53)))</f>
        <v>0</v>
      </c>
      <c r="P53" s="14">
        <f>IF(F53='Track '!$B$60,'Track '!$F$53,IF(F53='Track '!$B$61,'Track '!$F$54,IF(F53='Track '!$B$62,'Track '!$F$55)))</f>
        <v>0.04</v>
      </c>
      <c r="Q53" s="14">
        <f>P53*'Vehicle '!$F$40*9.81</f>
        <v>254.78531999999998</v>
      </c>
      <c r="R53" s="14">
        <f>0.5*'Vehicle '!$F$53*'Vehicle '!$F$25*'Track '!$F$57*'Duty Cycle '!L53^2</f>
        <v>31.15088791433077</v>
      </c>
      <c r="S53" s="14">
        <f>'Vehicle '!$F$40*9.81*SIN(RADIANS('Duty Cycle '!I53))</f>
        <v>-281.9138155557294</v>
      </c>
      <c r="T53" s="18">
        <f t="shared" si="3"/>
        <v>4.022392358601337</v>
      </c>
      <c r="U53" s="14">
        <f t="shared" si="12"/>
        <v>3.6317562642436907E-2</v>
      </c>
      <c r="V53" s="14">
        <f>'Vehicle '!$F$9-'Duty Cycle '!U53</f>
        <v>13.386501229303873</v>
      </c>
      <c r="W53" s="14">
        <f t="shared" si="4"/>
        <v>3.6317562642436907E-2</v>
      </c>
      <c r="X53" s="16">
        <f t="shared" si="13"/>
        <v>6.0314291640974495E-2</v>
      </c>
      <c r="Y53" s="16">
        <f t="shared" si="5"/>
        <v>1</v>
      </c>
      <c r="Z53" s="14">
        <f t="shared" si="0"/>
        <v>2023.5541755875768</v>
      </c>
      <c r="AA53" s="14">
        <f t="shared" si="14"/>
        <v>876132.2226350375</v>
      </c>
      <c r="AB53" s="14">
        <f>'BSFC '!$X$14</f>
        <v>306.74480096579998</v>
      </c>
      <c r="AC53" s="14">
        <f t="shared" si="1"/>
        <v>3.0945065345325783E-3</v>
      </c>
      <c r="AD53" s="14">
        <f t="shared" si="15"/>
        <v>13.514321853340315</v>
      </c>
      <c r="AE53" s="14">
        <f t="shared" si="16"/>
        <v>9.562025191705667E-3</v>
      </c>
      <c r="AF53" s="14">
        <f>0.5*'Vehicle '!$F$40*'Duty Cycle '!L53^2/1000</f>
        <v>26.465489673157581</v>
      </c>
      <c r="AG53" s="14">
        <f t="shared" si="6"/>
        <v>2050.0196652607342</v>
      </c>
    </row>
    <row r="54" spans="1:33" ht="30" customHeight="1" x14ac:dyDescent="0.25">
      <c r="A54" s="20" t="s">
        <v>154</v>
      </c>
      <c r="B54" s="13">
        <f t="shared" si="7"/>
        <v>51</v>
      </c>
      <c r="C54" s="14" t="s">
        <v>70</v>
      </c>
      <c r="D54" s="14">
        <f>SUM($L$3:L54)</f>
        <v>512.49370496754182</v>
      </c>
      <c r="E54" s="14">
        <f t="shared" si="8"/>
        <v>9.4214049069864814</v>
      </c>
      <c r="F54" s="15" t="s">
        <v>53</v>
      </c>
      <c r="G54" s="14">
        <v>3.6</v>
      </c>
      <c r="H54" s="14">
        <f t="shared" si="9"/>
        <v>-0.80000000000000027</v>
      </c>
      <c r="I54" s="14">
        <f t="shared" si="10"/>
        <v>-4.8535153863405078</v>
      </c>
      <c r="J54" s="14">
        <v>2</v>
      </c>
      <c r="K54" s="14">
        <v>6000</v>
      </c>
      <c r="L54" s="14">
        <v>9.4214049069864778</v>
      </c>
      <c r="M54" s="14">
        <f t="shared" si="2"/>
        <v>21.075682776928751</v>
      </c>
      <c r="N54" s="14">
        <f t="shared" si="11"/>
        <v>0.39255853779110161</v>
      </c>
      <c r="O54" s="14">
        <f>IF(J54=1,'[1]Gearing '!$C$17*'Duty Cycle '!N54,IF(J54=2,'[1]Gearing '!$C$18*'Duty Cycle '!N54,IF(J54=3,'[1]Gearing '!$C$19*'Duty Cycle '!N54)))</f>
        <v>237.39323952771556</v>
      </c>
      <c r="P54" s="14">
        <f>IF(F54='Track '!$B$60,'Track '!$F$53,IF(F54='Track '!$B$61,'Track '!$F$54,IF(F54='Track '!$B$62,'Track '!$F$55)))</f>
        <v>0.04</v>
      </c>
      <c r="Q54" s="14">
        <f>P54*'Vehicle '!$F$40*9.81</f>
        <v>254.78531999999998</v>
      </c>
      <c r="R54" s="14">
        <f>0.5*'Vehicle '!$F$53*'Vehicle '!$F$25*'Track '!$F$57*'Duty Cycle '!L54^2</f>
        <v>33.918547143014209</v>
      </c>
      <c r="S54" s="14">
        <f>'Vehicle '!$F$40*9.81*SIN(RADIANS('Duty Cycle '!I54))</f>
        <v>-538.92541630629921</v>
      </c>
      <c r="T54" s="18">
        <f t="shared" si="3"/>
        <v>-250.22154916328503</v>
      </c>
      <c r="U54" s="14">
        <f t="shared" si="12"/>
        <v>2.357438531120732</v>
      </c>
      <c r="V54" s="14">
        <f>'Vehicle '!$F$9-'Duty Cycle '!U54</f>
        <v>11.065380260825577</v>
      </c>
      <c r="W54" s="14">
        <f t="shared" si="4"/>
        <v>2.357438531120732</v>
      </c>
      <c r="X54" s="16">
        <f t="shared" si="13"/>
        <v>3.7519799526316144</v>
      </c>
      <c r="Y54" s="16">
        <f t="shared" si="5"/>
        <v>4</v>
      </c>
      <c r="Z54" s="14">
        <f t="shared" si="0"/>
        <v>-128236.96879340986</v>
      </c>
      <c r="AA54" s="14">
        <f t="shared" si="14"/>
        <v>747895.25384162762</v>
      </c>
      <c r="AB54" s="14">
        <f>'BSFC '!$X$14</f>
        <v>306.74480096579998</v>
      </c>
      <c r="AC54" s="14">
        <f t="shared" si="1"/>
        <v>0.20087000361603799</v>
      </c>
      <c r="AD54" s="14">
        <f t="shared" si="15"/>
        <v>13.715191856956352</v>
      </c>
      <c r="AE54" s="14">
        <f t="shared" si="16"/>
        <v>0.62068831117355738</v>
      </c>
      <c r="AF54" s="14">
        <f>0.5*'Vehicle '!$F$40*'Duty Cycle '!L54^2/1000</f>
        <v>28.816865882303901</v>
      </c>
      <c r="AG54" s="14">
        <f t="shared" si="6"/>
        <v>-128208.15192752756</v>
      </c>
    </row>
    <row r="55" spans="1:33" ht="30" customHeight="1" x14ac:dyDescent="0.25">
      <c r="A55" s="20"/>
      <c r="B55" s="13">
        <f t="shared" si="7"/>
        <v>52</v>
      </c>
      <c r="C55" s="14" t="s">
        <v>70</v>
      </c>
      <c r="D55" s="14">
        <f>SUM($L$3:L55)</f>
        <v>522.7002269501105</v>
      </c>
      <c r="E55" s="14">
        <f t="shared" si="8"/>
        <v>10.206521982568688</v>
      </c>
      <c r="F55" s="15" t="s">
        <v>53</v>
      </c>
      <c r="G55" s="14">
        <v>2.6</v>
      </c>
      <c r="H55" s="14">
        <f t="shared" si="9"/>
        <v>-1</v>
      </c>
      <c r="I55" s="14">
        <f t="shared" si="10"/>
        <v>-5.5957840664978074</v>
      </c>
      <c r="J55" s="14">
        <v>2</v>
      </c>
      <c r="K55" s="14">
        <v>6500</v>
      </c>
      <c r="L55" s="14">
        <v>10.206521982568686</v>
      </c>
      <c r="M55" s="14">
        <f t="shared" si="2"/>
        <v>22.831989675006152</v>
      </c>
      <c r="N55" s="14">
        <f t="shared" si="11"/>
        <v>0.78511707558220856</v>
      </c>
      <c r="O55" s="14">
        <f>IF(J55=1,'[1]Gearing '!$C$17*'Duty Cycle '!N55,IF(J55=2,'[1]Gearing '!$C$18*'Duty Cycle '!N55,IF(J55=3,'[1]Gearing '!$C$19*'Duty Cycle '!N55)))</f>
        <v>474.78647905543431</v>
      </c>
      <c r="P55" s="14">
        <f>IF(F55='Track '!$B$60,'Track '!$F$53,IF(F55='Track '!$B$61,'Track '!$F$54,IF(F55='Track '!$B$62,'Track '!$F$55)))</f>
        <v>0.04</v>
      </c>
      <c r="Q55" s="14">
        <f>P55*'Vehicle '!$F$40*9.81</f>
        <v>254.78531999999998</v>
      </c>
      <c r="R55" s="14">
        <f>0.5*'Vehicle '!$F$53*'Vehicle '!$F$25*'Track '!$F$57*'Duty Cycle '!L55^2</f>
        <v>39.807183799787531</v>
      </c>
      <c r="S55" s="14">
        <f>'Vehicle '!$F$40*9.81*SIN(RADIANS('Duty Cycle '!I55))</f>
        <v>-621.1008038983781</v>
      </c>
      <c r="T55" s="18">
        <f t="shared" si="3"/>
        <v>-326.50830009859061</v>
      </c>
      <c r="U55" s="14">
        <f t="shared" si="12"/>
        <v>3.3325141424473985</v>
      </c>
      <c r="V55" s="14">
        <f>'Vehicle '!$F$9-'Duty Cycle '!U55</f>
        <v>10.090304649498911</v>
      </c>
      <c r="W55" s="14">
        <f t="shared" si="4"/>
        <v>3.3325141424473985</v>
      </c>
      <c r="X55" s="16">
        <f t="shared" si="13"/>
        <v>4.8958716802537117</v>
      </c>
      <c r="Y55" s="16">
        <f t="shared" si="5"/>
        <v>5</v>
      </c>
      <c r="Z55" s="14">
        <f t="shared" si="0"/>
        <v>-170665.96256262809</v>
      </c>
      <c r="AA55" s="14">
        <f t="shared" si="14"/>
        <v>577229.29127899953</v>
      </c>
      <c r="AB55" s="14">
        <f>'BSFC '!$X$14</f>
        <v>306.74480096579998</v>
      </c>
      <c r="AC55" s="14">
        <f t="shared" si="1"/>
        <v>0.2839531631502058</v>
      </c>
      <c r="AD55" s="14">
        <f t="shared" si="15"/>
        <v>13.999145020106559</v>
      </c>
      <c r="AE55" s="14">
        <f t="shared" si="16"/>
        <v>0.87741527413413589</v>
      </c>
      <c r="AF55" s="14">
        <f>0.5*'Vehicle '!$F$40*'Duty Cycle '!L55^2/1000</f>
        <v>33.819793986870565</v>
      </c>
      <c r="AG55" s="14">
        <f t="shared" si="6"/>
        <v>-170632.14276864121</v>
      </c>
    </row>
    <row r="56" spans="1:33" ht="30" customHeight="1" x14ac:dyDescent="0.25">
      <c r="A56" s="35">
        <f>AVERAGE(W3:W153)</f>
        <v>4.3249494983364407</v>
      </c>
      <c r="B56" s="13">
        <f t="shared" si="7"/>
        <v>53</v>
      </c>
      <c r="C56" s="14" t="s">
        <v>84</v>
      </c>
      <c r="D56" s="14">
        <f>SUM($L$3:L56)</f>
        <v>533.4529173330842</v>
      </c>
      <c r="E56" s="14">
        <f t="shared" si="8"/>
        <v>10.752690382973697</v>
      </c>
      <c r="F56" s="15" t="s">
        <v>53</v>
      </c>
      <c r="G56" s="14">
        <v>1.6</v>
      </c>
      <c r="H56" s="14">
        <f t="shared" si="9"/>
        <v>-1</v>
      </c>
      <c r="I56" s="14">
        <f t="shared" si="10"/>
        <v>-5.3132235521808404</v>
      </c>
      <c r="J56" s="14">
        <v>3</v>
      </c>
      <c r="K56" s="14">
        <v>5250</v>
      </c>
      <c r="L56" s="14">
        <v>10.752690382973697</v>
      </c>
      <c r="M56" s="14">
        <f t="shared" si="2"/>
        <v>24.053768386712161</v>
      </c>
      <c r="N56" s="14">
        <f t="shared" si="11"/>
        <v>0.54616840040501025</v>
      </c>
      <c r="O56" s="14">
        <f>IF(J56=1,'[1]Gearing '!$C$17*'Duty Cycle '!N56,IF(J56=2,'[1]Gearing '!$C$18*'Duty Cycle '!N56,IF(J56=3,'[1]Gearing '!$C$19*'Duty Cycle '!N56)))</f>
        <v>328.89370588341745</v>
      </c>
      <c r="P56" s="14">
        <f>IF(F56='Track '!$B$60,'Track '!$F$53,IF(F56='Track '!$B$61,'Track '!$F$54,IF(F56='Track '!$B$62,'Track '!$F$55)))</f>
        <v>0.04</v>
      </c>
      <c r="Q56" s="14">
        <f>P56*'Vehicle '!$F$40*9.81</f>
        <v>254.78531999999998</v>
      </c>
      <c r="R56" s="14">
        <f>0.5*'Vehicle '!$F$53*'Vehicle '!$F$25*'Track '!$F$57*'Duty Cycle '!L56^2</f>
        <v>44.181472383238614</v>
      </c>
      <c r="S56" s="14">
        <f>'Vehicle '!$F$40*9.81*SIN(RADIANS('Duty Cycle '!I56))</f>
        <v>-589.83051774423768</v>
      </c>
      <c r="T56" s="18">
        <f t="shared" si="3"/>
        <v>-290.86372536099907</v>
      </c>
      <c r="U56" s="14">
        <f t="shared" si="12"/>
        <v>3.1275675824451175</v>
      </c>
      <c r="V56" s="14">
        <f>'Vehicle '!$F$9-'Duty Cycle '!U56</f>
        <v>10.295251209501192</v>
      </c>
      <c r="W56" s="14">
        <f t="shared" si="4"/>
        <v>3.1275675824451175</v>
      </c>
      <c r="X56" s="16">
        <f t="shared" si="13"/>
        <v>5.6887753211441074</v>
      </c>
      <c r="Y56" s="16">
        <f t="shared" si="5"/>
        <v>6</v>
      </c>
      <c r="Z56" s="14">
        <f t="shared" si="0"/>
        <v>-155162.10284019395</v>
      </c>
      <c r="AA56" s="14">
        <f t="shared" si="14"/>
        <v>422067.18843880558</v>
      </c>
      <c r="AB56" s="14">
        <f>'BSFC '!$X$14</f>
        <v>306.74480096579998</v>
      </c>
      <c r="AC56" s="14">
        <f t="shared" si="1"/>
        <v>0.26649030432894882</v>
      </c>
      <c r="AD56" s="14">
        <f t="shared" si="15"/>
        <v>14.265635324435507</v>
      </c>
      <c r="AE56" s="14">
        <f t="shared" si="16"/>
        <v>0.82345504037645179</v>
      </c>
      <c r="AF56" s="14">
        <f>0.5*'Vehicle '!$F$40*'Duty Cycle '!L56^2/1000</f>
        <v>37.536146780765641</v>
      </c>
      <c r="AG56" s="14">
        <f t="shared" si="6"/>
        <v>-155124.56669341319</v>
      </c>
    </row>
    <row r="57" spans="1:33" ht="30" customHeight="1" x14ac:dyDescent="0.25">
      <c r="A57" s="35"/>
      <c r="B57" s="13">
        <f t="shared" si="7"/>
        <v>54</v>
      </c>
      <c r="C57" s="14" t="s">
        <v>84</v>
      </c>
      <c r="D57" s="14">
        <f>SUM($L$3:L57)</f>
        <v>545.2296734668173</v>
      </c>
      <c r="E57" s="14">
        <f t="shared" si="8"/>
        <v>11.776756133733102</v>
      </c>
      <c r="F57" s="15" t="s">
        <v>53</v>
      </c>
      <c r="G57" s="14">
        <v>0.8</v>
      </c>
      <c r="H57" s="14">
        <f t="shared" si="9"/>
        <v>-0.8</v>
      </c>
      <c r="I57" s="14">
        <f t="shared" si="10"/>
        <v>-3.8861561408986303</v>
      </c>
      <c r="J57" s="14">
        <v>3</v>
      </c>
      <c r="K57" s="14">
        <v>5750</v>
      </c>
      <c r="L57" s="14">
        <v>11.776756133733098</v>
      </c>
      <c r="M57" s="14">
        <f t="shared" si="2"/>
        <v>26.344603471160941</v>
      </c>
      <c r="N57" s="14">
        <f t="shared" si="11"/>
        <v>1.0240657507594015</v>
      </c>
      <c r="O57" s="14">
        <f>IF(J57=1,'[1]Gearing '!$C$17*'Duty Cycle '!N57,IF(J57=2,'[1]Gearing '!$C$18*'Duty Cycle '!N57,IF(J57=3,'[1]Gearing '!$C$19*'Duty Cycle '!N57)))</f>
        <v>616.67569853141219</v>
      </c>
      <c r="P57" s="14">
        <f>IF(F57='Track '!$B$60,'Track '!$F$53,IF(F57='Track '!$B$61,'Track '!$F$54,IF(F57='Track '!$B$62,'Track '!$F$55)))</f>
        <v>0.04</v>
      </c>
      <c r="Q57" s="14">
        <f>P57*'Vehicle '!$F$40*9.81</f>
        <v>254.78531999999998</v>
      </c>
      <c r="R57" s="14">
        <f>0.5*'Vehicle '!$F$53*'Vehicle '!$F$25*'Track '!$F$57*'Duty Cycle '!L57^2</f>
        <v>52.997729910959706</v>
      </c>
      <c r="S57" s="14">
        <f>'Vehicle '!$F$40*9.81*SIN(RADIANS('Duty Cycle '!I57))</f>
        <v>-431.69695467287426</v>
      </c>
      <c r="T57" s="18">
        <f t="shared" si="3"/>
        <v>-123.91390476191458</v>
      </c>
      <c r="U57" s="14">
        <f t="shared" si="12"/>
        <v>1.4593038379596965</v>
      </c>
      <c r="V57" s="14">
        <f>'Vehicle '!$F$9-'Duty Cycle '!U57</f>
        <v>11.963514953986612</v>
      </c>
      <c r="W57" s="14">
        <f t="shared" si="4"/>
        <v>1.4593038379596965</v>
      </c>
      <c r="X57" s="16">
        <f t="shared" si="13"/>
        <v>2.4235348099227121</v>
      </c>
      <c r="Y57" s="16">
        <f t="shared" si="5"/>
        <v>3</v>
      </c>
      <c r="Z57" s="14">
        <f t="shared" si="0"/>
        <v>-67561.537831336987</v>
      </c>
      <c r="AA57" s="14">
        <f t="shared" si="14"/>
        <v>354505.65060746856</v>
      </c>
      <c r="AB57" s="14">
        <f>'BSFC '!$X$14</f>
        <v>306.74480096579998</v>
      </c>
      <c r="AC57" s="14">
        <f t="shared" si="1"/>
        <v>0.12434274036765977</v>
      </c>
      <c r="AD57" s="14">
        <f t="shared" si="15"/>
        <v>14.389978064803167</v>
      </c>
      <c r="AE57" s="14">
        <f t="shared" si="16"/>
        <v>0.38421906773606868</v>
      </c>
      <c r="AF57" s="14">
        <f>0.5*'Vehicle '!$F$40*'Duty Cycle '!L57^2/1000</f>
        <v>45.026352941099844</v>
      </c>
      <c r="AG57" s="14">
        <f t="shared" si="6"/>
        <v>-67516.511478395885</v>
      </c>
    </row>
    <row r="58" spans="1:33" ht="30" customHeight="1" x14ac:dyDescent="0.25">
      <c r="B58" s="13">
        <f t="shared" si="7"/>
        <v>55</v>
      </c>
      <c r="C58" s="14" t="s">
        <v>84</v>
      </c>
      <c r="D58" s="14">
        <f>SUM($L$3:L58)</f>
        <v>558.03049535130981</v>
      </c>
      <c r="E58" s="14">
        <f t="shared" si="8"/>
        <v>12.800821884492507</v>
      </c>
      <c r="F58" s="15" t="s">
        <v>53</v>
      </c>
      <c r="G58" s="14">
        <v>0.3</v>
      </c>
      <c r="H58" s="14">
        <f t="shared" si="9"/>
        <v>-0.5</v>
      </c>
      <c r="I58" s="14">
        <f t="shared" si="10"/>
        <v>-2.2368355827447917</v>
      </c>
      <c r="J58" s="14">
        <v>3</v>
      </c>
      <c r="K58" s="14">
        <v>6250</v>
      </c>
      <c r="L58" s="14">
        <v>12.800821884492496</v>
      </c>
      <c r="M58" s="14">
        <f t="shared" si="2"/>
        <v>28.635438555609714</v>
      </c>
      <c r="N58" s="14">
        <f t="shared" si="11"/>
        <v>1.024065750759398</v>
      </c>
      <c r="O58" s="14">
        <f>IF(J58=1,'[1]Gearing '!$C$17*'Duty Cycle '!N58,IF(J58=2,'[1]Gearing '!$C$18*'Duty Cycle '!N58,IF(J58=3,'[1]Gearing '!$C$19*'Duty Cycle '!N58)))</f>
        <v>616.67569853141003</v>
      </c>
      <c r="P58" s="14">
        <f>IF(F58='Track '!$B$60,'Track '!$F$53,IF(F58='Track '!$B$61,'Track '!$F$54,IF(F58='Track '!$B$62,'Track '!$F$55)))</f>
        <v>0.04</v>
      </c>
      <c r="Q58" s="14">
        <f>P58*'Vehicle '!$F$40*9.81</f>
        <v>254.78531999999998</v>
      </c>
      <c r="R58" s="14">
        <f>0.5*'Vehicle '!$F$53*'Vehicle '!$F$25*'Track '!$F$57*'Duty Cycle '!L58^2</f>
        <v>62.615465395746334</v>
      </c>
      <c r="S58" s="14">
        <f>'Vehicle '!$F$40*9.81*SIN(RADIANS('Duty Cycle '!I58))</f>
        <v>-248.60823742651846</v>
      </c>
      <c r="T58" s="18">
        <f t="shared" si="3"/>
        <v>68.792547969227854</v>
      </c>
      <c r="U58" s="14">
        <f t="shared" si="12"/>
        <v>0.88060115353449164</v>
      </c>
      <c r="V58" s="14">
        <f>'Vehicle '!$F$9-'Duty Cycle '!U58</f>
        <v>12.542217638411817</v>
      </c>
      <c r="W58" s="14">
        <f t="shared" si="4"/>
        <v>0.88060115353449164</v>
      </c>
      <c r="X58" s="16">
        <f t="shared" si="13"/>
        <v>1.3454594541834184</v>
      </c>
      <c r="Y58" s="16">
        <f t="shared" si="5"/>
        <v>2</v>
      </c>
      <c r="Z58" s="14">
        <f t="shared" si="0"/>
        <v>38388.339619746963</v>
      </c>
      <c r="AA58" s="14">
        <f t="shared" si="14"/>
        <v>392893.99022721552</v>
      </c>
      <c r="AB58" s="14">
        <f>'BSFC '!$X$14</f>
        <v>306.74480096579998</v>
      </c>
      <c r="AC58" s="14">
        <f t="shared" si="1"/>
        <v>7.5033284880886522E-2</v>
      </c>
      <c r="AD58" s="14">
        <f t="shared" si="15"/>
        <v>14.465011349684053</v>
      </c>
      <c r="AE58" s="14">
        <f t="shared" si="16"/>
        <v>0.23185285028193933</v>
      </c>
      <c r="AF58" s="14">
        <f>0.5*'Vehicle '!$F$40*'Duty Cycle '!L58^2/1000</f>
        <v>53.19748693419168</v>
      </c>
      <c r="AG58" s="14">
        <f t="shared" si="6"/>
        <v>38441.537106681157</v>
      </c>
    </row>
    <row r="59" spans="1:33" ht="30" customHeight="1" x14ac:dyDescent="0.25">
      <c r="B59" s="13">
        <f t="shared" si="7"/>
        <v>56</v>
      </c>
      <c r="C59" s="14" t="s">
        <v>84</v>
      </c>
      <c r="D59" s="14">
        <f>SUM($L$3:L59)</f>
        <v>571.34335011118196</v>
      </c>
      <c r="E59" s="14">
        <f t="shared" si="8"/>
        <v>13.312854759872152</v>
      </c>
      <c r="F59" s="15" t="s">
        <v>53</v>
      </c>
      <c r="G59" s="14">
        <v>0.1</v>
      </c>
      <c r="H59" s="14">
        <f t="shared" si="9"/>
        <v>-0.19999999999999998</v>
      </c>
      <c r="I59" s="14">
        <f t="shared" si="10"/>
        <v>-0.86069397910672041</v>
      </c>
      <c r="J59" s="14">
        <v>3</v>
      </c>
      <c r="K59" s="14">
        <v>6500</v>
      </c>
      <c r="L59" s="14">
        <v>13.312854759872195</v>
      </c>
      <c r="M59" s="14">
        <f t="shared" si="2"/>
        <v>29.780856097834103</v>
      </c>
      <c r="N59" s="14">
        <f t="shared" si="11"/>
        <v>0.51203287537969899</v>
      </c>
      <c r="O59" s="14">
        <f>IF(J59=1,'[1]Gearing '!$C$17*'Duty Cycle '!N59,IF(J59=2,'[1]Gearing '!$C$18*'Duty Cycle '!N59,IF(J59=3,'[1]Gearing '!$C$19*'Duty Cycle '!N59)))</f>
        <v>308.33784926570502</v>
      </c>
      <c r="P59" s="14">
        <f>IF(F59='Track '!$B$60,'Track '!$F$53,IF(F59='Track '!$B$61,'Track '!$F$54,IF(F59='Track '!$B$62,'Track '!$F$55)))</f>
        <v>0.04</v>
      </c>
      <c r="Q59" s="14">
        <f>P59*'Vehicle '!$F$40*9.81</f>
        <v>254.78531999999998</v>
      </c>
      <c r="R59" s="14">
        <f>0.5*'Vehicle '!$F$53*'Vehicle '!$F$25*'Track '!$F$57*'Duty Cycle '!L59^2</f>
        <v>67.724887372039234</v>
      </c>
      <c r="S59" s="14">
        <f>'Vehicle '!$F$40*9.81*SIN(RADIANS('Duty Cycle '!I59))</f>
        <v>-95.680670247492742</v>
      </c>
      <c r="T59" s="18">
        <f t="shared" si="3"/>
        <v>226.82953712454645</v>
      </c>
      <c r="U59" s="14">
        <f t="shared" si="12"/>
        <v>3.019748682988125</v>
      </c>
      <c r="V59" s="14">
        <f>'Vehicle '!$F$9-'Duty Cycle '!U59</f>
        <v>10.403070108958184</v>
      </c>
      <c r="W59" s="14">
        <f t="shared" si="4"/>
        <v>3.019748682988125</v>
      </c>
      <c r="X59" s="16">
        <f t="shared" si="13"/>
        <v>4.4363808903950854</v>
      </c>
      <c r="Y59" s="16">
        <f t="shared" si="5"/>
        <v>5</v>
      </c>
      <c r="Z59" s="14">
        <f t="shared" si="0"/>
        <v>129597.54764490708</v>
      </c>
      <c r="AA59" s="14">
        <f t="shared" si="14"/>
        <v>522491.5378721226</v>
      </c>
      <c r="AB59" s="14">
        <f>'BSFC '!$X$14</f>
        <v>306.74480096579998</v>
      </c>
      <c r="AC59" s="14">
        <f t="shared" si="1"/>
        <v>0.2573033913138692</v>
      </c>
      <c r="AD59" s="14">
        <f t="shared" si="15"/>
        <v>14.722314740997922</v>
      </c>
      <c r="AE59" s="14">
        <f t="shared" si="16"/>
        <v>0.79506747915985576</v>
      </c>
      <c r="AF59" s="14">
        <f>0.5*'Vehicle '!$F$40*'Duty Cycle '!L59^2/1000</f>
        <v>57.538401868021715</v>
      </c>
      <c r="AG59" s="14">
        <f t="shared" si="6"/>
        <v>129655.0860467751</v>
      </c>
    </row>
    <row r="60" spans="1:33" ht="30" customHeight="1" x14ac:dyDescent="0.25">
      <c r="B60" s="13">
        <f t="shared" si="7"/>
        <v>57</v>
      </c>
      <c r="C60" s="14" t="s">
        <v>84</v>
      </c>
      <c r="D60" s="14">
        <f>SUM($L$3:L60)</f>
        <v>584.65620487105411</v>
      </c>
      <c r="E60" s="14">
        <f t="shared" si="8"/>
        <v>13.312854759872152</v>
      </c>
      <c r="F60" s="15" t="s">
        <v>53</v>
      </c>
      <c r="G60" s="14">
        <v>0</v>
      </c>
      <c r="H60" s="14">
        <f t="shared" si="9"/>
        <v>-0.1</v>
      </c>
      <c r="I60" s="14">
        <f t="shared" si="10"/>
        <v>-0.43037126881883736</v>
      </c>
      <c r="J60" s="14">
        <v>3</v>
      </c>
      <c r="K60" s="14">
        <v>6500</v>
      </c>
      <c r="L60" s="14">
        <v>13.312854759872195</v>
      </c>
      <c r="M60" s="14">
        <f t="shared" si="2"/>
        <v>29.780856097834103</v>
      </c>
      <c r="N60" s="14">
        <f t="shared" si="11"/>
        <v>0</v>
      </c>
      <c r="O60" s="14">
        <f>IF(J60=1,'[1]Gearing '!$C$17*'Duty Cycle '!N60,IF(J60=2,'[1]Gearing '!$C$18*'Duty Cycle '!N60,IF(J60=3,'[1]Gearing '!$C$19*'Duty Cycle '!N60)))</f>
        <v>0</v>
      </c>
      <c r="P60" s="14">
        <f>IF(F60='Track '!$B$60,'Track '!$F$53,IF(F60='Track '!$B$61,'Track '!$F$54,IF(F60='Track '!$B$62,'Track '!$F$55)))</f>
        <v>0.04</v>
      </c>
      <c r="Q60" s="14">
        <f>P60*'Vehicle '!$F$40*9.81</f>
        <v>254.78531999999998</v>
      </c>
      <c r="R60" s="14">
        <f>0.5*'Vehicle '!$F$53*'Vehicle '!$F$25*'Track '!$F$57*'Duty Cycle '!L60^2</f>
        <v>67.724887372039234</v>
      </c>
      <c r="S60" s="14">
        <f>'Vehicle '!$F$40*9.81*SIN(RADIANS('Duty Cycle '!I60))</f>
        <v>-47.84438368024874</v>
      </c>
      <c r="T60" s="18">
        <f t="shared" si="3"/>
        <v>274.66582369179048</v>
      </c>
      <c r="U60" s="14">
        <f t="shared" si="12"/>
        <v>3.6565862183094699</v>
      </c>
      <c r="V60" s="14">
        <f>'Vehicle '!$F$9-'Duty Cycle '!U60</f>
        <v>9.7662325736368381</v>
      </c>
      <c r="W60" s="14">
        <f t="shared" si="4"/>
        <v>3.6565862183094699</v>
      </c>
      <c r="X60" s="16">
        <f t="shared" si="13"/>
        <v>5.3719732752521763</v>
      </c>
      <c r="Y60" s="16">
        <f t="shared" si="5"/>
        <v>6</v>
      </c>
      <c r="Z60" s="14">
        <f t="shared" si="0"/>
        <v>160585.07808742428</v>
      </c>
      <c r="AA60" s="14">
        <f t="shared" si="14"/>
        <v>683076.61595954688</v>
      </c>
      <c r="AB60" s="14">
        <f>'BSFC '!$X$14</f>
        <v>306.74480096579998</v>
      </c>
      <c r="AC60" s="14">
        <f t="shared" si="1"/>
        <v>0.31156633659711819</v>
      </c>
      <c r="AD60" s="14">
        <f t="shared" si="15"/>
        <v>15.033881077595041</v>
      </c>
      <c r="AE60" s="14">
        <f t="shared" si="16"/>
        <v>0.9627399800850952</v>
      </c>
      <c r="AF60" s="14">
        <f>0.5*'Vehicle '!$F$40*'Duty Cycle '!L60^2/1000</f>
        <v>57.538401868021715</v>
      </c>
      <c r="AG60" s="14">
        <f t="shared" si="6"/>
        <v>160642.6164892923</v>
      </c>
    </row>
    <row r="61" spans="1:33" ht="30" customHeight="1" x14ac:dyDescent="0.25">
      <c r="B61" s="13">
        <f t="shared" si="7"/>
        <v>58</v>
      </c>
      <c r="C61" s="14" t="s">
        <v>84</v>
      </c>
      <c r="D61" s="14">
        <f>SUM($L$3:L61)</f>
        <v>597.96905963092627</v>
      </c>
      <c r="E61" s="14">
        <f t="shared" si="8"/>
        <v>13.312854759872152</v>
      </c>
      <c r="F61" s="15" t="s">
        <v>53</v>
      </c>
      <c r="G61" s="14">
        <v>0</v>
      </c>
      <c r="H61" s="14">
        <f t="shared" si="9"/>
        <v>0</v>
      </c>
      <c r="I61" s="14">
        <f t="shared" si="10"/>
        <v>0</v>
      </c>
      <c r="J61" s="14">
        <v>3</v>
      </c>
      <c r="K61" s="14">
        <v>6500</v>
      </c>
      <c r="L61" s="14">
        <v>13.312854759872195</v>
      </c>
      <c r="M61" s="14">
        <f t="shared" si="2"/>
        <v>29.780856097834103</v>
      </c>
      <c r="N61" s="14">
        <f t="shared" si="11"/>
        <v>0</v>
      </c>
      <c r="O61" s="14">
        <f>IF(J61=1,'[1]Gearing '!$C$17*'Duty Cycle '!N61,IF(J61=2,'[1]Gearing '!$C$18*'Duty Cycle '!N61,IF(J61=3,'[1]Gearing '!$C$19*'Duty Cycle '!N61)))</f>
        <v>0</v>
      </c>
      <c r="P61" s="14">
        <f>IF(F61='Track '!$B$60,'Track '!$F$53,IF(F61='Track '!$B$61,'Track '!$F$54,IF(F61='Track '!$B$62,'Track '!$F$55)))</f>
        <v>0.04</v>
      </c>
      <c r="Q61" s="14">
        <f>P61*'Vehicle '!$F$40*9.81</f>
        <v>254.78531999999998</v>
      </c>
      <c r="R61" s="14">
        <f>0.5*'Vehicle '!$F$53*'Vehicle '!$F$25*'Track '!$F$57*'Duty Cycle '!L61^2</f>
        <v>67.724887372039234</v>
      </c>
      <c r="S61" s="14">
        <f>'Vehicle '!$F$40*9.81*SIN(RADIANS('Duty Cycle '!I61))</f>
        <v>0</v>
      </c>
      <c r="T61" s="18">
        <f t="shared" si="3"/>
        <v>322.51020737203919</v>
      </c>
      <c r="U61" s="14">
        <f t="shared" si="12"/>
        <v>4.2935315493202202</v>
      </c>
      <c r="V61" s="14">
        <f>'Vehicle '!$F$9-'Duty Cycle '!U61</f>
        <v>9.1292872426260878</v>
      </c>
      <c r="W61" s="14">
        <f t="shared" si="4"/>
        <v>4.2935315493202202</v>
      </c>
      <c r="X61" s="16">
        <f t="shared" si="13"/>
        <v>6.3077240251875404</v>
      </c>
      <c r="Y61" s="16">
        <f t="shared" si="5"/>
        <v>7</v>
      </c>
      <c r="Z61" s="14">
        <f t="shared" si="0"/>
        <v>192851.12542363329</v>
      </c>
      <c r="AA61" s="14">
        <f t="shared" si="14"/>
        <v>875927.74138318014</v>
      </c>
      <c r="AB61" s="14">
        <f>'BSFC '!$X$14</f>
        <v>306.74480096579998</v>
      </c>
      <c r="AC61" s="14">
        <f t="shared" si="1"/>
        <v>0.36583846681572607</v>
      </c>
      <c r="AD61" s="14">
        <f t="shared" si="15"/>
        <v>15.399719544410766</v>
      </c>
      <c r="AE61" s="14">
        <f t="shared" si="16"/>
        <v>1.1304408624605935</v>
      </c>
      <c r="AF61" s="14">
        <f>0.5*'Vehicle '!$F$40*'Duty Cycle '!L61^2/1000</f>
        <v>57.538401868021715</v>
      </c>
      <c r="AG61" s="14">
        <f t="shared" si="6"/>
        <v>192908.66382550131</v>
      </c>
    </row>
    <row r="62" spans="1:33" ht="30" customHeight="1" x14ac:dyDescent="0.25">
      <c r="B62" s="13">
        <f t="shared" si="7"/>
        <v>59</v>
      </c>
      <c r="C62" s="14" t="s">
        <v>84</v>
      </c>
      <c r="D62" s="14">
        <f>SUM($L$3:L62)</f>
        <v>611.28191439079842</v>
      </c>
      <c r="E62" s="14">
        <f t="shared" si="8"/>
        <v>13.312854759872152</v>
      </c>
      <c r="F62" s="15" t="s">
        <v>53</v>
      </c>
      <c r="G62" s="14">
        <v>0</v>
      </c>
      <c r="H62" s="14">
        <f t="shared" si="9"/>
        <v>0</v>
      </c>
      <c r="I62" s="14">
        <f t="shared" si="10"/>
        <v>0</v>
      </c>
      <c r="J62" s="14">
        <v>3</v>
      </c>
      <c r="K62" s="14">
        <v>6500</v>
      </c>
      <c r="L62" s="14">
        <v>13.312854759872195</v>
      </c>
      <c r="M62" s="14">
        <f t="shared" si="2"/>
        <v>29.780856097834103</v>
      </c>
      <c r="N62" s="14">
        <f t="shared" si="11"/>
        <v>0</v>
      </c>
      <c r="O62" s="14">
        <f>IF(J62=1,'[1]Gearing '!$C$17*'Duty Cycle '!N62,IF(J62=2,'[1]Gearing '!$C$18*'Duty Cycle '!N62,IF(J62=3,'[1]Gearing '!$C$19*'Duty Cycle '!N62)))</f>
        <v>0</v>
      </c>
      <c r="P62" s="14">
        <f>IF(F62='Track '!$B$60,'Track '!$F$53,IF(F62='Track '!$B$61,'Track '!$F$54,IF(F62='Track '!$B$62,'Track '!$F$55)))</f>
        <v>0.04</v>
      </c>
      <c r="Q62" s="14">
        <f>P62*'Vehicle '!$F$40*9.81</f>
        <v>254.78531999999998</v>
      </c>
      <c r="R62" s="14">
        <f>0.5*'Vehicle '!$F$53*'Vehicle '!$F$25*'Track '!$F$57*'Duty Cycle '!L62^2</f>
        <v>67.724887372039234</v>
      </c>
      <c r="S62" s="14">
        <f>'Vehicle '!$F$40*9.81*SIN(RADIANS('Duty Cycle '!I62))</f>
        <v>0</v>
      </c>
      <c r="T62" s="18">
        <f t="shared" si="3"/>
        <v>322.51020737203919</v>
      </c>
      <c r="U62" s="14">
        <f t="shared" si="12"/>
        <v>4.2935315493202202</v>
      </c>
      <c r="V62" s="14">
        <f>'Vehicle '!$F$9-'Duty Cycle '!U62</f>
        <v>9.1292872426260878</v>
      </c>
      <c r="W62" s="14">
        <f t="shared" si="4"/>
        <v>4.2935315493202202</v>
      </c>
      <c r="X62" s="16">
        <f t="shared" si="13"/>
        <v>6.3077240251875404</v>
      </c>
      <c r="Y62" s="16">
        <f t="shared" si="5"/>
        <v>7</v>
      </c>
      <c r="Z62" s="14">
        <f t="shared" si="0"/>
        <v>197144.6569729535</v>
      </c>
      <c r="AA62" s="14">
        <f t="shared" si="14"/>
        <v>1073072.3983561336</v>
      </c>
      <c r="AB62" s="14">
        <f>'BSFC '!$X$14</f>
        <v>306.74480096579998</v>
      </c>
      <c r="AC62" s="14">
        <f t="shared" si="1"/>
        <v>0.36583846681572607</v>
      </c>
      <c r="AD62" s="14">
        <f t="shared" si="15"/>
        <v>15.765558011226492</v>
      </c>
      <c r="AE62" s="14">
        <f t="shared" si="16"/>
        <v>1.1304408624605935</v>
      </c>
      <c r="AF62" s="14">
        <f>0.5*'Vehicle '!$F$40*'Duty Cycle '!L62^2/1000</f>
        <v>57.538401868021715</v>
      </c>
      <c r="AG62" s="14">
        <f t="shared" si="6"/>
        <v>197202.19537482152</v>
      </c>
    </row>
    <row r="63" spans="1:33" ht="30" customHeight="1" x14ac:dyDescent="0.25">
      <c r="B63" s="13">
        <f t="shared" si="7"/>
        <v>60</v>
      </c>
      <c r="C63" s="14" t="s">
        <v>69</v>
      </c>
      <c r="D63" s="14">
        <f>SUM($L$3:L63)</f>
        <v>623.57070339991117</v>
      </c>
      <c r="E63" s="14">
        <f t="shared" si="8"/>
        <v>12.288789009112747</v>
      </c>
      <c r="F63" s="15" t="s">
        <v>53</v>
      </c>
      <c r="G63" s="14">
        <v>0</v>
      </c>
      <c r="H63" s="14">
        <f t="shared" si="9"/>
        <v>0</v>
      </c>
      <c r="I63" s="14">
        <f t="shared" si="10"/>
        <v>0</v>
      </c>
      <c r="J63" s="14">
        <v>3</v>
      </c>
      <c r="K63" s="14">
        <v>6000</v>
      </c>
      <c r="L63" s="14">
        <v>12.288789009112795</v>
      </c>
      <c r="M63" s="14">
        <f t="shared" si="2"/>
        <v>27.490021013385324</v>
      </c>
      <c r="N63" s="14">
        <f t="shared" si="11"/>
        <v>-1.0240657507593998</v>
      </c>
      <c r="O63" s="14">
        <f>IF(J63=1,'[1]Gearing '!$C$17*'Duty Cycle '!N63,IF(J63=2,'[1]Gearing '!$C$18*'Duty Cycle '!N63,IF(J63=3,'[1]Gearing '!$C$19*'Duty Cycle '!N63)))</f>
        <v>-616.67569853141106</v>
      </c>
      <c r="P63" s="14">
        <f>IF(F63='Track '!$B$60,'Track '!$F$53,IF(F63='Track '!$B$61,'Track '!$F$54,IF(F63='Track '!$B$62,'Track '!$F$55)))</f>
        <v>0.04</v>
      </c>
      <c r="Q63" s="14">
        <f>P63*'Vehicle '!$F$40*9.81</f>
        <v>254.78531999999998</v>
      </c>
      <c r="R63" s="14">
        <f>0.5*'Vehicle '!$F$53*'Vehicle '!$F$25*'Track '!$F$57*'Duty Cycle '!L63^2</f>
        <v>57.70641290871982</v>
      </c>
      <c r="S63" s="14">
        <f>'Vehicle '!$F$40*9.81*SIN(RADIANS('Duty Cycle '!I63))</f>
        <v>0</v>
      </c>
      <c r="T63" s="18">
        <f t="shared" si="3"/>
        <v>312.49173290871983</v>
      </c>
      <c r="U63" s="14">
        <f t="shared" si="12"/>
        <v>3.8401449728072876</v>
      </c>
      <c r="V63" s="14">
        <f>'Vehicle '!$F$9-'Duty Cycle '!U63</f>
        <v>9.5826738191390213</v>
      </c>
      <c r="W63" s="14">
        <f t="shared" si="4"/>
        <v>3.8401449728072876</v>
      </c>
      <c r="X63" s="16">
        <f t="shared" si="13"/>
        <v>6.1117805461177177</v>
      </c>
      <c r="Y63" s="16">
        <f t="shared" si="5"/>
        <v>7</v>
      </c>
      <c r="Z63" s="14">
        <f t="shared" si="0"/>
        <v>194860.6896965476</v>
      </c>
      <c r="AA63" s="14">
        <f t="shared" si="14"/>
        <v>1267933.0880526812</v>
      </c>
      <c r="AB63" s="14">
        <f>'BSFC '!$X$14</f>
        <v>306.74480096579998</v>
      </c>
      <c r="AC63" s="14">
        <f t="shared" si="1"/>
        <v>0.32720680704544136</v>
      </c>
      <c r="AD63" s="14">
        <f t="shared" si="15"/>
        <v>16.092764818271935</v>
      </c>
      <c r="AE63" s="14">
        <f t="shared" si="16"/>
        <v>1.0110690337704138</v>
      </c>
      <c r="AF63" s="14">
        <f>0.5*'Vehicle '!$F$40*'Duty Cycle '!L63^2/1000</f>
        <v>49.026803958551042</v>
      </c>
      <c r="AG63" s="14">
        <f t="shared" si="6"/>
        <v>194909.71650050615</v>
      </c>
    </row>
    <row r="64" spans="1:33" ht="30" customHeight="1" x14ac:dyDescent="0.25">
      <c r="B64" s="13">
        <f t="shared" si="7"/>
        <v>61</v>
      </c>
      <c r="C64" s="14" t="s">
        <v>69</v>
      </c>
      <c r="D64" s="14">
        <f>SUM($L$3:L64)</f>
        <v>634.32339378288486</v>
      </c>
      <c r="E64" s="14">
        <f t="shared" si="8"/>
        <v>10.752690382973697</v>
      </c>
      <c r="F64" s="15" t="s">
        <v>53</v>
      </c>
      <c r="G64" s="14">
        <v>0.2</v>
      </c>
      <c r="H64" s="14">
        <f t="shared" si="9"/>
        <v>0.2</v>
      </c>
      <c r="I64" s="14">
        <f t="shared" si="10"/>
        <v>1.0655784087005336</v>
      </c>
      <c r="J64" s="14">
        <v>3</v>
      </c>
      <c r="K64" s="14">
        <v>5250</v>
      </c>
      <c r="L64" s="14">
        <v>10.752690382973697</v>
      </c>
      <c r="M64" s="14">
        <f t="shared" si="2"/>
        <v>24.053768386712161</v>
      </c>
      <c r="N64" s="14">
        <f t="shared" si="11"/>
        <v>-1.5360986261390988</v>
      </c>
      <c r="O64" s="14">
        <f>IF(J64=1,'[1]Gearing '!$C$17*'Duty Cycle '!N64,IF(J64=2,'[1]Gearing '!$C$18*'Duty Cycle '!N64,IF(J64=3,'[1]Gearing '!$C$19*'Duty Cycle '!N64)))</f>
        <v>-925.01354779711619</v>
      </c>
      <c r="P64" s="14">
        <f>IF(F64='Track '!$B$60,'Track '!$F$53,IF(F64='Track '!$B$61,'Track '!$F$54,IF(F64='Track '!$B$62,'Track '!$F$55)))</f>
        <v>0.04</v>
      </c>
      <c r="Q64" s="14">
        <f>P64*'Vehicle '!$F$40*9.81</f>
        <v>254.78531999999998</v>
      </c>
      <c r="R64" s="14">
        <f>0.5*'Vehicle '!$F$53*'Vehicle '!$F$25*'Track '!$F$57*'Duty Cycle '!L64^2</f>
        <v>44.181472383238614</v>
      </c>
      <c r="S64" s="14">
        <f>'Vehicle '!$F$40*9.81*SIN(RADIANS('Duty Cycle '!I64))</f>
        <v>118.45466093262323</v>
      </c>
      <c r="T64" s="18">
        <f t="shared" si="3"/>
        <v>417.42145331586187</v>
      </c>
      <c r="U64" s="14">
        <f t="shared" si="12"/>
        <v>4.488403646716371</v>
      </c>
      <c r="V64" s="14">
        <f>'Vehicle '!$F$9-'Duty Cycle '!U64</f>
        <v>8.9344151452299378</v>
      </c>
      <c r="W64" s="14">
        <f t="shared" si="4"/>
        <v>4.488403646716371</v>
      </c>
      <c r="X64" s="16">
        <f t="shared" si="13"/>
        <v>8.1640185939039966</v>
      </c>
      <c r="Y64" s="16">
        <f t="shared" si="5"/>
        <v>9</v>
      </c>
      <c r="Z64" s="14">
        <f t="shared" si="0"/>
        <v>264780.19290510152</v>
      </c>
      <c r="AA64" s="14">
        <f t="shared" si="14"/>
        <v>1532713.2809577826</v>
      </c>
      <c r="AB64" s="14">
        <f>'BSFC '!$X$14</f>
        <v>306.74480096579998</v>
      </c>
      <c r="AC64" s="14">
        <f t="shared" si="1"/>
        <v>0.38244291201838443</v>
      </c>
      <c r="AD64" s="14">
        <f t="shared" si="15"/>
        <v>16.475207730290318</v>
      </c>
      <c r="AE64" s="14">
        <f t="shared" si="16"/>
        <v>1.1817485981368079</v>
      </c>
      <c r="AF64" s="14">
        <f>0.5*'Vehicle '!$F$40*'Duty Cycle '!L64^2/1000</f>
        <v>37.536146780765641</v>
      </c>
      <c r="AG64" s="14">
        <f t="shared" si="6"/>
        <v>264817.72905188228</v>
      </c>
    </row>
    <row r="65" spans="2:33" ht="30" customHeight="1" x14ac:dyDescent="0.25">
      <c r="B65" s="13">
        <f t="shared" si="7"/>
        <v>62</v>
      </c>
      <c r="C65" s="14" t="s">
        <v>69</v>
      </c>
      <c r="D65" s="14">
        <f>SUM($L$3:L65)</f>
        <v>644.05201841509916</v>
      </c>
      <c r="E65" s="14">
        <f t="shared" si="8"/>
        <v>9.7286246322142915</v>
      </c>
      <c r="F65" s="15" t="s">
        <v>53</v>
      </c>
      <c r="G65" s="14">
        <v>0.6</v>
      </c>
      <c r="H65" s="14">
        <f t="shared" si="9"/>
        <v>0.39999999999999997</v>
      </c>
      <c r="I65" s="14">
        <f t="shared" si="10"/>
        <v>2.3544345916321596</v>
      </c>
      <c r="J65" s="14">
        <v>3</v>
      </c>
      <c r="K65" s="14">
        <v>4750</v>
      </c>
      <c r="L65" s="14">
        <v>9.7286246322142969</v>
      </c>
      <c r="M65" s="14">
        <f t="shared" si="2"/>
        <v>21.762933302263384</v>
      </c>
      <c r="N65" s="14">
        <f t="shared" si="11"/>
        <v>-1.0240657507593998</v>
      </c>
      <c r="O65" s="14">
        <f>IF(J65=1,'[1]Gearing '!$C$17*'Duty Cycle '!N65,IF(J65=2,'[1]Gearing '!$C$18*'Duty Cycle '!N65,IF(J65=3,'[1]Gearing '!$C$19*'Duty Cycle '!N65)))</f>
        <v>-616.67569853141106</v>
      </c>
      <c r="P65" s="14">
        <f>IF(F65='Track '!$B$60,'Track '!$F$53,IF(F65='Track '!$B$61,'Track '!$F$54,IF(F65='Track '!$B$62,'Track '!$F$55)))</f>
        <v>0.04</v>
      </c>
      <c r="Q65" s="14">
        <f>P65*'Vehicle '!$F$40*9.81</f>
        <v>254.78531999999998</v>
      </c>
      <c r="R65" s="14">
        <f>0.5*'Vehicle '!$F$53*'Vehicle '!$F$25*'Track '!$F$57*'Duty Cycle '!L65^2</f>
        <v>36.166692812583079</v>
      </c>
      <c r="S65" s="14">
        <f>'Vehicle '!$F$40*9.81*SIN(RADIANS('Duty Cycle '!I65))</f>
        <v>261.67135031690606</v>
      </c>
      <c r="T65" s="18">
        <f t="shared" si="3"/>
        <v>552.62336312948912</v>
      </c>
      <c r="U65" s="14">
        <f t="shared" si="12"/>
        <v>5.376265262878654</v>
      </c>
      <c r="V65" s="14">
        <f>'Vehicle '!$F$9-'Duty Cycle '!U65</f>
        <v>8.0465535290676549</v>
      </c>
      <c r="W65" s="14">
        <f t="shared" si="4"/>
        <v>5.376265262878654</v>
      </c>
      <c r="X65" s="16">
        <f t="shared" si="13"/>
        <v>10.808326635289085</v>
      </c>
      <c r="Y65" s="16">
        <f t="shared" si="5"/>
        <v>11</v>
      </c>
      <c r="Z65" s="14">
        <f t="shared" si="0"/>
        <v>355918.19244688773</v>
      </c>
      <c r="AA65" s="14">
        <f t="shared" si="14"/>
        <v>1888631.4734046704</v>
      </c>
      <c r="AB65" s="14">
        <f>'BSFC '!$X$14</f>
        <v>306.74480096579998</v>
      </c>
      <c r="AC65" s="14">
        <f t="shared" si="1"/>
        <v>0.45809483833362696</v>
      </c>
      <c r="AD65" s="14">
        <f t="shared" si="15"/>
        <v>16.933302568623944</v>
      </c>
      <c r="AE65" s="14">
        <f t="shared" si="16"/>
        <v>1.4155130504509073</v>
      </c>
      <c r="AF65" s="14">
        <f>0.5*'Vehicle '!$F$40*'Duty Cycle '!L65^2/1000</f>
        <v>30.726868453189113</v>
      </c>
      <c r="AG65" s="14">
        <f t="shared" si="6"/>
        <v>355948.91931534093</v>
      </c>
    </row>
    <row r="66" spans="2:33" ht="30" customHeight="1" x14ac:dyDescent="0.25">
      <c r="B66" s="13">
        <f t="shared" si="7"/>
        <v>63</v>
      </c>
      <c r="C66" s="14" t="s">
        <v>69</v>
      </c>
      <c r="D66" s="14">
        <f>SUM($L$3:L66)</f>
        <v>653.08086478429448</v>
      </c>
      <c r="E66" s="14">
        <f t="shared" si="8"/>
        <v>9.0288463691953211</v>
      </c>
      <c r="F66" s="15" t="s">
        <v>53</v>
      </c>
      <c r="G66" s="14">
        <v>1</v>
      </c>
      <c r="H66" s="14">
        <f t="shared" si="9"/>
        <v>0.4</v>
      </c>
      <c r="I66" s="14">
        <f t="shared" si="10"/>
        <v>2.5366845912292133</v>
      </c>
      <c r="J66" s="14">
        <v>2</v>
      </c>
      <c r="K66" s="14">
        <v>5750</v>
      </c>
      <c r="L66" s="14">
        <v>9.0288463691953762</v>
      </c>
      <c r="M66" s="14">
        <f t="shared" si="2"/>
        <v>20.197529327890056</v>
      </c>
      <c r="N66" s="14">
        <f t="shared" si="11"/>
        <v>-0.69977826301892065</v>
      </c>
      <c r="O66" s="14">
        <f>IF(J66=1,'[1]Gearing '!$C$17*'Duty Cycle '!N66,IF(J66=2,'[1]Gearing '!$C$18*'Duty Cycle '!N66,IF(J66=3,'[1]Gearing '!$C$19*'Duty Cycle '!N66)))</f>
        <v>-423.17925307114535</v>
      </c>
      <c r="P66" s="14">
        <f>IF(F66='Track '!$B$60,'Track '!$F$53,IF(F66='Track '!$B$61,'Track '!$F$54,IF(F66='Track '!$B$62,'Track '!$F$55)))</f>
        <v>0.04</v>
      </c>
      <c r="Q66" s="14">
        <f>P66*'Vehicle '!$F$40*9.81</f>
        <v>254.78531999999998</v>
      </c>
      <c r="R66" s="14">
        <f>0.5*'Vehicle '!$F$53*'Vehicle '!$F$25*'Track '!$F$57*'Duty Cycle '!L66^2</f>
        <v>31.15088791433077</v>
      </c>
      <c r="S66" s="14">
        <f>'Vehicle '!$F$40*9.81*SIN(RADIANS('Duty Cycle '!I66))</f>
        <v>281.91381555573156</v>
      </c>
      <c r="T66" s="18">
        <f t="shared" si="3"/>
        <v>567.8500234700623</v>
      </c>
      <c r="U66" s="14">
        <f t="shared" si="12"/>
        <v>5.1270306226551812</v>
      </c>
      <c r="V66" s="14">
        <f>'Vehicle '!$F$9-'Duty Cycle '!U66</f>
        <v>8.2957881692911286</v>
      </c>
      <c r="W66" s="14">
        <f t="shared" si="4"/>
        <v>5.1270306226551812</v>
      </c>
      <c r="X66" s="16">
        <f t="shared" si="13"/>
        <v>8.5147019163035473</v>
      </c>
      <c r="Y66" s="16">
        <f t="shared" si="5"/>
        <v>9</v>
      </c>
      <c r="Z66" s="14">
        <f t="shared" si="0"/>
        <v>370851.98439561023</v>
      </c>
      <c r="AA66" s="14">
        <f t="shared" si="14"/>
        <v>2259483.4578002808</v>
      </c>
      <c r="AB66" s="14">
        <f>'BSFC '!$X$14</f>
        <v>306.74480096579998</v>
      </c>
      <c r="AC66" s="14">
        <f t="shared" si="1"/>
        <v>0.4368583299699792</v>
      </c>
      <c r="AD66" s="14">
        <f t="shared" si="15"/>
        <v>17.370160898593923</v>
      </c>
      <c r="AE66" s="14">
        <f t="shared" si="16"/>
        <v>1.3498922396072357</v>
      </c>
      <c r="AF66" s="14">
        <f>0.5*'Vehicle '!$F$40*'Duty Cycle '!L66^2/1000</f>
        <v>26.465489673157581</v>
      </c>
      <c r="AG66" s="14">
        <f t="shared" si="6"/>
        <v>370878.44988528336</v>
      </c>
    </row>
    <row r="67" spans="2:33" ht="30" customHeight="1" x14ac:dyDescent="0.25">
      <c r="B67" s="13">
        <f t="shared" si="7"/>
        <v>64</v>
      </c>
      <c r="C67" s="14" t="s">
        <v>69</v>
      </c>
      <c r="D67" s="14">
        <f>SUM($L$3:L67)</f>
        <v>662.1097111534898</v>
      </c>
      <c r="E67" s="14">
        <f t="shared" si="8"/>
        <v>9.0288463691953211</v>
      </c>
      <c r="F67" s="15" t="s">
        <v>53</v>
      </c>
      <c r="G67" s="14">
        <v>1.5</v>
      </c>
      <c r="H67" s="14">
        <f t="shared" si="9"/>
        <v>0.5</v>
      </c>
      <c r="I67" s="14">
        <f t="shared" si="10"/>
        <v>3.1696915911469841</v>
      </c>
      <c r="J67" s="14">
        <v>2</v>
      </c>
      <c r="K67" s="14">
        <v>5750</v>
      </c>
      <c r="L67" s="14">
        <v>9.0288463691953762</v>
      </c>
      <c r="M67" s="14">
        <f t="shared" si="2"/>
        <v>20.197529327890056</v>
      </c>
      <c r="N67" s="14">
        <f t="shared" si="11"/>
        <v>0</v>
      </c>
      <c r="O67" s="14">
        <f>IF(J67=1,'[1]Gearing '!$C$17*'Duty Cycle '!N67,IF(J67=2,'[1]Gearing '!$C$18*'Duty Cycle '!N67,IF(J67=3,'[1]Gearing '!$C$19*'Duty Cycle '!N67)))</f>
        <v>0</v>
      </c>
      <c r="P67" s="14">
        <f>IF(F67='Track '!$B$60,'Track '!$F$53,IF(F67='Track '!$B$61,'Track '!$F$54,IF(F67='Track '!$B$62,'Track '!$F$55)))</f>
        <v>0.04</v>
      </c>
      <c r="Q67" s="14">
        <f>P67*'Vehicle '!$F$40*9.81</f>
        <v>254.78531999999998</v>
      </c>
      <c r="R67" s="14">
        <f>0.5*'Vehicle '!$F$53*'Vehicle '!$F$25*'Track '!$F$57*'Duty Cycle '!L67^2</f>
        <v>31.15088791433077</v>
      </c>
      <c r="S67" s="14">
        <f>'Vehicle '!$F$40*9.81*SIN(RADIANS('Duty Cycle '!I67))</f>
        <v>352.19828626014368</v>
      </c>
      <c r="T67" s="18">
        <f t="shared" si="3"/>
        <v>638.13449417447441</v>
      </c>
      <c r="U67" s="14">
        <f t="shared" si="12"/>
        <v>5.761618310785531</v>
      </c>
      <c r="V67" s="14">
        <f>'Vehicle '!$F$9-'Duty Cycle '!U67</f>
        <v>7.6612004811607779</v>
      </c>
      <c r="W67" s="14">
        <f t="shared" si="4"/>
        <v>5.761618310785531</v>
      </c>
      <c r="X67" s="16">
        <f t="shared" si="13"/>
        <v>9.5685916629943648</v>
      </c>
      <c r="Y67" s="16">
        <f t="shared" si="5"/>
        <v>10</v>
      </c>
      <c r="Z67" s="14">
        <f t="shared" ref="Z67:Z130" si="17">T67*D67</f>
        <v>422515.04561493959</v>
      </c>
      <c r="AA67" s="14">
        <f t="shared" si="14"/>
        <v>2681998.5034152204</v>
      </c>
      <c r="AB67" s="14">
        <f>'BSFC '!$X$14</f>
        <v>306.74480096579998</v>
      </c>
      <c r="AC67" s="14">
        <f t="shared" ref="AC67:AC130" si="18">U67*AB67/3600</f>
        <v>0.49092957277300459</v>
      </c>
      <c r="AD67" s="14">
        <f t="shared" si="15"/>
        <v>17.861090471366929</v>
      </c>
      <c r="AE67" s="14">
        <f t="shared" si="16"/>
        <v>1.5169723798685841</v>
      </c>
      <c r="AF67" s="14">
        <f>0.5*'Vehicle '!$F$40*'Duty Cycle '!L67^2/1000</f>
        <v>26.465489673157581</v>
      </c>
      <c r="AG67" s="14">
        <f t="shared" si="6"/>
        <v>422541.51110461273</v>
      </c>
    </row>
    <row r="68" spans="2:33" ht="30" customHeight="1" x14ac:dyDescent="0.25">
      <c r="B68" s="13">
        <f t="shared" si="7"/>
        <v>65</v>
      </c>
      <c r="C68" s="14" t="s">
        <v>69</v>
      </c>
      <c r="D68" s="14">
        <f>SUM($L$3:L68)</f>
        <v>671.13855752268512</v>
      </c>
      <c r="E68" s="14">
        <f t="shared" si="8"/>
        <v>9.0288463691953211</v>
      </c>
      <c r="F68" s="15" t="s">
        <v>53</v>
      </c>
      <c r="G68" s="14">
        <v>2.1</v>
      </c>
      <c r="H68" s="14">
        <f t="shared" si="9"/>
        <v>0.60000000000000009</v>
      </c>
      <c r="I68" s="14">
        <f t="shared" si="10"/>
        <v>3.8019249965042343</v>
      </c>
      <c r="J68" s="14">
        <v>2</v>
      </c>
      <c r="K68" s="14">
        <v>5750</v>
      </c>
      <c r="L68" s="14">
        <v>9.0288463691953762</v>
      </c>
      <c r="M68" s="14">
        <f t="shared" ref="M68:M131" si="19">L68*2.237</f>
        <v>20.197529327890056</v>
      </c>
      <c r="N68" s="14">
        <f t="shared" si="11"/>
        <v>0</v>
      </c>
      <c r="O68" s="14">
        <f>IF(J68=1,'[1]Gearing '!$C$17*'Duty Cycle '!N68,IF(J68=2,'[1]Gearing '!$C$18*'Duty Cycle '!N68,IF(J68=3,'[1]Gearing '!$C$19*'Duty Cycle '!N68)))</f>
        <v>0</v>
      </c>
      <c r="P68" s="14">
        <f>IF(F68='Track '!$B$60,'Track '!$F$53,IF(F68='Track '!$B$61,'Track '!$F$54,IF(F68='Track '!$B$62,'Track '!$F$55)))</f>
        <v>0.04</v>
      </c>
      <c r="Q68" s="14">
        <f>P68*'Vehicle '!$F$40*9.81</f>
        <v>254.78531999999998</v>
      </c>
      <c r="R68" s="14">
        <f>0.5*'Vehicle '!$F$53*'Vehicle '!$F$25*'Track '!$F$57*'Duty Cycle '!L68^2</f>
        <v>31.15088791433077</v>
      </c>
      <c r="S68" s="14">
        <f>'Vehicle '!$F$40*9.81*SIN(RADIANS('Duty Cycle '!I68))</f>
        <v>422.35395621112121</v>
      </c>
      <c r="T68" s="18">
        <f t="shared" ref="T68:T131" si="20">Q68+R68+S68</f>
        <v>708.29016412545195</v>
      </c>
      <c r="U68" s="14">
        <f t="shared" si="12"/>
        <v>6.3950430767008841</v>
      </c>
      <c r="V68" s="14">
        <f>'Vehicle '!$F$9-'Duty Cycle '!U68</f>
        <v>7.0277757152454248</v>
      </c>
      <c r="W68" s="14">
        <f t="shared" ref="W68:W131" si="21">U68</f>
        <v>6.3950430767008841</v>
      </c>
      <c r="X68" s="16">
        <f t="shared" si="13"/>
        <v>10.620550089835287</v>
      </c>
      <c r="Y68" s="16">
        <f t="shared" ref="Y68:Y131" si="22">MIN(22,ROUNDUP(X68,0))</f>
        <v>11</v>
      </c>
      <c r="Z68" s="14">
        <f t="shared" si="17"/>
        <v>475360.83905866172</v>
      </c>
      <c r="AA68" s="14">
        <f t="shared" si="14"/>
        <v>3157359.3424738823</v>
      </c>
      <c r="AB68" s="14">
        <f>'BSFC '!$X$14</f>
        <v>306.74480096579998</v>
      </c>
      <c r="AC68" s="14">
        <f t="shared" si="18"/>
        <v>0.54490172659175828</v>
      </c>
      <c r="AD68" s="14">
        <f t="shared" si="15"/>
        <v>18.405992197958685</v>
      </c>
      <c r="AE68" s="14">
        <f t="shared" si="16"/>
        <v>1.6837463351685331</v>
      </c>
      <c r="AF68" s="14">
        <f>0.5*'Vehicle '!$F$40*'Duty Cycle '!L68^2/1000</f>
        <v>26.465489673157581</v>
      </c>
      <c r="AG68" s="14">
        <f t="shared" ref="AG68:AG131" si="23">Z68+AF68</f>
        <v>475387.30454833485</v>
      </c>
    </row>
    <row r="69" spans="2:33" ht="30" customHeight="1" x14ac:dyDescent="0.25">
      <c r="B69" s="13">
        <f t="shared" ref="B69:B132" si="24">B68+1</f>
        <v>66</v>
      </c>
      <c r="C69" s="14" t="s">
        <v>69</v>
      </c>
      <c r="D69" s="14">
        <f>SUM($L$3:L69)</f>
        <v>680.16740389188044</v>
      </c>
      <c r="E69" s="14">
        <f t="shared" ref="E69:E132" si="25">D69-D68</f>
        <v>9.0288463691953211</v>
      </c>
      <c r="F69" s="15" t="s">
        <v>53</v>
      </c>
      <c r="G69" s="14">
        <v>2.8</v>
      </c>
      <c r="H69" s="14">
        <f t="shared" ref="H69:H132" si="26">G69-G68</f>
        <v>0.69999999999999973</v>
      </c>
      <c r="I69" s="14">
        <f t="shared" ref="I69:I132" si="27">DEGREES(ATAN(H69/E69))</f>
        <v>4.4332325805046722</v>
      </c>
      <c r="J69" s="14">
        <v>2</v>
      </c>
      <c r="K69" s="14">
        <v>5750</v>
      </c>
      <c r="L69" s="14">
        <v>9.0288463691953762</v>
      </c>
      <c r="M69" s="14">
        <f t="shared" si="19"/>
        <v>20.197529327890056</v>
      </c>
      <c r="N69" s="14">
        <f t="shared" ref="N69:N132" si="28">L69-L68</f>
        <v>0</v>
      </c>
      <c r="O69" s="14">
        <f>IF(J69=1,'[1]Gearing '!$C$17*'Duty Cycle '!N69,IF(J69=2,'[1]Gearing '!$C$18*'Duty Cycle '!N69,IF(J69=3,'[1]Gearing '!$C$19*'Duty Cycle '!N69)))</f>
        <v>0</v>
      </c>
      <c r="P69" s="14">
        <f>IF(F69='Track '!$B$60,'Track '!$F$53,IF(F69='Track '!$B$61,'Track '!$F$54,IF(F69='Track '!$B$62,'Track '!$F$55)))</f>
        <v>0.04</v>
      </c>
      <c r="Q69" s="14">
        <f>P69*'Vehicle '!$F$40*9.81</f>
        <v>254.78531999999998</v>
      </c>
      <c r="R69" s="14">
        <f>0.5*'Vehicle '!$F$53*'Vehicle '!$F$25*'Track '!$F$57*'Duty Cycle '!L69^2</f>
        <v>31.15088791433077</v>
      </c>
      <c r="S69" s="14">
        <f>'Vehicle '!$F$40*9.81*SIN(RADIANS('Duty Cycle '!I69))</f>
        <v>492.35558373391677</v>
      </c>
      <c r="T69" s="18">
        <f t="shared" si="20"/>
        <v>778.29179164824745</v>
      </c>
      <c r="U69" s="14">
        <f t="shared" ref="U69:U132" si="29">ABS(((+T69)*(+L69)/1000))</f>
        <v>7.0270770171978425</v>
      </c>
      <c r="V69" s="14">
        <f>'Vehicle '!$F$9-'Duty Cycle '!U69</f>
        <v>6.3957417747484664</v>
      </c>
      <c r="W69" s="14">
        <f t="shared" si="21"/>
        <v>7.0270770171978425</v>
      </c>
      <c r="X69" s="16">
        <f t="shared" ref="X69:X132" si="30">ABS((W69*1000)/((2*PI()*K69)/60))</f>
        <v>11.670198707212052</v>
      </c>
      <c r="Y69" s="16">
        <f t="shared" si="22"/>
        <v>12</v>
      </c>
      <c r="Z69" s="14">
        <f t="shared" si="17"/>
        <v>529368.70739574882</v>
      </c>
      <c r="AA69" s="14">
        <f t="shared" ref="AA69:AA132" si="31">SUM(AA68,Z69)</f>
        <v>3686728.049869631</v>
      </c>
      <c r="AB69" s="14">
        <f>'BSFC '!$X$14</f>
        <v>306.74480096579998</v>
      </c>
      <c r="AC69" s="14">
        <f t="shared" si="18"/>
        <v>0.59875537250324984</v>
      </c>
      <c r="AD69" s="14">
        <f t="shared" ref="AD69:AD132" si="32">AD68+AC69</f>
        <v>19.004747570461934</v>
      </c>
      <c r="AE69" s="14">
        <f t="shared" si="16"/>
        <v>1.850154101035042</v>
      </c>
      <c r="AF69" s="14">
        <f>0.5*'Vehicle '!$F$40*'Duty Cycle '!L69^2/1000</f>
        <v>26.465489673157581</v>
      </c>
      <c r="AG69" s="14">
        <f t="shared" si="23"/>
        <v>529395.17288542201</v>
      </c>
    </row>
    <row r="70" spans="2:33" ht="30" customHeight="1" x14ac:dyDescent="0.25">
      <c r="B70" s="13">
        <f t="shared" si="24"/>
        <v>67</v>
      </c>
      <c r="C70" s="14" t="s">
        <v>69</v>
      </c>
      <c r="D70" s="14">
        <f>SUM($L$3:L70)</f>
        <v>688.41113318549355</v>
      </c>
      <c r="E70" s="14">
        <f t="shared" si="25"/>
        <v>8.2437292936131144</v>
      </c>
      <c r="F70" s="15" t="s">
        <v>53</v>
      </c>
      <c r="G70" s="14">
        <v>3.6</v>
      </c>
      <c r="H70" s="14">
        <f t="shared" si="26"/>
        <v>0.80000000000000027</v>
      </c>
      <c r="I70" s="14">
        <f t="shared" si="27"/>
        <v>5.5428243470367127</v>
      </c>
      <c r="J70" s="14">
        <v>2</v>
      </c>
      <c r="K70" s="14">
        <v>5250</v>
      </c>
      <c r="L70" s="14">
        <v>8.2437292936131676</v>
      </c>
      <c r="M70" s="14">
        <f t="shared" si="19"/>
        <v>18.441222429812658</v>
      </c>
      <c r="N70" s="14">
        <f t="shared" si="28"/>
        <v>-0.78511707558220856</v>
      </c>
      <c r="O70" s="14">
        <f>IF(J70=1,'[1]Gearing '!$C$17*'Duty Cycle '!N70,IF(J70=2,'[1]Gearing '!$C$18*'Duty Cycle '!N70,IF(J70=3,'[1]Gearing '!$C$19*'Duty Cycle '!N70)))</f>
        <v>-474.78647905543431</v>
      </c>
      <c r="P70" s="14">
        <f>IF(F70='Track '!$B$60,'Track '!$F$53,IF(F70='Track '!$B$61,'Track '!$F$54,IF(F70='Track '!$B$62,'Track '!$F$55)))</f>
        <v>0.04</v>
      </c>
      <c r="Q70" s="14">
        <f>P70*'Vehicle '!$F$40*9.81</f>
        <v>254.78531999999998</v>
      </c>
      <c r="R70" s="14">
        <f>0.5*'Vehicle '!$F$53*'Vehicle '!$F$25*'Track '!$F$57*'Duty Cycle '!L70^2</f>
        <v>25.968887656370253</v>
      </c>
      <c r="S70" s="14">
        <f>'Vehicle '!$F$40*9.81*SIN(RADIANS('Duty Cycle '!I70))</f>
        <v>615.24100768094593</v>
      </c>
      <c r="T70" s="18">
        <f t="shared" si="20"/>
        <v>895.99521533731615</v>
      </c>
      <c r="U70" s="14">
        <f t="shared" si="29"/>
        <v>7.3863420036134713</v>
      </c>
      <c r="V70" s="14">
        <f>'Vehicle '!$F$9-'Duty Cycle '!U70</f>
        <v>6.0364767883328376</v>
      </c>
      <c r="W70" s="14">
        <f t="shared" si="21"/>
        <v>7.3863420036134713</v>
      </c>
      <c r="X70" s="16">
        <f t="shared" si="30"/>
        <v>13.43511818562718</v>
      </c>
      <c r="Y70" s="16">
        <f t="shared" si="22"/>
        <v>14</v>
      </c>
      <c r="Z70" s="14">
        <f t="shared" si="17"/>
        <v>616813.08151914214</v>
      </c>
      <c r="AA70" s="14">
        <f t="shared" si="31"/>
        <v>4303541.1313887732</v>
      </c>
      <c r="AB70" s="14">
        <f>'BSFC '!$X$14</f>
        <v>306.74480096579998</v>
      </c>
      <c r="AC70" s="14">
        <f t="shared" si="18"/>
        <v>0.62936722437881742</v>
      </c>
      <c r="AD70" s="14">
        <f t="shared" si="32"/>
        <v>19.634114794840752</v>
      </c>
      <c r="AE70" s="14">
        <f t="shared" ref="AE70:AE133" si="33">AC70*3.09</f>
        <v>1.9447447233305457</v>
      </c>
      <c r="AF70" s="14">
        <f>0.5*'Vehicle '!$F$40*'Duty Cycle '!L70^2/1000</f>
        <v>22.062912941138922</v>
      </c>
      <c r="AG70" s="14">
        <f t="shared" si="23"/>
        <v>616835.14443208324</v>
      </c>
    </row>
    <row r="71" spans="2:33" ht="30" customHeight="1" x14ac:dyDescent="0.25">
      <c r="B71" s="13">
        <f t="shared" si="24"/>
        <v>68</v>
      </c>
      <c r="C71" s="14" t="s">
        <v>83</v>
      </c>
      <c r="D71" s="14">
        <f>SUM($L$3:L71)</f>
        <v>697.04742101689783</v>
      </c>
      <c r="E71" s="14">
        <f t="shared" si="25"/>
        <v>8.6362878314042746</v>
      </c>
      <c r="F71" s="15" t="s">
        <v>52</v>
      </c>
      <c r="G71" s="14">
        <v>4.5</v>
      </c>
      <c r="H71" s="14">
        <f t="shared" si="26"/>
        <v>0.89999999999999991</v>
      </c>
      <c r="I71" s="14">
        <f t="shared" si="27"/>
        <v>5.9494008865377319</v>
      </c>
      <c r="J71" s="14">
        <v>2</v>
      </c>
      <c r="K71" s="14">
        <v>5500</v>
      </c>
      <c r="L71" s="14">
        <v>8.6362878314042693</v>
      </c>
      <c r="M71" s="14">
        <f t="shared" si="19"/>
        <v>19.31937587885135</v>
      </c>
      <c r="N71" s="14">
        <f t="shared" si="28"/>
        <v>0.39255853779110161</v>
      </c>
      <c r="O71" s="14">
        <f>IF(J71=1,'[1]Gearing '!$C$17*'Duty Cycle '!N71,IF(J71=2,'[1]Gearing '!$C$18*'Duty Cycle '!N71,IF(J71=3,'[1]Gearing '!$C$19*'Duty Cycle '!N71)))</f>
        <v>237.39323952771556</v>
      </c>
      <c r="P71" s="14">
        <f>IF(F71='Track '!$B$60,'Track '!$F$53,IF(F71='Track '!$B$61,'Track '!$F$54,IF(F71='Track '!$B$62,'Track '!$F$55)))</f>
        <v>0.06</v>
      </c>
      <c r="Q71" s="14">
        <f>P71*'Vehicle '!$F$40*9.81</f>
        <v>382.17797999999999</v>
      </c>
      <c r="R71" s="14">
        <f>0.5*'Vehicle '!$F$53*'Vehicle '!$F$25*'Track '!$F$57*'Duty Cycle '!L71^2</f>
        <v>28.501001418782764</v>
      </c>
      <c r="S71" s="14">
        <f>'Vehicle '!$F$40*9.81*SIN(RADIANS('Duty Cycle '!I71))</f>
        <v>660.21334788146839</v>
      </c>
      <c r="T71" s="18">
        <f t="shared" si="20"/>
        <v>1070.8923293002513</v>
      </c>
      <c r="U71" s="14">
        <f t="shared" si="29"/>
        <v>9.2485343922799323</v>
      </c>
      <c r="V71" s="14">
        <f>'Vehicle '!$F$9-'Duty Cycle '!U71</f>
        <v>4.1742843996663765</v>
      </c>
      <c r="W71" s="14">
        <f t="shared" si="21"/>
        <v>9.2485343922799323</v>
      </c>
      <c r="X71" s="16">
        <f t="shared" si="30"/>
        <v>16.057635980582727</v>
      </c>
      <c r="Y71" s="16">
        <f t="shared" si="22"/>
        <v>17</v>
      </c>
      <c r="Z71" s="14">
        <f t="shared" si="17"/>
        <v>746462.73632551869</v>
      </c>
      <c r="AA71" s="14">
        <f t="shared" si="31"/>
        <v>5050003.8677142914</v>
      </c>
      <c r="AB71" s="14">
        <f>'BSFC '!$X$14</f>
        <v>306.74480096579998</v>
      </c>
      <c r="AC71" s="14">
        <f t="shared" si="18"/>
        <v>0.78803884482923992</v>
      </c>
      <c r="AD71" s="14">
        <f t="shared" si="32"/>
        <v>20.422153639669993</v>
      </c>
      <c r="AE71" s="14">
        <f t="shared" si="33"/>
        <v>2.4350400305223512</v>
      </c>
      <c r="AF71" s="14">
        <f>0.5*'Vehicle '!$F$40*'Duty Cycle '!L71^2/1000</f>
        <v>24.214172026102574</v>
      </c>
      <c r="AG71" s="14">
        <f t="shared" si="23"/>
        <v>746486.95049754484</v>
      </c>
    </row>
    <row r="72" spans="2:33" ht="30" customHeight="1" x14ac:dyDescent="0.25">
      <c r="B72" s="13">
        <f t="shared" si="24"/>
        <v>69</v>
      </c>
      <c r="C72" s="14" t="s">
        <v>83</v>
      </c>
      <c r="D72" s="14">
        <f>SUM($L$3:L72)</f>
        <v>706.46882592388431</v>
      </c>
      <c r="E72" s="14">
        <f t="shared" si="25"/>
        <v>9.4214049069864814</v>
      </c>
      <c r="F72" s="15" t="s">
        <v>52</v>
      </c>
      <c r="G72" s="14">
        <v>4.8</v>
      </c>
      <c r="H72" s="14">
        <f t="shared" si="26"/>
        <v>0.29999999999999982</v>
      </c>
      <c r="I72" s="14">
        <f t="shared" si="27"/>
        <v>1.8238180103172836</v>
      </c>
      <c r="J72" s="14">
        <v>2</v>
      </c>
      <c r="K72" s="14">
        <v>6000</v>
      </c>
      <c r="L72" s="14">
        <v>9.4214049069864778</v>
      </c>
      <c r="M72" s="14">
        <f t="shared" si="19"/>
        <v>21.075682776928751</v>
      </c>
      <c r="N72" s="14">
        <f t="shared" si="28"/>
        <v>0.78511707558220856</v>
      </c>
      <c r="O72" s="14">
        <f>IF(J72=1,'[1]Gearing '!$C$17*'Duty Cycle '!N72,IF(J72=2,'[1]Gearing '!$C$18*'Duty Cycle '!N72,IF(J72=3,'[1]Gearing '!$C$19*'Duty Cycle '!N72)))</f>
        <v>474.78647905543431</v>
      </c>
      <c r="P72" s="14">
        <f>IF(F72='Track '!$B$60,'Track '!$F$53,IF(F72='Track '!$B$61,'Track '!$F$54,IF(F72='Track '!$B$62,'Track '!$F$55)))</f>
        <v>0.06</v>
      </c>
      <c r="Q72" s="14">
        <f>P72*'Vehicle '!$F$40*9.81</f>
        <v>382.17797999999999</v>
      </c>
      <c r="R72" s="14">
        <f>0.5*'Vehicle '!$F$53*'Vehicle '!$F$25*'Track '!$F$57*'Duty Cycle '!L72^2</f>
        <v>33.918547143014209</v>
      </c>
      <c r="S72" s="14">
        <f>'Vehicle '!$F$40*9.81*SIN(RADIANS('Duty Cycle '!I72))</f>
        <v>202.72155729417051</v>
      </c>
      <c r="T72" s="18">
        <f t="shared" si="20"/>
        <v>618.81808443718478</v>
      </c>
      <c r="U72" s="14">
        <f t="shared" si="29"/>
        <v>5.8301357372484652</v>
      </c>
      <c r="V72" s="14">
        <f>'Vehicle '!$F$9-'Duty Cycle '!U72</f>
        <v>7.5926830546978437</v>
      </c>
      <c r="W72" s="14">
        <f t="shared" si="21"/>
        <v>5.8301357372484652</v>
      </c>
      <c r="X72" s="16">
        <f t="shared" si="30"/>
        <v>9.2789492147980468</v>
      </c>
      <c r="Y72" s="16">
        <f t="shared" si="22"/>
        <v>10</v>
      </c>
      <c r="Z72" s="14">
        <f t="shared" si="17"/>
        <v>437175.68557280506</v>
      </c>
      <c r="AA72" s="14">
        <f t="shared" si="31"/>
        <v>5487179.5532870963</v>
      </c>
      <c r="AB72" s="14">
        <f>'BSFC '!$X$14</f>
        <v>306.74480096579998</v>
      </c>
      <c r="AC72" s="14">
        <f t="shared" si="18"/>
        <v>0.49676772953496612</v>
      </c>
      <c r="AD72" s="14">
        <f t="shared" si="32"/>
        <v>20.918921369204959</v>
      </c>
      <c r="AE72" s="14">
        <f t="shared" si="33"/>
        <v>1.5350122842630451</v>
      </c>
      <c r="AF72" s="14">
        <f>0.5*'Vehicle '!$F$40*'Duty Cycle '!L72^2/1000</f>
        <v>28.816865882303901</v>
      </c>
      <c r="AG72" s="14">
        <f t="shared" si="23"/>
        <v>437204.50243868737</v>
      </c>
    </row>
    <row r="73" spans="2:33" ht="30" customHeight="1" x14ac:dyDescent="0.25">
      <c r="B73" s="13">
        <f t="shared" si="24"/>
        <v>70</v>
      </c>
      <c r="C73" s="14" t="s">
        <v>83</v>
      </c>
      <c r="D73" s="14">
        <f>SUM($L$3:L73)</f>
        <v>717.22151630685801</v>
      </c>
      <c r="E73" s="14">
        <f t="shared" si="25"/>
        <v>10.752690382973697</v>
      </c>
      <c r="F73" s="15" t="s">
        <v>52</v>
      </c>
      <c r="G73" s="14">
        <v>4.4000000000000004</v>
      </c>
      <c r="H73" s="14">
        <f t="shared" si="26"/>
        <v>-0.39999999999999947</v>
      </c>
      <c r="I73" s="14">
        <f t="shared" si="27"/>
        <v>-2.1304202021926861</v>
      </c>
      <c r="J73" s="14">
        <v>3</v>
      </c>
      <c r="K73" s="14">
        <v>5250</v>
      </c>
      <c r="L73" s="14">
        <v>10.752690382973697</v>
      </c>
      <c r="M73" s="14">
        <f t="shared" si="19"/>
        <v>24.053768386712161</v>
      </c>
      <c r="N73" s="14">
        <f t="shared" si="28"/>
        <v>1.3312854759872188</v>
      </c>
      <c r="O73" s="14">
        <f>IF(J73=1,'[1]Gearing '!$C$17*'Duty Cycle '!N73,IF(J73=2,'[1]Gearing '!$C$18*'Duty Cycle '!N73,IF(J73=3,'[1]Gearing '!$C$19*'Duty Cycle '!N73)))</f>
        <v>801.67840809083395</v>
      </c>
      <c r="P73" s="14">
        <f>IF(F73='Track '!$B$60,'Track '!$F$53,IF(F73='Track '!$B$61,'Track '!$F$54,IF(F73='Track '!$B$62,'Track '!$F$55)))</f>
        <v>0.06</v>
      </c>
      <c r="Q73" s="14">
        <f>P73*'Vehicle '!$F$40*9.81</f>
        <v>382.17797999999999</v>
      </c>
      <c r="R73" s="14">
        <f>0.5*'Vehicle '!$F$53*'Vehicle '!$F$25*'Track '!$F$57*'Duty Cycle '!L73^2</f>
        <v>44.181472383238614</v>
      </c>
      <c r="S73" s="14">
        <f>'Vehicle '!$F$40*9.81*SIN(RADIANS('Duty Cycle '!I73))</f>
        <v>-236.78651826068651</v>
      </c>
      <c r="T73" s="18">
        <f t="shared" si="20"/>
        <v>189.57293412255208</v>
      </c>
      <c r="U73" s="14">
        <f t="shared" si="29"/>
        <v>2.0384190656116719</v>
      </c>
      <c r="V73" s="14">
        <f>'Vehicle '!$F$9-'Duty Cycle '!U73</f>
        <v>11.384399726334637</v>
      </c>
      <c r="W73" s="14">
        <f t="shared" si="21"/>
        <v>2.0384190656116719</v>
      </c>
      <c r="X73" s="16">
        <f t="shared" si="30"/>
        <v>3.7077082329698303</v>
      </c>
      <c r="Y73" s="16">
        <f t="shared" si="22"/>
        <v>4</v>
      </c>
      <c r="Z73" s="14">
        <f t="shared" si="17"/>
        <v>135965.78726211691</v>
      </c>
      <c r="AA73" s="14">
        <f t="shared" si="31"/>
        <v>5623145.3405492129</v>
      </c>
      <c r="AB73" s="14">
        <f>'BSFC '!$X$14</f>
        <v>306.74480096579998</v>
      </c>
      <c r="AC73" s="14">
        <f t="shared" si="18"/>
        <v>0.17368734737942895</v>
      </c>
      <c r="AD73" s="14">
        <f t="shared" si="32"/>
        <v>21.092608716584387</v>
      </c>
      <c r="AE73" s="14">
        <f t="shared" si="33"/>
        <v>0.53669390340243539</v>
      </c>
      <c r="AF73" s="14">
        <f>0.5*'Vehicle '!$F$40*'Duty Cycle '!L73^2/1000</f>
        <v>37.536146780765641</v>
      </c>
      <c r="AG73" s="14">
        <f t="shared" si="23"/>
        <v>136003.32340889768</v>
      </c>
    </row>
    <row r="74" spans="2:33" ht="30" customHeight="1" x14ac:dyDescent="0.25">
      <c r="B74" s="13">
        <f t="shared" si="24"/>
        <v>71</v>
      </c>
      <c r="C74" s="14" t="s">
        <v>83</v>
      </c>
      <c r="D74" s="14">
        <f>SUM($L$3:L74)</f>
        <v>728.99827244059111</v>
      </c>
      <c r="E74" s="14">
        <f t="shared" si="25"/>
        <v>11.776756133733102</v>
      </c>
      <c r="F74" s="15" t="s">
        <v>52</v>
      </c>
      <c r="G74" s="14">
        <v>3.6</v>
      </c>
      <c r="H74" s="14">
        <f t="shared" si="26"/>
        <v>-0.80000000000000027</v>
      </c>
      <c r="I74" s="14">
        <f t="shared" si="27"/>
        <v>-3.8861561408986316</v>
      </c>
      <c r="J74" s="14">
        <v>3</v>
      </c>
      <c r="K74" s="14">
        <v>5750</v>
      </c>
      <c r="L74" s="14">
        <v>11.776756133733098</v>
      </c>
      <c r="M74" s="14">
        <f t="shared" si="19"/>
        <v>26.344603471160941</v>
      </c>
      <c r="N74" s="14">
        <f t="shared" si="28"/>
        <v>1.0240657507594015</v>
      </c>
      <c r="O74" s="14">
        <f>IF(J74=1,'[1]Gearing '!$C$17*'Duty Cycle '!N74,IF(J74=2,'[1]Gearing '!$C$18*'Duty Cycle '!N74,IF(J74=3,'[1]Gearing '!$C$19*'Duty Cycle '!N74)))</f>
        <v>616.67569853141219</v>
      </c>
      <c r="P74" s="14">
        <f>IF(F74='Track '!$B$60,'Track '!$F$53,IF(F74='Track '!$B$61,'Track '!$F$54,IF(F74='Track '!$B$62,'Track '!$F$55)))</f>
        <v>0.06</v>
      </c>
      <c r="Q74" s="14">
        <f>P74*'Vehicle '!$F$40*9.81</f>
        <v>382.17797999999999</v>
      </c>
      <c r="R74" s="14">
        <f>0.5*'Vehicle '!$F$53*'Vehicle '!$F$25*'Track '!$F$57*'Duty Cycle '!L74^2</f>
        <v>52.997729910959706</v>
      </c>
      <c r="S74" s="14">
        <f>'Vehicle '!$F$40*9.81*SIN(RADIANS('Duty Cycle '!I74))</f>
        <v>-431.69695467287448</v>
      </c>
      <c r="T74" s="18">
        <f t="shared" si="20"/>
        <v>3.4787552380852276</v>
      </c>
      <c r="U74" s="14">
        <f t="shared" si="29"/>
        <v>4.0968452087876348E-2</v>
      </c>
      <c r="V74" s="14">
        <f>'Vehicle '!$F$9-'Duty Cycle '!U74</f>
        <v>13.381850339858433</v>
      </c>
      <c r="W74" s="14">
        <f t="shared" si="21"/>
        <v>4.0968452087876348E-2</v>
      </c>
      <c r="X74" s="16">
        <f t="shared" si="30"/>
        <v>6.8038243415050437E-2</v>
      </c>
      <c r="Y74" s="16">
        <f t="shared" si="22"/>
        <v>1</v>
      </c>
      <c r="Z74" s="14">
        <f t="shared" si="17"/>
        <v>2536.0065588077882</v>
      </c>
      <c r="AA74" s="14">
        <f t="shared" si="31"/>
        <v>5625681.3471080204</v>
      </c>
      <c r="AB74" s="14">
        <f>'BSFC '!$X$14</f>
        <v>306.74480096579998</v>
      </c>
      <c r="AC74" s="14">
        <f t="shared" si="18"/>
        <v>3.4907943559923729E-3</v>
      </c>
      <c r="AD74" s="14">
        <f t="shared" si="32"/>
        <v>21.09609951094038</v>
      </c>
      <c r="AE74" s="14">
        <f t="shared" si="33"/>
        <v>1.0786554560016431E-2</v>
      </c>
      <c r="AF74" s="14">
        <f>0.5*'Vehicle '!$F$40*'Duty Cycle '!L74^2/1000</f>
        <v>45.026352941099844</v>
      </c>
      <c r="AG74" s="14">
        <f t="shared" si="23"/>
        <v>2581.0329117488882</v>
      </c>
    </row>
    <row r="75" spans="2:33" ht="30" customHeight="1" x14ac:dyDescent="0.25">
      <c r="B75" s="13">
        <f t="shared" si="24"/>
        <v>72</v>
      </c>
      <c r="C75" s="14" t="s">
        <v>83</v>
      </c>
      <c r="D75" s="14">
        <f>SUM($L$3:L75)</f>
        <v>741.28706144970386</v>
      </c>
      <c r="E75" s="14">
        <f t="shared" si="25"/>
        <v>12.288789009112747</v>
      </c>
      <c r="F75" s="15" t="s">
        <v>52</v>
      </c>
      <c r="G75" s="14">
        <v>3.6</v>
      </c>
      <c r="H75" s="14">
        <f t="shared" si="26"/>
        <v>0</v>
      </c>
      <c r="I75" s="14">
        <f t="shared" si="27"/>
        <v>0</v>
      </c>
      <c r="J75" s="14">
        <v>3</v>
      </c>
      <c r="K75" s="14">
        <v>6000</v>
      </c>
      <c r="L75" s="14">
        <v>12.288789009112795</v>
      </c>
      <c r="M75" s="14">
        <f t="shared" si="19"/>
        <v>27.490021013385324</v>
      </c>
      <c r="N75" s="14">
        <f t="shared" si="28"/>
        <v>0.51203287537969722</v>
      </c>
      <c r="O75" s="14">
        <f>IF(J75=1,'[1]Gearing '!$C$17*'Duty Cycle '!N75,IF(J75=2,'[1]Gearing '!$C$18*'Duty Cycle '!N75,IF(J75=3,'[1]Gearing '!$C$19*'Duty Cycle '!N75)))</f>
        <v>308.33784926570394</v>
      </c>
      <c r="P75" s="14">
        <f>IF(F75='Track '!$B$60,'Track '!$F$53,IF(F75='Track '!$B$61,'Track '!$F$54,IF(F75='Track '!$B$62,'Track '!$F$55)))</f>
        <v>0.06</v>
      </c>
      <c r="Q75" s="14">
        <f>P75*'Vehicle '!$F$40*9.81</f>
        <v>382.17797999999999</v>
      </c>
      <c r="R75" s="14">
        <f>0.5*'Vehicle '!$F$53*'Vehicle '!$F$25*'Track '!$F$57*'Duty Cycle '!L75^2</f>
        <v>57.70641290871982</v>
      </c>
      <c r="S75" s="14">
        <f>'Vehicle '!$F$40*9.81*SIN(RADIANS('Duty Cycle '!I75))</f>
        <v>0</v>
      </c>
      <c r="T75" s="18">
        <f t="shared" si="20"/>
        <v>439.8843929087198</v>
      </c>
      <c r="U75" s="14">
        <f t="shared" si="29"/>
        <v>5.4056464928569303</v>
      </c>
      <c r="V75" s="14">
        <f>'Vehicle '!$F$9-'Duty Cycle '!U75</f>
        <v>8.0171722990893777</v>
      </c>
      <c r="W75" s="14">
        <f t="shared" si="21"/>
        <v>5.4056464928569303</v>
      </c>
      <c r="X75" s="16">
        <f t="shared" si="30"/>
        <v>8.6033535994554828</v>
      </c>
      <c r="Y75" s="16">
        <f t="shared" si="22"/>
        <v>9</v>
      </c>
      <c r="Z75" s="14">
        <f t="shared" si="17"/>
        <v>326080.60899689182</v>
      </c>
      <c r="AA75" s="14">
        <f t="shared" si="31"/>
        <v>5951761.9561049119</v>
      </c>
      <c r="AB75" s="14">
        <f>'BSFC '!$X$14</f>
        <v>306.74480096579998</v>
      </c>
      <c r="AC75" s="14">
        <f t="shared" si="18"/>
        <v>0.46059832153968716</v>
      </c>
      <c r="AD75" s="14">
        <f t="shared" si="32"/>
        <v>21.556697832480069</v>
      </c>
      <c r="AE75" s="14">
        <f t="shared" si="33"/>
        <v>1.4232488135576333</v>
      </c>
      <c r="AF75" s="14">
        <f>0.5*'Vehicle '!$F$40*'Duty Cycle '!L75^2/1000</f>
        <v>49.026803958551042</v>
      </c>
      <c r="AG75" s="14">
        <f t="shared" si="23"/>
        <v>326129.6358008504</v>
      </c>
    </row>
    <row r="76" spans="2:33" ht="30" customHeight="1" x14ac:dyDescent="0.25">
      <c r="B76" s="13">
        <f t="shared" si="24"/>
        <v>73</v>
      </c>
      <c r="C76" s="14" t="s">
        <v>83</v>
      </c>
      <c r="D76" s="14">
        <f>SUM($L$3:L76)</f>
        <v>753.06381758343696</v>
      </c>
      <c r="E76" s="14">
        <f t="shared" si="25"/>
        <v>11.776756133733102</v>
      </c>
      <c r="F76" s="15" t="s">
        <v>52</v>
      </c>
      <c r="G76" s="14">
        <v>4</v>
      </c>
      <c r="H76" s="14">
        <f t="shared" si="26"/>
        <v>0.39999999999999991</v>
      </c>
      <c r="I76" s="14">
        <f t="shared" si="27"/>
        <v>1.9453153749783254</v>
      </c>
      <c r="J76" s="14">
        <v>3</v>
      </c>
      <c r="K76" s="14">
        <v>5750</v>
      </c>
      <c r="L76" s="14">
        <v>11.776756133733098</v>
      </c>
      <c r="M76" s="14">
        <f t="shared" si="19"/>
        <v>26.344603471160941</v>
      </c>
      <c r="N76" s="14">
        <f t="shared" si="28"/>
        <v>-0.51203287537969722</v>
      </c>
      <c r="O76" s="14">
        <f>IF(J76=1,'[1]Gearing '!$C$17*'Duty Cycle '!N76,IF(J76=2,'[1]Gearing '!$C$18*'Duty Cycle '!N76,IF(J76=3,'[1]Gearing '!$C$19*'Duty Cycle '!N76)))</f>
        <v>-308.33784926570394</v>
      </c>
      <c r="P76" s="14">
        <f>IF(F76='Track '!$B$60,'Track '!$F$53,IF(F76='Track '!$B$61,'Track '!$F$54,IF(F76='Track '!$B$62,'Track '!$F$55)))</f>
        <v>0.06</v>
      </c>
      <c r="Q76" s="14">
        <f>P76*'Vehicle '!$F$40*9.81</f>
        <v>382.17797999999999</v>
      </c>
      <c r="R76" s="14">
        <f>0.5*'Vehicle '!$F$53*'Vehicle '!$F$25*'Track '!$F$57*'Duty Cycle '!L76^2</f>
        <v>52.997729910959706</v>
      </c>
      <c r="S76" s="14">
        <f>'Vehicle '!$F$40*9.81*SIN(RADIANS('Duty Cycle '!I76))</f>
        <v>216.22124076166986</v>
      </c>
      <c r="T76" s="18">
        <f t="shared" si="20"/>
        <v>651.3969506726296</v>
      </c>
      <c r="U76" s="14">
        <f t="shared" si="29"/>
        <v>7.6713430343289275</v>
      </c>
      <c r="V76" s="14">
        <f>'Vehicle '!$F$9-'Duty Cycle '!U76</f>
        <v>5.7514757576173814</v>
      </c>
      <c r="W76" s="14">
        <f t="shared" si="21"/>
        <v>7.6713430343289275</v>
      </c>
      <c r="X76" s="16">
        <f t="shared" si="30"/>
        <v>12.74016171200377</v>
      </c>
      <c r="Y76" s="16">
        <f t="shared" si="22"/>
        <v>13</v>
      </c>
      <c r="Z76" s="14">
        <f t="shared" si="17"/>
        <v>490543.47443574021</v>
      </c>
      <c r="AA76" s="14">
        <f t="shared" si="31"/>
        <v>6442305.430540652</v>
      </c>
      <c r="AB76" s="14">
        <f>'BSFC '!$X$14</f>
        <v>306.74480096579998</v>
      </c>
      <c r="AC76" s="14">
        <f t="shared" si="18"/>
        <v>0.65365127561266745</v>
      </c>
      <c r="AD76" s="14">
        <f t="shared" si="32"/>
        <v>22.210349108092736</v>
      </c>
      <c r="AE76" s="14">
        <f t="shared" si="33"/>
        <v>2.0197824416431422</v>
      </c>
      <c r="AF76" s="14">
        <f>0.5*'Vehicle '!$F$40*'Duty Cycle '!L76^2/1000</f>
        <v>45.026352941099844</v>
      </c>
      <c r="AG76" s="14">
        <f t="shared" si="23"/>
        <v>490588.50078868133</v>
      </c>
    </row>
    <row r="77" spans="2:33" ht="30" customHeight="1" x14ac:dyDescent="0.25">
      <c r="B77" s="13">
        <f t="shared" si="24"/>
        <v>74</v>
      </c>
      <c r="C77" s="14" t="s">
        <v>68</v>
      </c>
      <c r="D77" s="14">
        <f>SUM($L$3:L77)</f>
        <v>763.81650796641065</v>
      </c>
      <c r="E77" s="14">
        <f t="shared" si="25"/>
        <v>10.752690382973697</v>
      </c>
      <c r="F77" s="15" t="s">
        <v>52</v>
      </c>
      <c r="G77" s="14">
        <v>4.8</v>
      </c>
      <c r="H77" s="14">
        <f t="shared" si="26"/>
        <v>0.79999999999999982</v>
      </c>
      <c r="I77" s="14">
        <f t="shared" si="27"/>
        <v>4.2549657553087838</v>
      </c>
      <c r="J77" s="14">
        <v>3</v>
      </c>
      <c r="K77" s="14">
        <v>5250</v>
      </c>
      <c r="L77" s="14">
        <v>10.752690382973697</v>
      </c>
      <c r="M77" s="14">
        <f t="shared" si="19"/>
        <v>24.053768386712161</v>
      </c>
      <c r="N77" s="14">
        <f t="shared" si="28"/>
        <v>-1.0240657507594015</v>
      </c>
      <c r="O77" s="14">
        <f>IF(J77=1,'[1]Gearing '!$C$17*'Duty Cycle '!N77,IF(J77=2,'[1]Gearing '!$C$18*'Duty Cycle '!N77,IF(J77=3,'[1]Gearing '!$C$19*'Duty Cycle '!N77)))</f>
        <v>-616.67569853141219</v>
      </c>
      <c r="P77" s="14">
        <f>IF(F77='Track '!$B$60,'Track '!$F$53,IF(F77='Track '!$B$61,'Track '!$F$54,IF(F77='Track '!$B$62,'Track '!$F$55)))</f>
        <v>0.06</v>
      </c>
      <c r="Q77" s="14">
        <f>P77*'Vehicle '!$F$40*9.81</f>
        <v>382.17797999999999</v>
      </c>
      <c r="R77" s="14">
        <f>0.5*'Vehicle '!$F$53*'Vehicle '!$F$25*'Track '!$F$57*'Duty Cycle '!L77^2</f>
        <v>44.181472383238614</v>
      </c>
      <c r="S77" s="14">
        <f>'Vehicle '!$F$40*9.81*SIN(RADIANS('Duty Cycle '!I77))</f>
        <v>472.59441324560242</v>
      </c>
      <c r="T77" s="18">
        <f t="shared" si="20"/>
        <v>898.95386562884096</v>
      </c>
      <c r="U77" s="14">
        <f t="shared" si="29"/>
        <v>9.6661725856842668</v>
      </c>
      <c r="V77" s="14">
        <f>'Vehicle '!$F$9-'Duty Cycle '!U77</f>
        <v>3.756646206262042</v>
      </c>
      <c r="W77" s="14">
        <f t="shared" si="21"/>
        <v>9.6661725856842668</v>
      </c>
      <c r="X77" s="16">
        <f t="shared" si="30"/>
        <v>17.581933117611641</v>
      </c>
      <c r="Y77" s="16">
        <f t="shared" si="22"/>
        <v>18</v>
      </c>
      <c r="Z77" s="14">
        <f t="shared" si="17"/>
        <v>686635.80246752722</v>
      </c>
      <c r="AA77" s="14">
        <f t="shared" si="31"/>
        <v>7128941.2330081789</v>
      </c>
      <c r="AB77" s="14">
        <f>'BSFC '!$X$14</f>
        <v>306.74480096579998</v>
      </c>
      <c r="AC77" s="14">
        <f t="shared" si="18"/>
        <v>0.82362449608244248</v>
      </c>
      <c r="AD77" s="14">
        <f t="shared" si="32"/>
        <v>23.033973604175177</v>
      </c>
      <c r="AE77" s="14">
        <f t="shared" si="33"/>
        <v>2.5449996928947471</v>
      </c>
      <c r="AF77" s="14">
        <f>0.5*'Vehicle '!$F$40*'Duty Cycle '!L77^2/1000</f>
        <v>37.536146780765641</v>
      </c>
      <c r="AG77" s="14">
        <f t="shared" si="23"/>
        <v>686673.33861430793</v>
      </c>
    </row>
    <row r="78" spans="2:33" ht="30" customHeight="1" x14ac:dyDescent="0.25">
      <c r="B78" s="13">
        <f t="shared" si="24"/>
        <v>75</v>
      </c>
      <c r="C78" s="14" t="s">
        <v>68</v>
      </c>
      <c r="D78" s="14">
        <f>SUM($L$3:L78)</f>
        <v>773.54513259862495</v>
      </c>
      <c r="E78" s="14">
        <f t="shared" si="25"/>
        <v>9.7286246322142915</v>
      </c>
      <c r="F78" s="15" t="s">
        <v>52</v>
      </c>
      <c r="G78" s="14">
        <v>5.8</v>
      </c>
      <c r="H78" s="14">
        <f t="shared" si="26"/>
        <v>1</v>
      </c>
      <c r="I78" s="14">
        <f t="shared" si="27"/>
        <v>5.8687904876692611</v>
      </c>
      <c r="J78" s="14">
        <v>3</v>
      </c>
      <c r="K78" s="14">
        <v>4750</v>
      </c>
      <c r="L78" s="14">
        <v>9.7286246322142969</v>
      </c>
      <c r="M78" s="14">
        <f t="shared" si="19"/>
        <v>21.762933302263384</v>
      </c>
      <c r="N78" s="14">
        <f t="shared" si="28"/>
        <v>-1.0240657507593998</v>
      </c>
      <c r="O78" s="14">
        <f>IF(J78=1,'[1]Gearing '!$C$17*'Duty Cycle '!N78,IF(J78=2,'[1]Gearing '!$C$18*'Duty Cycle '!N78,IF(J78=3,'[1]Gearing '!$C$19*'Duty Cycle '!N78)))</f>
        <v>-616.67569853141106</v>
      </c>
      <c r="P78" s="14">
        <f>IF(F78='Track '!$B$60,'Track '!$F$53,IF(F78='Track '!$B$61,'Track '!$F$54,IF(F78='Track '!$B$62,'Track '!$F$55)))</f>
        <v>0.06</v>
      </c>
      <c r="Q78" s="14">
        <f>P78*'Vehicle '!$F$40*9.81</f>
        <v>382.17797999999999</v>
      </c>
      <c r="R78" s="14">
        <f>0.5*'Vehicle '!$F$53*'Vehicle '!$F$25*'Track '!$F$57*'Duty Cycle '!L78^2</f>
        <v>36.166692812583079</v>
      </c>
      <c r="S78" s="14">
        <f>'Vehicle '!$F$40*9.81*SIN(RADIANS('Duty Cycle '!I78))</f>
        <v>651.29942177057103</v>
      </c>
      <c r="T78" s="18">
        <f t="shared" si="20"/>
        <v>1069.6440945831541</v>
      </c>
      <c r="U78" s="14">
        <f t="shared" si="29"/>
        <v>10.406165886264233</v>
      </c>
      <c r="V78" s="14">
        <f>'Vehicle '!$F$9-'Duty Cycle '!U78</f>
        <v>3.0166529056820757</v>
      </c>
      <c r="W78" s="14">
        <f t="shared" si="21"/>
        <v>10.406165886264233</v>
      </c>
      <c r="X78" s="16">
        <f t="shared" si="30"/>
        <v>20.920329340208927</v>
      </c>
      <c r="Y78" s="16">
        <f t="shared" si="22"/>
        <v>21</v>
      </c>
      <c r="Z78" s="14">
        <f t="shared" si="17"/>
        <v>827417.98297766212</v>
      </c>
      <c r="AA78" s="14">
        <f t="shared" si="31"/>
        <v>7956359.2159858411</v>
      </c>
      <c r="AB78" s="14">
        <f>'BSFC '!$X$14</f>
        <v>306.74480096579998</v>
      </c>
      <c r="AC78" s="14">
        <f t="shared" si="18"/>
        <v>0.88667702322200548</v>
      </c>
      <c r="AD78" s="14">
        <f t="shared" si="32"/>
        <v>23.920650627397183</v>
      </c>
      <c r="AE78" s="14">
        <f t="shared" si="33"/>
        <v>2.7398320017559969</v>
      </c>
      <c r="AF78" s="14">
        <f>0.5*'Vehicle '!$F$40*'Duty Cycle '!L78^2/1000</f>
        <v>30.726868453189113</v>
      </c>
      <c r="AG78" s="14">
        <f t="shared" si="23"/>
        <v>827448.70984611532</v>
      </c>
    </row>
    <row r="79" spans="2:33" ht="30" customHeight="1" x14ac:dyDescent="0.25">
      <c r="B79" s="13">
        <f t="shared" si="24"/>
        <v>76</v>
      </c>
      <c r="C79" s="14" t="s">
        <v>68</v>
      </c>
      <c r="D79" s="14">
        <f>SUM($L$3:L79)</f>
        <v>782.76172435545959</v>
      </c>
      <c r="E79" s="14">
        <f t="shared" si="25"/>
        <v>9.2165917568346458</v>
      </c>
      <c r="F79" s="15" t="s">
        <v>52</v>
      </c>
      <c r="G79" s="14">
        <v>7</v>
      </c>
      <c r="H79" s="14">
        <f t="shared" si="26"/>
        <v>1.2000000000000002</v>
      </c>
      <c r="I79" s="14">
        <f t="shared" si="27"/>
        <v>7.4181790465535071</v>
      </c>
      <c r="J79" s="14">
        <v>3</v>
      </c>
      <c r="K79" s="14">
        <v>4500</v>
      </c>
      <c r="L79" s="14">
        <v>9.2165917568345979</v>
      </c>
      <c r="M79" s="14">
        <f t="shared" si="19"/>
        <v>20.617515760038998</v>
      </c>
      <c r="N79" s="14">
        <f t="shared" si="28"/>
        <v>-0.51203287537969899</v>
      </c>
      <c r="O79" s="14">
        <f>IF(J79=1,'[1]Gearing '!$C$17*'Duty Cycle '!N79,IF(J79=2,'[1]Gearing '!$C$18*'Duty Cycle '!N79,IF(J79=3,'[1]Gearing '!$C$19*'Duty Cycle '!N79)))</f>
        <v>-308.33784926570502</v>
      </c>
      <c r="P79" s="14">
        <f>IF(F79='Track '!$B$60,'Track '!$F$53,IF(F79='Track '!$B$61,'Track '!$F$54,IF(F79='Track '!$B$62,'Track '!$F$55)))</f>
        <v>0.06</v>
      </c>
      <c r="Q79" s="14">
        <f>P79*'Vehicle '!$F$40*9.81</f>
        <v>382.17797999999999</v>
      </c>
      <c r="R79" s="14">
        <f>0.5*'Vehicle '!$F$53*'Vehicle '!$F$25*'Track '!$F$57*'Duty Cycle '!L79^2</f>
        <v>32.459857261154902</v>
      </c>
      <c r="S79" s="14">
        <f>'Vehicle '!$F$40*9.81*SIN(RADIANS('Duty Cycle '!I79))</f>
        <v>822.38479246066856</v>
      </c>
      <c r="T79" s="18">
        <f t="shared" si="20"/>
        <v>1237.0226297218235</v>
      </c>
      <c r="U79" s="14">
        <f t="shared" si="29"/>
        <v>11.401132572112015</v>
      </c>
      <c r="V79" s="14">
        <f>'Vehicle '!$F$9-'Duty Cycle '!U79</f>
        <v>2.0216862198342938</v>
      </c>
      <c r="W79" s="14">
        <f t="shared" si="21"/>
        <v>11.401132572112015</v>
      </c>
      <c r="X79" s="16">
        <f t="shared" si="30"/>
        <v>24.193954742635228</v>
      </c>
      <c r="Y79" s="16">
        <f t="shared" si="22"/>
        <v>22</v>
      </c>
      <c r="Z79" s="14">
        <f t="shared" si="17"/>
        <v>968293.96670777979</v>
      </c>
      <c r="AA79" s="14">
        <f t="shared" si="31"/>
        <v>8924653.1826936211</v>
      </c>
      <c r="AB79" s="14">
        <f>'BSFC '!$X$14</f>
        <v>306.74480096579998</v>
      </c>
      <c r="AC79" s="14">
        <f t="shared" si="18"/>
        <v>0.97145503933811095</v>
      </c>
      <c r="AD79" s="14">
        <f t="shared" si="32"/>
        <v>24.892105666735294</v>
      </c>
      <c r="AE79" s="14">
        <f t="shared" si="33"/>
        <v>3.0017960715547627</v>
      </c>
      <c r="AF79" s="14">
        <f>0.5*'Vehicle '!$F$40*'Duty Cycle '!L79^2/1000</f>
        <v>27.577577226684969</v>
      </c>
      <c r="AG79" s="14">
        <f t="shared" si="23"/>
        <v>968321.54428500647</v>
      </c>
    </row>
    <row r="80" spans="2:33" ht="30" customHeight="1" x14ac:dyDescent="0.25">
      <c r="B80" s="13">
        <f t="shared" si="24"/>
        <v>77</v>
      </c>
      <c r="C80" s="14" t="s">
        <v>68</v>
      </c>
      <c r="D80" s="14">
        <f>SUM($L$3:L80)</f>
        <v>791.39801218686387</v>
      </c>
      <c r="E80" s="14">
        <f t="shared" si="25"/>
        <v>8.6362878314042746</v>
      </c>
      <c r="F80" s="15" t="s">
        <v>52</v>
      </c>
      <c r="G80" s="14">
        <v>8.1999999999999993</v>
      </c>
      <c r="H80" s="14">
        <f t="shared" si="26"/>
        <v>1.1999999999999993</v>
      </c>
      <c r="I80" s="14">
        <f t="shared" si="27"/>
        <v>7.9105184511964683</v>
      </c>
      <c r="J80" s="14">
        <v>2</v>
      </c>
      <c r="K80" s="14">
        <v>5500</v>
      </c>
      <c r="L80" s="14">
        <v>8.6362878314042693</v>
      </c>
      <c r="M80" s="14">
        <f t="shared" si="19"/>
        <v>19.31937587885135</v>
      </c>
      <c r="N80" s="14">
        <f t="shared" si="28"/>
        <v>-0.5803039254303286</v>
      </c>
      <c r="O80" s="14">
        <f>IF(J80=1,'[1]Gearing '!$C$17*'Duty Cycle '!N80,IF(J80=2,'[1]Gearing '!$C$18*'Duty Cycle '!N80,IF(J80=3,'[1]Gearing '!$C$19*'Duty Cycle '!N80)))</f>
        <v>-350.92913669314743</v>
      </c>
      <c r="P80" s="14">
        <f>IF(F80='Track '!$B$60,'Track '!$F$53,IF(F80='Track '!$B$61,'Track '!$F$54,IF(F80='Track '!$B$62,'Track '!$F$55)))</f>
        <v>0.06</v>
      </c>
      <c r="Q80" s="14">
        <f>P80*'Vehicle '!$F$40*9.81</f>
        <v>382.17797999999999</v>
      </c>
      <c r="R80" s="14">
        <f>0.5*'Vehicle '!$F$53*'Vehicle '!$F$25*'Track '!$F$57*'Duty Cycle '!L80^2</f>
        <v>28.501001418782764</v>
      </c>
      <c r="S80" s="14">
        <f>'Vehicle '!$F$40*9.81*SIN(RADIANS('Duty Cycle '!I80))</f>
        <v>876.62955106722484</v>
      </c>
      <c r="T80" s="18">
        <f t="shared" si="20"/>
        <v>1287.3085324860076</v>
      </c>
      <c r="U80" s="14">
        <f t="shared" si="29"/>
        <v>11.117567014371794</v>
      </c>
      <c r="V80" s="14">
        <f>'Vehicle '!$F$9-'Duty Cycle '!U80</f>
        <v>2.3052517775745152</v>
      </c>
      <c r="W80" s="14">
        <f t="shared" si="21"/>
        <v>11.117567014371794</v>
      </c>
      <c r="X80" s="16">
        <f t="shared" si="30"/>
        <v>19.302717223556467</v>
      </c>
      <c r="Y80" s="16">
        <f t="shared" si="22"/>
        <v>20</v>
      </c>
      <c r="Z80" s="14">
        <f t="shared" si="17"/>
        <v>1018773.4136806153</v>
      </c>
      <c r="AA80" s="14">
        <f t="shared" si="31"/>
        <v>9943426.596374236</v>
      </c>
      <c r="AB80" s="14">
        <f>'BSFC '!$X$14</f>
        <v>306.74480096579998</v>
      </c>
      <c r="AC80" s="14">
        <f t="shared" si="18"/>
        <v>0.94729330029094971</v>
      </c>
      <c r="AD80" s="14">
        <f t="shared" si="32"/>
        <v>25.839398967026245</v>
      </c>
      <c r="AE80" s="14">
        <f t="shared" si="33"/>
        <v>2.9271362978990343</v>
      </c>
      <c r="AF80" s="14">
        <f>0.5*'Vehicle '!$F$40*'Duty Cycle '!L80^2/1000</f>
        <v>24.214172026102574</v>
      </c>
      <c r="AG80" s="14">
        <f t="shared" si="23"/>
        <v>1018797.6278526414</v>
      </c>
    </row>
    <row r="81" spans="2:33" ht="30" customHeight="1" x14ac:dyDescent="0.25">
      <c r="B81" s="13">
        <f t="shared" si="24"/>
        <v>78</v>
      </c>
      <c r="C81" s="14" t="s">
        <v>68</v>
      </c>
      <c r="D81" s="14">
        <f>SUM($L$3:L81)</f>
        <v>800.03430001826814</v>
      </c>
      <c r="E81" s="14">
        <f t="shared" si="25"/>
        <v>8.6362878314042746</v>
      </c>
      <c r="F81" s="15" t="s">
        <v>52</v>
      </c>
      <c r="G81" s="14">
        <v>9.4</v>
      </c>
      <c r="H81" s="14">
        <f t="shared" si="26"/>
        <v>1.2000000000000011</v>
      </c>
      <c r="I81" s="14">
        <f t="shared" si="27"/>
        <v>7.910518451196479</v>
      </c>
      <c r="J81" s="14">
        <v>2</v>
      </c>
      <c r="K81" s="14">
        <v>5500</v>
      </c>
      <c r="L81" s="14">
        <v>8.6362878314042693</v>
      </c>
      <c r="M81" s="14">
        <f t="shared" si="19"/>
        <v>19.31937587885135</v>
      </c>
      <c r="N81" s="14">
        <f t="shared" si="28"/>
        <v>0</v>
      </c>
      <c r="O81" s="14">
        <f>IF(J81=1,'[1]Gearing '!$C$17*'Duty Cycle '!N81,IF(J81=2,'[1]Gearing '!$C$18*'Duty Cycle '!N81,IF(J81=3,'[1]Gearing '!$C$19*'Duty Cycle '!N81)))</f>
        <v>0</v>
      </c>
      <c r="P81" s="14">
        <f>IF(F81='Track '!$B$60,'Track '!$F$53,IF(F81='Track '!$B$61,'Track '!$F$54,IF(F81='Track '!$B$62,'Track '!$F$55)))</f>
        <v>0.06</v>
      </c>
      <c r="Q81" s="14">
        <f>P81*'Vehicle '!$F$40*9.81</f>
        <v>382.17797999999999</v>
      </c>
      <c r="R81" s="14">
        <f>0.5*'Vehicle '!$F$53*'Vehicle '!$F$25*'Track '!$F$57*'Duty Cycle '!L81^2</f>
        <v>28.501001418782764</v>
      </c>
      <c r="S81" s="14">
        <f>'Vehicle '!$F$40*9.81*SIN(RADIANS('Duty Cycle '!I81))</f>
        <v>876.62955106722609</v>
      </c>
      <c r="T81" s="18">
        <f t="shared" si="20"/>
        <v>1287.308532486009</v>
      </c>
      <c r="U81" s="14">
        <f t="shared" si="29"/>
        <v>11.117567014371808</v>
      </c>
      <c r="V81" s="14">
        <f>'Vehicle '!$F$9-'Duty Cycle '!U81</f>
        <v>2.3052517775745009</v>
      </c>
      <c r="W81" s="14">
        <f t="shared" si="21"/>
        <v>11.117567014371808</v>
      </c>
      <c r="X81" s="16">
        <f t="shared" si="30"/>
        <v>19.302717223556488</v>
      </c>
      <c r="Y81" s="16">
        <f t="shared" si="22"/>
        <v>20</v>
      </c>
      <c r="Z81" s="14">
        <f t="shared" si="17"/>
        <v>1029890.9806949882</v>
      </c>
      <c r="AA81" s="14">
        <f t="shared" si="31"/>
        <v>10973317.577069225</v>
      </c>
      <c r="AB81" s="14">
        <f>'BSFC '!$X$14</f>
        <v>306.74480096579998</v>
      </c>
      <c r="AC81" s="14">
        <f t="shared" si="18"/>
        <v>0.94729330029095093</v>
      </c>
      <c r="AD81" s="14">
        <f t="shared" si="32"/>
        <v>26.786692267317196</v>
      </c>
      <c r="AE81" s="14">
        <f t="shared" si="33"/>
        <v>2.9271362978990383</v>
      </c>
      <c r="AF81" s="14">
        <f>0.5*'Vehicle '!$F$40*'Duty Cycle '!L81^2/1000</f>
        <v>24.214172026102574</v>
      </c>
      <c r="AG81" s="14">
        <f t="shared" si="23"/>
        <v>1029915.1948670143</v>
      </c>
    </row>
    <row r="82" spans="2:33" ht="30" customHeight="1" x14ac:dyDescent="0.25">
      <c r="B82" s="13">
        <f t="shared" si="24"/>
        <v>79</v>
      </c>
      <c r="C82" s="14" t="s">
        <v>68</v>
      </c>
      <c r="D82" s="14">
        <f>SUM($L$3:L82)</f>
        <v>808.67058784967242</v>
      </c>
      <c r="E82" s="14">
        <f t="shared" si="25"/>
        <v>8.6362878314042746</v>
      </c>
      <c r="F82" s="15" t="s">
        <v>52</v>
      </c>
      <c r="G82" s="14">
        <v>10.6</v>
      </c>
      <c r="H82" s="14">
        <f t="shared" si="26"/>
        <v>1.1999999999999993</v>
      </c>
      <c r="I82" s="14">
        <f t="shared" si="27"/>
        <v>7.9105184511964683</v>
      </c>
      <c r="J82" s="14">
        <v>2</v>
      </c>
      <c r="K82" s="14">
        <v>5500</v>
      </c>
      <c r="L82" s="14">
        <v>8.6362878314042693</v>
      </c>
      <c r="M82" s="14">
        <f t="shared" si="19"/>
        <v>19.31937587885135</v>
      </c>
      <c r="N82" s="14">
        <f t="shared" si="28"/>
        <v>0</v>
      </c>
      <c r="O82" s="14">
        <f>IF(J82=1,'[1]Gearing '!$C$17*'Duty Cycle '!N82,IF(J82=2,'[1]Gearing '!$C$18*'Duty Cycle '!N82,IF(J82=3,'[1]Gearing '!$C$19*'Duty Cycle '!N82)))</f>
        <v>0</v>
      </c>
      <c r="P82" s="14">
        <f>IF(F82='Track '!$B$60,'Track '!$F$53,IF(F82='Track '!$B$61,'Track '!$F$54,IF(F82='Track '!$B$62,'Track '!$F$55)))</f>
        <v>0.06</v>
      </c>
      <c r="Q82" s="14">
        <f>P82*'Vehicle '!$F$40*9.81</f>
        <v>382.17797999999999</v>
      </c>
      <c r="R82" s="14">
        <f>0.5*'Vehicle '!$F$53*'Vehicle '!$F$25*'Track '!$F$57*'Duty Cycle '!L82^2</f>
        <v>28.501001418782764</v>
      </c>
      <c r="S82" s="14">
        <f>'Vehicle '!$F$40*9.81*SIN(RADIANS('Duty Cycle '!I82))</f>
        <v>876.62955106722484</v>
      </c>
      <c r="T82" s="18">
        <f t="shared" si="20"/>
        <v>1287.3085324860076</v>
      </c>
      <c r="U82" s="14">
        <f t="shared" si="29"/>
        <v>11.117567014371794</v>
      </c>
      <c r="V82" s="14">
        <f>'Vehicle '!$F$9-'Duty Cycle '!U82</f>
        <v>2.3052517775745152</v>
      </c>
      <c r="W82" s="14">
        <f t="shared" si="21"/>
        <v>11.117567014371794</v>
      </c>
      <c r="X82" s="16">
        <f t="shared" si="30"/>
        <v>19.302717223556467</v>
      </c>
      <c r="Y82" s="16">
        <f t="shared" si="22"/>
        <v>20</v>
      </c>
      <c r="Z82" s="14">
        <f t="shared" si="17"/>
        <v>1041008.5477093589</v>
      </c>
      <c r="AA82" s="14">
        <f t="shared" si="31"/>
        <v>12014326.124778584</v>
      </c>
      <c r="AB82" s="14">
        <f>'BSFC '!$X$14</f>
        <v>306.74480096579998</v>
      </c>
      <c r="AC82" s="14">
        <f t="shared" si="18"/>
        <v>0.94729330029094971</v>
      </c>
      <c r="AD82" s="14">
        <f t="shared" si="32"/>
        <v>27.733985567608148</v>
      </c>
      <c r="AE82" s="14">
        <f t="shared" si="33"/>
        <v>2.9271362978990343</v>
      </c>
      <c r="AF82" s="14">
        <f>0.5*'Vehicle '!$F$40*'Duty Cycle '!L82^2/1000</f>
        <v>24.214172026102574</v>
      </c>
      <c r="AG82" s="14">
        <f t="shared" si="23"/>
        <v>1041032.761881385</v>
      </c>
    </row>
    <row r="83" spans="2:33" ht="30" customHeight="1" x14ac:dyDescent="0.25">
      <c r="B83" s="13">
        <f t="shared" si="24"/>
        <v>80</v>
      </c>
      <c r="C83" s="14" t="s">
        <v>68</v>
      </c>
      <c r="D83" s="14">
        <f>SUM($L$3:L83)</f>
        <v>817.30687568107669</v>
      </c>
      <c r="E83" s="14">
        <f t="shared" si="25"/>
        <v>8.6362878314042746</v>
      </c>
      <c r="F83" s="15" t="s">
        <v>52</v>
      </c>
      <c r="G83" s="14">
        <v>11.8</v>
      </c>
      <c r="H83" s="14">
        <f t="shared" si="26"/>
        <v>1.2000000000000011</v>
      </c>
      <c r="I83" s="14">
        <f t="shared" si="27"/>
        <v>7.910518451196479</v>
      </c>
      <c r="J83" s="14">
        <v>2</v>
      </c>
      <c r="K83" s="14">
        <v>5500</v>
      </c>
      <c r="L83" s="14">
        <v>8.6362878314042693</v>
      </c>
      <c r="M83" s="14">
        <f t="shared" si="19"/>
        <v>19.31937587885135</v>
      </c>
      <c r="N83" s="14">
        <f t="shared" si="28"/>
        <v>0</v>
      </c>
      <c r="O83" s="14">
        <f>IF(J83=1,'[1]Gearing '!$C$17*'Duty Cycle '!N83,IF(J83=2,'[1]Gearing '!$C$18*'Duty Cycle '!N83,IF(J83=3,'[1]Gearing '!$C$19*'Duty Cycle '!N83)))</f>
        <v>0</v>
      </c>
      <c r="P83" s="14">
        <f>IF(F83='Track '!$B$60,'Track '!$F$53,IF(F83='Track '!$B$61,'Track '!$F$54,IF(F83='Track '!$B$62,'Track '!$F$55)))</f>
        <v>0.06</v>
      </c>
      <c r="Q83" s="14">
        <f>P83*'Vehicle '!$F$40*9.81</f>
        <v>382.17797999999999</v>
      </c>
      <c r="R83" s="14">
        <f>0.5*'Vehicle '!$F$53*'Vehicle '!$F$25*'Track '!$F$57*'Duty Cycle '!L83^2</f>
        <v>28.501001418782764</v>
      </c>
      <c r="S83" s="14">
        <f>'Vehicle '!$F$40*9.81*SIN(RADIANS('Duty Cycle '!I83))</f>
        <v>876.62955106722609</v>
      </c>
      <c r="T83" s="18">
        <f t="shared" si="20"/>
        <v>1287.308532486009</v>
      </c>
      <c r="U83" s="14">
        <f t="shared" si="29"/>
        <v>11.117567014371808</v>
      </c>
      <c r="V83" s="14">
        <f>'Vehicle '!$F$9-'Duty Cycle '!U83</f>
        <v>2.3052517775745009</v>
      </c>
      <c r="W83" s="14">
        <f t="shared" si="21"/>
        <v>11.117567014371808</v>
      </c>
      <c r="X83" s="16">
        <f t="shared" si="30"/>
        <v>19.302717223556488</v>
      </c>
      <c r="Y83" s="16">
        <f t="shared" si="22"/>
        <v>20</v>
      </c>
      <c r="Z83" s="14">
        <f t="shared" si="17"/>
        <v>1052126.1147237318</v>
      </c>
      <c r="AA83" s="14">
        <f t="shared" si="31"/>
        <v>13066452.239502314</v>
      </c>
      <c r="AB83" s="14">
        <f>'BSFC '!$X$14</f>
        <v>306.74480096579998</v>
      </c>
      <c r="AC83" s="14">
        <f t="shared" si="18"/>
        <v>0.94729330029095093</v>
      </c>
      <c r="AD83" s="14">
        <f t="shared" si="32"/>
        <v>28.681278867899099</v>
      </c>
      <c r="AE83" s="14">
        <f t="shared" si="33"/>
        <v>2.9271362978990383</v>
      </c>
      <c r="AF83" s="14">
        <f>0.5*'Vehicle '!$F$40*'Duty Cycle '!L83^2/1000</f>
        <v>24.214172026102574</v>
      </c>
      <c r="AG83" s="14">
        <f t="shared" si="23"/>
        <v>1052150.3288957579</v>
      </c>
    </row>
    <row r="84" spans="2:33" ht="30" customHeight="1" x14ac:dyDescent="0.25">
      <c r="B84" s="13">
        <f t="shared" si="24"/>
        <v>81</v>
      </c>
      <c r="C84" s="14" t="s">
        <v>68</v>
      </c>
      <c r="D84" s="14">
        <f>SUM($L$3:L84)</f>
        <v>825.94316351248096</v>
      </c>
      <c r="E84" s="14">
        <f t="shared" si="25"/>
        <v>8.6362878314042746</v>
      </c>
      <c r="F84" s="15" t="s">
        <v>52</v>
      </c>
      <c r="G84" s="14">
        <v>13</v>
      </c>
      <c r="H84" s="14">
        <f t="shared" si="26"/>
        <v>1.1999999999999993</v>
      </c>
      <c r="I84" s="14">
        <f t="shared" si="27"/>
        <v>7.9105184511964683</v>
      </c>
      <c r="J84" s="14">
        <v>2</v>
      </c>
      <c r="K84" s="14">
        <v>5500</v>
      </c>
      <c r="L84" s="14">
        <v>8.6362878314042693</v>
      </c>
      <c r="M84" s="14">
        <f t="shared" si="19"/>
        <v>19.31937587885135</v>
      </c>
      <c r="N84" s="14">
        <f t="shared" si="28"/>
        <v>0</v>
      </c>
      <c r="O84" s="14">
        <f>IF(J84=1,'[1]Gearing '!$C$17*'Duty Cycle '!N84,IF(J84=2,'[1]Gearing '!$C$18*'Duty Cycle '!N84,IF(J84=3,'[1]Gearing '!$C$19*'Duty Cycle '!N84)))</f>
        <v>0</v>
      </c>
      <c r="P84" s="14">
        <f>IF(F84='Track '!$B$60,'Track '!$F$53,IF(F84='Track '!$B$61,'Track '!$F$54,IF(F84='Track '!$B$62,'Track '!$F$55)))</f>
        <v>0.06</v>
      </c>
      <c r="Q84" s="14">
        <f>P84*'Vehicle '!$F$40*9.81</f>
        <v>382.17797999999999</v>
      </c>
      <c r="R84" s="14">
        <f>0.5*'Vehicle '!$F$53*'Vehicle '!$F$25*'Track '!$F$57*'Duty Cycle '!L84^2</f>
        <v>28.501001418782764</v>
      </c>
      <c r="S84" s="14">
        <f>'Vehicle '!$F$40*9.81*SIN(RADIANS('Duty Cycle '!I84))</f>
        <v>876.62955106722484</v>
      </c>
      <c r="T84" s="18">
        <f t="shared" si="20"/>
        <v>1287.3085324860076</v>
      </c>
      <c r="U84" s="14">
        <f t="shared" si="29"/>
        <v>11.117567014371794</v>
      </c>
      <c r="V84" s="14">
        <f>'Vehicle '!$F$9-'Duty Cycle '!U84</f>
        <v>2.3052517775745152</v>
      </c>
      <c r="W84" s="14">
        <f t="shared" si="21"/>
        <v>11.117567014371794</v>
      </c>
      <c r="X84" s="16">
        <f t="shared" si="30"/>
        <v>19.302717223556467</v>
      </c>
      <c r="Y84" s="16">
        <f t="shared" si="22"/>
        <v>20</v>
      </c>
      <c r="Z84" s="14">
        <f t="shared" si="17"/>
        <v>1063243.6817381026</v>
      </c>
      <c r="AA84" s="14">
        <f t="shared" si="31"/>
        <v>14129695.921240417</v>
      </c>
      <c r="AB84" s="14">
        <f>'BSFC '!$X$14</f>
        <v>306.74480096579998</v>
      </c>
      <c r="AC84" s="14">
        <f t="shared" si="18"/>
        <v>0.94729330029094971</v>
      </c>
      <c r="AD84" s="14">
        <f t="shared" si="32"/>
        <v>29.62857216819005</v>
      </c>
      <c r="AE84" s="14">
        <f t="shared" si="33"/>
        <v>2.9271362978990343</v>
      </c>
      <c r="AF84" s="14">
        <f>0.5*'Vehicle '!$F$40*'Duty Cycle '!L84^2/1000</f>
        <v>24.214172026102574</v>
      </c>
      <c r="AG84" s="14">
        <f t="shared" si="23"/>
        <v>1063267.8959101287</v>
      </c>
    </row>
    <row r="85" spans="2:33" ht="30" customHeight="1" x14ac:dyDescent="0.25">
      <c r="B85" s="13">
        <f t="shared" si="24"/>
        <v>82</v>
      </c>
      <c r="C85" s="14" t="s">
        <v>68</v>
      </c>
      <c r="D85" s="14">
        <f>SUM($L$3:L85)</f>
        <v>834.57945134388524</v>
      </c>
      <c r="E85" s="14">
        <f t="shared" si="25"/>
        <v>8.6362878314042746</v>
      </c>
      <c r="F85" s="15" t="s">
        <v>52</v>
      </c>
      <c r="G85" s="14">
        <v>14.2</v>
      </c>
      <c r="H85" s="14">
        <f t="shared" si="26"/>
        <v>1.1999999999999993</v>
      </c>
      <c r="I85" s="14">
        <f t="shared" si="27"/>
        <v>7.9105184511964683</v>
      </c>
      <c r="J85" s="14">
        <v>2</v>
      </c>
      <c r="K85" s="14">
        <v>5500</v>
      </c>
      <c r="L85" s="14">
        <v>8.6362878314042693</v>
      </c>
      <c r="M85" s="14">
        <f t="shared" si="19"/>
        <v>19.31937587885135</v>
      </c>
      <c r="N85" s="14">
        <f t="shared" si="28"/>
        <v>0</v>
      </c>
      <c r="O85" s="14">
        <f>IF(J85=1,'[1]Gearing '!$C$17*'Duty Cycle '!N85,IF(J85=2,'[1]Gearing '!$C$18*'Duty Cycle '!N85,IF(J85=3,'[1]Gearing '!$C$19*'Duty Cycle '!N85)))</f>
        <v>0</v>
      </c>
      <c r="P85" s="14">
        <f>IF(F85='Track '!$B$60,'Track '!$F$53,IF(F85='Track '!$B$61,'Track '!$F$54,IF(F85='Track '!$B$62,'Track '!$F$55)))</f>
        <v>0.06</v>
      </c>
      <c r="Q85" s="14">
        <f>P85*'Vehicle '!$F$40*9.81</f>
        <v>382.17797999999999</v>
      </c>
      <c r="R85" s="14">
        <f>0.5*'Vehicle '!$F$53*'Vehicle '!$F$25*'Track '!$F$57*'Duty Cycle '!L85^2</f>
        <v>28.501001418782764</v>
      </c>
      <c r="S85" s="14">
        <f>'Vehicle '!$F$40*9.81*SIN(RADIANS('Duty Cycle '!I85))</f>
        <v>876.62955106722484</v>
      </c>
      <c r="T85" s="18">
        <f t="shared" si="20"/>
        <v>1287.3085324860076</v>
      </c>
      <c r="U85" s="14">
        <f t="shared" si="29"/>
        <v>11.117567014371794</v>
      </c>
      <c r="V85" s="14">
        <f>'Vehicle '!$F$9-'Duty Cycle '!U85</f>
        <v>2.3052517775745152</v>
      </c>
      <c r="W85" s="14">
        <f t="shared" si="21"/>
        <v>11.117567014371794</v>
      </c>
      <c r="X85" s="16">
        <f t="shared" si="30"/>
        <v>19.302717223556467</v>
      </c>
      <c r="Y85" s="16">
        <f t="shared" si="22"/>
        <v>20</v>
      </c>
      <c r="Z85" s="14">
        <f t="shared" si="17"/>
        <v>1074361.2487524743</v>
      </c>
      <c r="AA85" s="14">
        <f t="shared" si="31"/>
        <v>15204057.169992892</v>
      </c>
      <c r="AB85" s="14">
        <f>'BSFC '!$X$14</f>
        <v>306.74480096579998</v>
      </c>
      <c r="AC85" s="14">
        <f t="shared" si="18"/>
        <v>0.94729330029094971</v>
      </c>
      <c r="AD85" s="14">
        <f t="shared" si="32"/>
        <v>30.575865468481002</v>
      </c>
      <c r="AE85" s="14">
        <f t="shared" si="33"/>
        <v>2.9271362978990343</v>
      </c>
      <c r="AF85" s="14">
        <f>0.5*'Vehicle '!$F$40*'Duty Cycle '!L85^2/1000</f>
        <v>24.214172026102574</v>
      </c>
      <c r="AG85" s="14">
        <f t="shared" si="23"/>
        <v>1074385.4629245005</v>
      </c>
    </row>
    <row r="86" spans="2:33" ht="30" customHeight="1" x14ac:dyDescent="0.25">
      <c r="B86" s="13">
        <f t="shared" si="24"/>
        <v>83</v>
      </c>
      <c r="C86" s="14" t="s">
        <v>68</v>
      </c>
      <c r="D86" s="14">
        <f>SUM($L$3:L86)</f>
        <v>843.60829771308056</v>
      </c>
      <c r="E86" s="14">
        <f t="shared" si="25"/>
        <v>9.0288463691953211</v>
      </c>
      <c r="F86" s="15" t="s">
        <v>52</v>
      </c>
      <c r="G86" s="14">
        <v>15</v>
      </c>
      <c r="H86" s="14">
        <f t="shared" si="26"/>
        <v>0.80000000000000071</v>
      </c>
      <c r="I86" s="14">
        <f t="shared" si="27"/>
        <v>5.0634634606197553</v>
      </c>
      <c r="J86" s="14">
        <v>2</v>
      </c>
      <c r="K86" s="14">
        <v>5750</v>
      </c>
      <c r="L86" s="14">
        <v>9.0288463691953762</v>
      </c>
      <c r="M86" s="14">
        <f t="shared" si="19"/>
        <v>20.197529327890056</v>
      </c>
      <c r="N86" s="14">
        <f t="shared" si="28"/>
        <v>0.39255853779110694</v>
      </c>
      <c r="O86" s="14">
        <f>IF(J86=1,'[1]Gearing '!$C$17*'Duty Cycle '!N86,IF(J86=2,'[1]Gearing '!$C$18*'Duty Cycle '!N86,IF(J86=3,'[1]Gearing '!$C$19*'Duty Cycle '!N86)))</f>
        <v>237.39323952771878</v>
      </c>
      <c r="P86" s="14">
        <f>IF(F86='Track '!$B$60,'Track '!$F$53,IF(F86='Track '!$B$61,'Track '!$F$54,IF(F86='Track '!$B$62,'Track '!$F$55)))</f>
        <v>0.06</v>
      </c>
      <c r="Q86" s="14">
        <f>P86*'Vehicle '!$F$40*9.81</f>
        <v>382.17797999999999</v>
      </c>
      <c r="R86" s="14">
        <f>0.5*'Vehicle '!$F$53*'Vehicle '!$F$25*'Track '!$F$57*'Duty Cycle '!L86^2</f>
        <v>31.15088791433077</v>
      </c>
      <c r="S86" s="14">
        <f>'Vehicle '!$F$40*9.81*SIN(RADIANS('Duty Cycle '!I86))</f>
        <v>562.17820630293227</v>
      </c>
      <c r="T86" s="18">
        <f t="shared" si="20"/>
        <v>975.50707421726304</v>
      </c>
      <c r="U86" s="14">
        <f t="shared" si="29"/>
        <v>8.8077035051709398</v>
      </c>
      <c r="V86" s="14">
        <f>'Vehicle '!$F$9-'Duty Cycle '!U86</f>
        <v>4.6151152867753691</v>
      </c>
      <c r="W86" s="14">
        <f t="shared" si="21"/>
        <v>8.8077035051709398</v>
      </c>
      <c r="X86" s="16">
        <f t="shared" si="30"/>
        <v>14.627369218808012</v>
      </c>
      <c r="Y86" s="16">
        <f t="shared" si="22"/>
        <v>15</v>
      </c>
      <c r="Z86" s="14">
        <f t="shared" si="17"/>
        <v>822945.86228749296</v>
      </c>
      <c r="AA86" s="14">
        <f t="shared" si="31"/>
        <v>16027003.032280385</v>
      </c>
      <c r="AB86" s="14">
        <f>'BSFC '!$X$14</f>
        <v>306.74480096579998</v>
      </c>
      <c r="AC86" s="14">
        <f t="shared" si="18"/>
        <v>0.75047701629428853</v>
      </c>
      <c r="AD86" s="14">
        <f t="shared" si="32"/>
        <v>31.326342484775289</v>
      </c>
      <c r="AE86" s="14">
        <f t="shared" si="33"/>
        <v>2.3189739803493516</v>
      </c>
      <c r="AF86" s="14">
        <f>0.5*'Vehicle '!$F$40*'Duty Cycle '!L86^2/1000</f>
        <v>26.465489673157581</v>
      </c>
      <c r="AG86" s="14">
        <f t="shared" si="23"/>
        <v>822972.32777716615</v>
      </c>
    </row>
    <row r="87" spans="2:33" ht="30" customHeight="1" x14ac:dyDescent="0.25">
      <c r="B87" s="13">
        <f t="shared" si="24"/>
        <v>84</v>
      </c>
      <c r="C87" s="14" t="s">
        <v>68</v>
      </c>
      <c r="D87" s="14">
        <f>SUM($L$3:L87)</f>
        <v>853.42226115785809</v>
      </c>
      <c r="E87" s="14">
        <f t="shared" si="25"/>
        <v>9.8139634447775279</v>
      </c>
      <c r="F87" s="15" t="s">
        <v>52</v>
      </c>
      <c r="G87" s="14">
        <v>15.6</v>
      </c>
      <c r="H87" s="14">
        <f t="shared" si="26"/>
        <v>0.59999999999999964</v>
      </c>
      <c r="I87" s="14">
        <f t="shared" si="27"/>
        <v>3.4985591610986533</v>
      </c>
      <c r="J87" s="14">
        <v>2</v>
      </c>
      <c r="K87" s="14">
        <v>6250</v>
      </c>
      <c r="L87" s="14">
        <v>9.8139634447775812</v>
      </c>
      <c r="M87" s="14">
        <f t="shared" si="19"/>
        <v>21.95383622596745</v>
      </c>
      <c r="N87" s="14">
        <f t="shared" si="28"/>
        <v>0.785117075582205</v>
      </c>
      <c r="O87" s="14">
        <f>IF(J87=1,'[1]Gearing '!$C$17*'Duty Cycle '!N87,IF(J87=2,'[1]Gearing '!$C$18*'Duty Cycle '!N87,IF(J87=3,'[1]Gearing '!$C$19*'Duty Cycle '!N87)))</f>
        <v>474.78647905543221</v>
      </c>
      <c r="P87" s="14">
        <f>IF(F87='Track '!$B$60,'Track '!$F$53,IF(F87='Track '!$B$61,'Track '!$F$54,IF(F87='Track '!$B$62,'Track '!$F$55)))</f>
        <v>0.06</v>
      </c>
      <c r="Q87" s="14">
        <f>P87*'Vehicle '!$F$40*9.81</f>
        <v>382.17797999999999</v>
      </c>
      <c r="R87" s="14">
        <f>0.5*'Vehicle '!$F$53*'Vehicle '!$F$25*'Track '!$F$57*'Duty Cycle '!L87^2</f>
        <v>36.803979104833125</v>
      </c>
      <c r="S87" s="14">
        <f>'Vehicle '!$F$40*9.81*SIN(RADIANS('Duty Cycle '!I87))</f>
        <v>388.6969110678632</v>
      </c>
      <c r="T87" s="18">
        <f t="shared" si="20"/>
        <v>807.67887017269629</v>
      </c>
      <c r="U87" s="14">
        <f t="shared" si="29"/>
        <v>7.9265309069940999</v>
      </c>
      <c r="V87" s="14">
        <f>'Vehicle '!$F$9-'Duty Cycle '!U87</f>
        <v>5.496287884952209</v>
      </c>
      <c r="W87" s="14">
        <f t="shared" si="21"/>
        <v>7.9265309069940999</v>
      </c>
      <c r="X87" s="16">
        <f t="shared" si="30"/>
        <v>12.110847124020436</v>
      </c>
      <c r="Y87" s="16">
        <f t="shared" si="22"/>
        <v>13</v>
      </c>
      <c r="Z87" s="14">
        <f t="shared" si="17"/>
        <v>689291.12767220661</v>
      </c>
      <c r="AA87" s="14">
        <f t="shared" si="31"/>
        <v>16716294.159952592</v>
      </c>
      <c r="AB87" s="14">
        <f>'BSFC '!$X$14</f>
        <v>306.74480096579998</v>
      </c>
      <c r="AC87" s="14">
        <f t="shared" si="18"/>
        <v>0.67539504039310194</v>
      </c>
      <c r="AD87" s="14">
        <f t="shared" si="32"/>
        <v>32.001737525168387</v>
      </c>
      <c r="AE87" s="14">
        <f t="shared" si="33"/>
        <v>2.086970674814685</v>
      </c>
      <c r="AF87" s="14">
        <f>0.5*'Vehicle '!$F$40*'Duty Cycle '!L87^2/1000</f>
        <v>31.268300653541555</v>
      </c>
      <c r="AG87" s="14">
        <f t="shared" si="23"/>
        <v>689322.39597286016</v>
      </c>
    </row>
    <row r="88" spans="2:33" ht="30" customHeight="1" x14ac:dyDescent="0.25">
      <c r="B88" s="13">
        <f t="shared" si="24"/>
        <v>85</v>
      </c>
      <c r="C88" s="14" t="s">
        <v>82</v>
      </c>
      <c r="D88" s="14">
        <f>SUM($L$3:L88)</f>
        <v>863.66291866545214</v>
      </c>
      <c r="E88" s="14">
        <f t="shared" si="25"/>
        <v>10.240657507594051</v>
      </c>
      <c r="F88" s="15" t="s">
        <v>52</v>
      </c>
      <c r="G88" s="14">
        <v>16.2</v>
      </c>
      <c r="H88" s="14">
        <f t="shared" si="26"/>
        <v>0.59999999999999964</v>
      </c>
      <c r="I88" s="14">
        <f t="shared" si="27"/>
        <v>3.3531256823493867</v>
      </c>
      <c r="J88" s="14">
        <v>3</v>
      </c>
      <c r="K88" s="14">
        <v>5000</v>
      </c>
      <c r="L88" s="14">
        <v>10.240657507593998</v>
      </c>
      <c r="M88" s="14">
        <f t="shared" si="19"/>
        <v>22.908350844487774</v>
      </c>
      <c r="N88" s="14">
        <f t="shared" si="28"/>
        <v>0.42669406281641642</v>
      </c>
      <c r="O88" s="14">
        <f>IF(J88=1,'[1]Gearing '!$C$17*'Duty Cycle '!N88,IF(J88=2,'[1]Gearing '!$C$18*'Duty Cycle '!N88,IF(J88=3,'[1]Gearing '!$C$19*'Duty Cycle '!N88)))</f>
        <v>256.94820772142123</v>
      </c>
      <c r="P88" s="14">
        <f>IF(F88='Track '!$B$60,'Track '!$F$53,IF(F88='Track '!$B$61,'Track '!$F$54,IF(F88='Track '!$B$62,'Track '!$F$55)))</f>
        <v>0.06</v>
      </c>
      <c r="Q88" s="14">
        <f>P88*'Vehicle '!$F$40*9.81</f>
        <v>382.17797999999999</v>
      </c>
      <c r="R88" s="14">
        <f>0.5*'Vehicle '!$F$53*'Vehicle '!$F$25*'Track '!$F$57*'Duty Cycle '!L88^2</f>
        <v>40.073897853277657</v>
      </c>
      <c r="S88" s="14">
        <f>'Vehicle '!$F$40*9.81*SIN(RADIANS('Duty Cycle '!I88))</f>
        <v>372.55781282322135</v>
      </c>
      <c r="T88" s="18">
        <f t="shared" si="20"/>
        <v>794.80969067649903</v>
      </c>
      <c r="U88" s="14">
        <f t="shared" si="29"/>
        <v>8.1393738259347526</v>
      </c>
      <c r="V88" s="14">
        <f>'Vehicle '!$F$9-'Duty Cycle '!U88</f>
        <v>5.2834449660115563</v>
      </c>
      <c r="W88" s="14">
        <f t="shared" si="21"/>
        <v>8.1393738259347526</v>
      </c>
      <c r="X88" s="16">
        <f t="shared" si="30"/>
        <v>15.545058936843697</v>
      </c>
      <c r="Y88" s="16">
        <f t="shared" si="22"/>
        <v>16</v>
      </c>
      <c r="Z88" s="14">
        <f t="shared" si="17"/>
        <v>686447.65723325033</v>
      </c>
      <c r="AA88" s="14">
        <f t="shared" si="31"/>
        <v>17402741.817185842</v>
      </c>
      <c r="AB88" s="14">
        <f>'BSFC '!$X$14</f>
        <v>306.74480096579998</v>
      </c>
      <c r="AC88" s="14">
        <f t="shared" si="18"/>
        <v>0.69353072339516608</v>
      </c>
      <c r="AD88" s="14">
        <f t="shared" si="32"/>
        <v>32.695268248563551</v>
      </c>
      <c r="AE88" s="14">
        <f t="shared" si="33"/>
        <v>2.143009935291063</v>
      </c>
      <c r="AF88" s="14">
        <f>0.5*'Vehicle '!$F$40*'Duty Cycle '!L88^2/1000</f>
        <v>34.046391637882678</v>
      </c>
      <c r="AG88" s="14">
        <f t="shared" si="23"/>
        <v>686481.70362488821</v>
      </c>
    </row>
    <row r="89" spans="2:33" ht="30" customHeight="1" x14ac:dyDescent="0.25">
      <c r="B89" s="13">
        <f t="shared" si="24"/>
        <v>86</v>
      </c>
      <c r="C89" s="14" t="s">
        <v>82</v>
      </c>
      <c r="D89" s="14">
        <f>SUM($L$3:L89)</f>
        <v>873.90357617304619</v>
      </c>
      <c r="E89" s="14">
        <f t="shared" si="25"/>
        <v>10.240657507594051</v>
      </c>
      <c r="F89" s="15" t="s">
        <v>52</v>
      </c>
      <c r="G89" s="14">
        <v>16.8</v>
      </c>
      <c r="H89" s="14">
        <f t="shared" si="26"/>
        <v>0.60000000000000142</v>
      </c>
      <c r="I89" s="14">
        <f t="shared" si="27"/>
        <v>3.3531256823493969</v>
      </c>
      <c r="J89" s="14">
        <v>3</v>
      </c>
      <c r="K89" s="14">
        <v>5000</v>
      </c>
      <c r="L89" s="14">
        <v>10.240657507593998</v>
      </c>
      <c r="M89" s="14">
        <f t="shared" si="19"/>
        <v>22.908350844487774</v>
      </c>
      <c r="N89" s="14">
        <f t="shared" si="28"/>
        <v>0</v>
      </c>
      <c r="O89" s="14">
        <f>IF(J89=1,'[1]Gearing '!$C$17*'Duty Cycle '!N89,IF(J89=2,'[1]Gearing '!$C$18*'Duty Cycle '!N89,IF(J89=3,'[1]Gearing '!$C$19*'Duty Cycle '!N89)))</f>
        <v>0</v>
      </c>
      <c r="P89" s="14">
        <f>IF(F89='Track '!$B$60,'Track '!$F$53,IF(F89='Track '!$B$61,'Track '!$F$54,IF(F89='Track '!$B$62,'Track '!$F$55)))</f>
        <v>0.06</v>
      </c>
      <c r="Q89" s="14">
        <f>P89*'Vehicle '!$F$40*9.81</f>
        <v>382.17797999999999</v>
      </c>
      <c r="R89" s="14">
        <f>0.5*'Vehicle '!$F$53*'Vehicle '!$F$25*'Track '!$F$57*'Duty Cycle '!L89^2</f>
        <v>40.073897853277657</v>
      </c>
      <c r="S89" s="14">
        <f>'Vehicle '!$F$40*9.81*SIN(RADIANS('Duty Cycle '!I89))</f>
        <v>372.55781282322249</v>
      </c>
      <c r="T89" s="18">
        <f t="shared" si="20"/>
        <v>794.80969067650017</v>
      </c>
      <c r="U89" s="14">
        <f t="shared" si="29"/>
        <v>8.139373825934765</v>
      </c>
      <c r="V89" s="14">
        <f>'Vehicle '!$F$9-'Duty Cycle '!U89</f>
        <v>5.2834449660115439</v>
      </c>
      <c r="W89" s="14">
        <f t="shared" si="21"/>
        <v>8.139373825934765</v>
      </c>
      <c r="X89" s="16">
        <f t="shared" si="30"/>
        <v>15.54505893684372</v>
      </c>
      <c r="Y89" s="16">
        <f t="shared" si="22"/>
        <v>16</v>
      </c>
      <c r="Z89" s="14">
        <f t="shared" si="17"/>
        <v>694587.03105918609</v>
      </c>
      <c r="AA89" s="14">
        <f t="shared" si="31"/>
        <v>18097328.848245028</v>
      </c>
      <c r="AB89" s="14">
        <f>'BSFC '!$X$14</f>
        <v>306.74480096579998</v>
      </c>
      <c r="AC89" s="14">
        <f t="shared" si="18"/>
        <v>0.69353072339516708</v>
      </c>
      <c r="AD89" s="14">
        <f t="shared" si="32"/>
        <v>33.388798971958721</v>
      </c>
      <c r="AE89" s="14">
        <f t="shared" si="33"/>
        <v>2.1430099352910661</v>
      </c>
      <c r="AF89" s="14">
        <f>0.5*'Vehicle '!$F$40*'Duty Cycle '!L89^2/1000</f>
        <v>34.046391637882678</v>
      </c>
      <c r="AG89" s="14">
        <f t="shared" si="23"/>
        <v>694621.07745082397</v>
      </c>
    </row>
    <row r="90" spans="2:33" ht="30" customHeight="1" x14ac:dyDescent="0.25">
      <c r="B90" s="13">
        <f t="shared" si="24"/>
        <v>87</v>
      </c>
      <c r="C90" s="14" t="s">
        <v>82</v>
      </c>
      <c r="D90" s="14">
        <f>SUM($L$3:L90)</f>
        <v>883.71753961782372</v>
      </c>
      <c r="E90" s="14">
        <f t="shared" si="25"/>
        <v>9.8139634447775279</v>
      </c>
      <c r="F90" s="15" t="s">
        <v>52</v>
      </c>
      <c r="G90" s="14">
        <v>17.399999999999999</v>
      </c>
      <c r="H90" s="14">
        <f t="shared" si="26"/>
        <v>0.59999999999999787</v>
      </c>
      <c r="I90" s="14">
        <f t="shared" si="27"/>
        <v>3.4985591610986426</v>
      </c>
      <c r="J90" s="14">
        <v>2</v>
      </c>
      <c r="K90" s="14">
        <v>6250</v>
      </c>
      <c r="L90" s="14">
        <v>9.8139634447775812</v>
      </c>
      <c r="M90" s="14">
        <f t="shared" si="19"/>
        <v>21.95383622596745</v>
      </c>
      <c r="N90" s="14">
        <f t="shared" si="28"/>
        <v>-0.42669406281641642</v>
      </c>
      <c r="O90" s="14">
        <f>IF(J90=1,'[1]Gearing '!$C$17*'Duty Cycle '!N90,IF(J90=2,'[1]Gearing '!$C$18*'Duty Cycle '!N90,IF(J90=3,'[1]Gearing '!$C$19*'Duty Cycle '!N90)))</f>
        <v>-258.03612992143093</v>
      </c>
      <c r="P90" s="14">
        <f>IF(F90='Track '!$B$60,'Track '!$F$53,IF(F90='Track '!$B$61,'Track '!$F$54,IF(F90='Track '!$B$62,'Track '!$F$55)))</f>
        <v>0.06</v>
      </c>
      <c r="Q90" s="14">
        <f>P90*'Vehicle '!$F$40*9.81</f>
        <v>382.17797999999999</v>
      </c>
      <c r="R90" s="14">
        <f>0.5*'Vehicle '!$F$53*'Vehicle '!$F$25*'Track '!$F$57*'Duty Cycle '!L90^2</f>
        <v>36.803979104833125</v>
      </c>
      <c r="S90" s="14">
        <f>'Vehicle '!$F$40*9.81*SIN(RADIANS('Duty Cycle '!I90))</f>
        <v>388.69691106786206</v>
      </c>
      <c r="T90" s="18">
        <f t="shared" si="20"/>
        <v>807.67887017269516</v>
      </c>
      <c r="U90" s="14">
        <f t="shared" si="29"/>
        <v>7.9265309069940884</v>
      </c>
      <c r="V90" s="14">
        <f>'Vehicle '!$F$9-'Duty Cycle '!U90</f>
        <v>5.4962878849522205</v>
      </c>
      <c r="W90" s="14">
        <f t="shared" si="21"/>
        <v>7.9265309069940884</v>
      </c>
      <c r="X90" s="16">
        <f t="shared" si="30"/>
        <v>12.11084712402042</v>
      </c>
      <c r="Y90" s="16">
        <f t="shared" si="22"/>
        <v>13</v>
      </c>
      <c r="Z90" s="14">
        <f t="shared" si="17"/>
        <v>713759.98395031784</v>
      </c>
      <c r="AA90" s="14">
        <f t="shared" si="31"/>
        <v>18811088.832195345</v>
      </c>
      <c r="AB90" s="14">
        <f>'BSFC '!$X$14</f>
        <v>306.74480096579998</v>
      </c>
      <c r="AC90" s="14">
        <f t="shared" si="18"/>
        <v>0.67539504039310094</v>
      </c>
      <c r="AD90" s="14">
        <f t="shared" si="32"/>
        <v>34.06419401235182</v>
      </c>
      <c r="AE90" s="14">
        <f t="shared" si="33"/>
        <v>2.0869706748146819</v>
      </c>
      <c r="AF90" s="14">
        <f>0.5*'Vehicle '!$F$40*'Duty Cycle '!L90^2/1000</f>
        <v>31.268300653541555</v>
      </c>
      <c r="AG90" s="14">
        <f t="shared" si="23"/>
        <v>713791.25225097139</v>
      </c>
    </row>
    <row r="91" spans="2:33" ht="30" customHeight="1" x14ac:dyDescent="0.25">
      <c r="B91" s="13">
        <f t="shared" si="24"/>
        <v>88</v>
      </c>
      <c r="C91" s="14" t="s">
        <v>67</v>
      </c>
      <c r="D91" s="14">
        <f>SUM($L$3:L91)</f>
        <v>892.74638598701904</v>
      </c>
      <c r="E91" s="14">
        <f t="shared" si="25"/>
        <v>9.0288463691953211</v>
      </c>
      <c r="F91" s="15" t="s">
        <v>52</v>
      </c>
      <c r="G91" s="14">
        <v>18</v>
      </c>
      <c r="H91" s="14">
        <f t="shared" si="26"/>
        <v>0.60000000000000142</v>
      </c>
      <c r="I91" s="14">
        <f t="shared" si="27"/>
        <v>3.8019249965042432</v>
      </c>
      <c r="J91" s="14">
        <v>2</v>
      </c>
      <c r="K91" s="14">
        <v>5750</v>
      </c>
      <c r="L91" s="14">
        <v>9.0288463691953762</v>
      </c>
      <c r="M91" s="14">
        <f t="shared" si="19"/>
        <v>20.197529327890056</v>
      </c>
      <c r="N91" s="14">
        <f t="shared" si="28"/>
        <v>-0.785117075582205</v>
      </c>
      <c r="O91" s="14">
        <f>IF(J91=1,'[1]Gearing '!$C$17*'Duty Cycle '!N91,IF(J91=2,'[1]Gearing '!$C$18*'Duty Cycle '!N91,IF(J91=3,'[1]Gearing '!$C$19*'Duty Cycle '!N91)))</f>
        <v>-474.78647905543221</v>
      </c>
      <c r="P91" s="14">
        <f>IF(F91='Track '!$B$60,'Track '!$F$53,IF(F91='Track '!$B$61,'Track '!$F$54,IF(F91='Track '!$B$62,'Track '!$F$55)))</f>
        <v>0.06</v>
      </c>
      <c r="Q91" s="14">
        <f>P91*'Vehicle '!$F$40*9.81</f>
        <v>382.17797999999999</v>
      </c>
      <c r="R91" s="14">
        <f>0.5*'Vehicle '!$F$53*'Vehicle '!$F$25*'Track '!$F$57*'Duty Cycle '!L91^2</f>
        <v>31.15088791433077</v>
      </c>
      <c r="S91" s="14">
        <f>'Vehicle '!$F$40*9.81*SIN(RADIANS('Duty Cycle '!I91))</f>
        <v>422.35395621112218</v>
      </c>
      <c r="T91" s="18">
        <f t="shared" si="20"/>
        <v>835.68282412545295</v>
      </c>
      <c r="U91" s="14">
        <f t="shared" si="29"/>
        <v>7.5452518324040341</v>
      </c>
      <c r="V91" s="14">
        <f>'Vehicle '!$F$9-'Duty Cycle '!U91</f>
        <v>5.8775669595422748</v>
      </c>
      <c r="W91" s="14">
        <f t="shared" si="21"/>
        <v>7.5452518324040341</v>
      </c>
      <c r="X91" s="16">
        <f t="shared" si="30"/>
        <v>12.530756097394256</v>
      </c>
      <c r="Y91" s="16">
        <f t="shared" si="22"/>
        <v>13</v>
      </c>
      <c r="Z91" s="14">
        <f t="shared" si="17"/>
        <v>746052.82106942381</v>
      </c>
      <c r="AA91" s="14">
        <f t="shared" si="31"/>
        <v>19557141.653264768</v>
      </c>
      <c r="AB91" s="14">
        <f>'BSFC '!$X$14</f>
        <v>306.74480096579998</v>
      </c>
      <c r="AC91" s="14">
        <f t="shared" si="18"/>
        <v>0.64290743654655924</v>
      </c>
      <c r="AD91" s="14">
        <f t="shared" si="32"/>
        <v>34.707101448898378</v>
      </c>
      <c r="AE91" s="14">
        <f t="shared" si="33"/>
        <v>1.986583978928868</v>
      </c>
      <c r="AF91" s="14">
        <f>0.5*'Vehicle '!$F$40*'Duty Cycle '!L91^2/1000</f>
        <v>26.465489673157581</v>
      </c>
      <c r="AG91" s="14">
        <f t="shared" si="23"/>
        <v>746079.286559097</v>
      </c>
    </row>
    <row r="92" spans="2:33" ht="30" customHeight="1" x14ac:dyDescent="0.25">
      <c r="B92" s="13">
        <f t="shared" si="24"/>
        <v>89</v>
      </c>
      <c r="C92" s="14" t="s">
        <v>67</v>
      </c>
      <c r="D92" s="14">
        <f>SUM($L$3:L92)</f>
        <v>901.38267381842331</v>
      </c>
      <c r="E92" s="14">
        <f t="shared" si="25"/>
        <v>8.6362878314042746</v>
      </c>
      <c r="F92" s="15" t="s">
        <v>52</v>
      </c>
      <c r="G92" s="14">
        <v>18.600000000000001</v>
      </c>
      <c r="H92" s="14">
        <f t="shared" si="26"/>
        <v>0.60000000000000142</v>
      </c>
      <c r="I92" s="14">
        <f t="shared" si="27"/>
        <v>3.9741979835003676</v>
      </c>
      <c r="J92" s="14">
        <v>2</v>
      </c>
      <c r="K92" s="14">
        <v>5500</v>
      </c>
      <c r="L92" s="14">
        <v>8.6362878314042693</v>
      </c>
      <c r="M92" s="14">
        <f t="shared" si="19"/>
        <v>19.31937587885135</v>
      </c>
      <c r="N92" s="14">
        <f t="shared" si="28"/>
        <v>-0.39255853779110694</v>
      </c>
      <c r="O92" s="14">
        <f>IF(J92=1,'[1]Gearing '!$C$17*'Duty Cycle '!N92,IF(J92=2,'[1]Gearing '!$C$18*'Duty Cycle '!N92,IF(J92=3,'[1]Gearing '!$C$19*'Duty Cycle '!N92)))</f>
        <v>-237.39323952771878</v>
      </c>
      <c r="P92" s="14">
        <f>IF(F92='Track '!$B$60,'Track '!$F$53,IF(F92='Track '!$B$61,'Track '!$F$54,IF(F92='Track '!$B$62,'Track '!$F$55)))</f>
        <v>0.06</v>
      </c>
      <c r="Q92" s="14">
        <f>P92*'Vehicle '!$F$40*9.81</f>
        <v>382.17797999999999</v>
      </c>
      <c r="R92" s="14">
        <f>0.5*'Vehicle '!$F$53*'Vehicle '!$F$25*'Track '!$F$57*'Duty Cycle '!L92^2</f>
        <v>28.501001418782764</v>
      </c>
      <c r="S92" s="14">
        <f>'Vehicle '!$F$40*9.81*SIN(RADIANS('Duty Cycle '!I92))</f>
        <v>441.4616418066683</v>
      </c>
      <c r="T92" s="18">
        <f t="shared" si="20"/>
        <v>852.14062322545101</v>
      </c>
      <c r="U92" s="14">
        <f t="shared" si="29"/>
        <v>7.3593316950072127</v>
      </c>
      <c r="V92" s="14">
        <f>'Vehicle '!$F$9-'Duty Cycle '!U92</f>
        <v>6.0634870969390962</v>
      </c>
      <c r="W92" s="14">
        <f t="shared" si="21"/>
        <v>7.3593316950072127</v>
      </c>
      <c r="X92" s="16">
        <f t="shared" si="30"/>
        <v>12.777534732144598</v>
      </c>
      <c r="Y92" s="16">
        <f t="shared" si="22"/>
        <v>13</v>
      </c>
      <c r="Z92" s="14">
        <f t="shared" si="17"/>
        <v>768104.79343225469</v>
      </c>
      <c r="AA92" s="14">
        <f t="shared" si="31"/>
        <v>20325246.446697023</v>
      </c>
      <c r="AB92" s="14">
        <f>'BSFC '!$X$14</f>
        <v>306.74480096579998</v>
      </c>
      <c r="AC92" s="14">
        <f t="shared" si="18"/>
        <v>0.62706576000730307</v>
      </c>
      <c r="AD92" s="14">
        <f t="shared" si="32"/>
        <v>35.334167208905683</v>
      </c>
      <c r="AE92" s="14">
        <f t="shared" si="33"/>
        <v>1.9376331984225663</v>
      </c>
      <c r="AF92" s="14">
        <f>0.5*'Vehicle '!$F$40*'Duty Cycle '!L92^2/1000</f>
        <v>24.214172026102574</v>
      </c>
      <c r="AG92" s="14">
        <f t="shared" si="23"/>
        <v>768129.00760428084</v>
      </c>
    </row>
    <row r="93" spans="2:33" ht="30" customHeight="1" x14ac:dyDescent="0.25">
      <c r="B93" s="13">
        <f t="shared" si="24"/>
        <v>90</v>
      </c>
      <c r="C93" s="14" t="s">
        <v>67</v>
      </c>
      <c r="D93" s="14">
        <f>SUM($L$3:L93)</f>
        <v>909.62640311203643</v>
      </c>
      <c r="E93" s="14">
        <f t="shared" si="25"/>
        <v>8.2437292936131144</v>
      </c>
      <c r="F93" s="15" t="s">
        <v>52</v>
      </c>
      <c r="G93" s="14">
        <v>19.2</v>
      </c>
      <c r="H93" s="14">
        <f t="shared" si="26"/>
        <v>0.59999999999999787</v>
      </c>
      <c r="I93" s="14">
        <f t="shared" si="27"/>
        <v>4.162795264150069</v>
      </c>
      <c r="J93" s="14">
        <v>2</v>
      </c>
      <c r="K93" s="14">
        <v>5250</v>
      </c>
      <c r="L93" s="14">
        <v>8.2437292936131676</v>
      </c>
      <c r="M93" s="14">
        <f t="shared" si="19"/>
        <v>18.441222429812658</v>
      </c>
      <c r="N93" s="14">
        <f t="shared" si="28"/>
        <v>-0.39255853779110161</v>
      </c>
      <c r="O93" s="14">
        <f>IF(J93=1,'[1]Gearing '!$C$17*'Duty Cycle '!N93,IF(J93=2,'[1]Gearing '!$C$18*'Duty Cycle '!N93,IF(J93=3,'[1]Gearing '!$C$19*'Duty Cycle '!N93)))</f>
        <v>-237.39323952771556</v>
      </c>
      <c r="P93" s="14">
        <f>IF(F93='Track '!$B$60,'Track '!$F$53,IF(F93='Track '!$B$61,'Track '!$F$54,IF(F93='Track '!$B$62,'Track '!$F$55)))</f>
        <v>0.06</v>
      </c>
      <c r="Q93" s="14">
        <f>P93*'Vehicle '!$F$40*9.81</f>
        <v>382.17797999999999</v>
      </c>
      <c r="R93" s="14">
        <f>0.5*'Vehicle '!$F$53*'Vehicle '!$F$25*'Track '!$F$57*'Duty Cycle '!L93^2</f>
        <v>25.968887656370253</v>
      </c>
      <c r="S93" s="14">
        <f>'Vehicle '!$F$40*9.81*SIN(RADIANS('Duty Cycle '!I93))</f>
        <v>462.37535657043196</v>
      </c>
      <c r="T93" s="18">
        <f t="shared" si="20"/>
        <v>870.52222422680222</v>
      </c>
      <c r="U93" s="14">
        <f t="shared" si="29"/>
        <v>7.17634956059978</v>
      </c>
      <c r="V93" s="14">
        <f>'Vehicle '!$F$9-'Duty Cycle '!U93</f>
        <v>6.2464692313465289</v>
      </c>
      <c r="W93" s="14">
        <f t="shared" si="21"/>
        <v>7.17634956059978</v>
      </c>
      <c r="X93" s="16">
        <f t="shared" si="30"/>
        <v>13.053160067712071</v>
      </c>
      <c r="Y93" s="16">
        <f t="shared" si="22"/>
        <v>14</v>
      </c>
      <c r="Z93" s="14">
        <f t="shared" si="17"/>
        <v>791849.99965251575</v>
      </c>
      <c r="AA93" s="14">
        <f t="shared" si="31"/>
        <v>21117096.446349539</v>
      </c>
      <c r="AB93" s="14">
        <f>'BSFC '!$X$14</f>
        <v>306.74480096579998</v>
      </c>
      <c r="AC93" s="14">
        <f t="shared" si="18"/>
        <v>0.61147442156310716</v>
      </c>
      <c r="AD93" s="14">
        <f t="shared" si="32"/>
        <v>35.945641630468792</v>
      </c>
      <c r="AE93" s="14">
        <f t="shared" si="33"/>
        <v>1.8894559626300012</v>
      </c>
      <c r="AF93" s="14">
        <f>0.5*'Vehicle '!$F$40*'Duty Cycle '!L93^2/1000</f>
        <v>22.062912941138922</v>
      </c>
      <c r="AG93" s="14">
        <f t="shared" si="23"/>
        <v>791872.06256545684</v>
      </c>
    </row>
    <row r="94" spans="2:33" ht="30" customHeight="1" x14ac:dyDescent="0.25">
      <c r="B94" s="13">
        <f t="shared" si="24"/>
        <v>91</v>
      </c>
      <c r="C94" s="14" t="s">
        <v>67</v>
      </c>
      <c r="D94" s="14">
        <f>SUM($L$3:L94)</f>
        <v>917.87013240564954</v>
      </c>
      <c r="E94" s="14">
        <f t="shared" si="25"/>
        <v>8.2437292936131144</v>
      </c>
      <c r="F94" s="15" t="s">
        <v>52</v>
      </c>
      <c r="G94" s="14">
        <v>19.5</v>
      </c>
      <c r="H94" s="14">
        <f t="shared" si="26"/>
        <v>0.30000000000000071</v>
      </c>
      <c r="I94" s="14">
        <f t="shared" si="27"/>
        <v>2.0841480152623637</v>
      </c>
      <c r="J94" s="14">
        <v>2</v>
      </c>
      <c r="K94" s="14">
        <v>5250</v>
      </c>
      <c r="L94" s="14">
        <v>8.2437292936131676</v>
      </c>
      <c r="M94" s="14">
        <f t="shared" si="19"/>
        <v>18.441222429812658</v>
      </c>
      <c r="N94" s="14">
        <f t="shared" si="28"/>
        <v>0</v>
      </c>
      <c r="O94" s="14">
        <f>IF(J94=1,'[1]Gearing '!$C$17*'Duty Cycle '!N94,IF(J94=2,'[1]Gearing '!$C$18*'Duty Cycle '!N94,IF(J94=3,'[1]Gearing '!$C$19*'Duty Cycle '!N94)))</f>
        <v>0</v>
      </c>
      <c r="P94" s="14">
        <f>IF(F94='Track '!$B$60,'Track '!$F$53,IF(F94='Track '!$B$61,'Track '!$F$54,IF(F94='Track '!$B$62,'Track '!$F$55)))</f>
        <v>0.06</v>
      </c>
      <c r="Q94" s="14">
        <f>P94*'Vehicle '!$F$40*9.81</f>
        <v>382.17797999999999</v>
      </c>
      <c r="R94" s="14">
        <f>0.5*'Vehicle '!$F$53*'Vehicle '!$F$25*'Track '!$F$57*'Duty Cycle '!L94^2</f>
        <v>25.968887656370253</v>
      </c>
      <c r="S94" s="14">
        <f>'Vehicle '!$F$40*9.81*SIN(RADIANS('Duty Cycle '!I94))</f>
        <v>231.64586879546172</v>
      </c>
      <c r="T94" s="18">
        <f t="shared" si="20"/>
        <v>639.79273645183196</v>
      </c>
      <c r="U94" s="14">
        <f t="shared" si="29"/>
        <v>5.2742781233288962</v>
      </c>
      <c r="V94" s="14">
        <f>'Vehicle '!$F$9-'Duty Cycle '!U94</f>
        <v>8.1485406686174127</v>
      </c>
      <c r="W94" s="14">
        <f t="shared" si="21"/>
        <v>5.2742781233288962</v>
      </c>
      <c r="X94" s="16">
        <f t="shared" si="30"/>
        <v>9.593456395077018</v>
      </c>
      <c r="Y94" s="16">
        <f t="shared" si="22"/>
        <v>10</v>
      </c>
      <c r="Z94" s="14">
        <f t="shared" si="17"/>
        <v>587246.64371921588</v>
      </c>
      <c r="AA94" s="14">
        <f t="shared" si="31"/>
        <v>21704343.090068754</v>
      </c>
      <c r="AB94" s="14">
        <f>'BSFC '!$X$14</f>
        <v>306.74480096579998</v>
      </c>
      <c r="AC94" s="14">
        <f t="shared" si="18"/>
        <v>0.44940483143855425</v>
      </c>
      <c r="AD94" s="14">
        <f t="shared" si="32"/>
        <v>36.395046461907349</v>
      </c>
      <c r="AE94" s="14">
        <f t="shared" si="33"/>
        <v>1.3886609291451326</v>
      </c>
      <c r="AF94" s="14">
        <f>0.5*'Vehicle '!$F$40*'Duty Cycle '!L94^2/1000</f>
        <v>22.062912941138922</v>
      </c>
      <c r="AG94" s="14">
        <f t="shared" si="23"/>
        <v>587268.70663215697</v>
      </c>
    </row>
    <row r="95" spans="2:33" ht="30" customHeight="1" x14ac:dyDescent="0.25">
      <c r="B95" s="13">
        <f t="shared" si="24"/>
        <v>92</v>
      </c>
      <c r="C95" s="14" t="s">
        <v>67</v>
      </c>
      <c r="D95" s="14">
        <f>SUM($L$3:L95)</f>
        <v>926.11386169926266</v>
      </c>
      <c r="E95" s="14">
        <f t="shared" si="25"/>
        <v>8.2437292936131144</v>
      </c>
      <c r="F95" s="15" t="s">
        <v>52</v>
      </c>
      <c r="G95" s="14">
        <v>19.8</v>
      </c>
      <c r="H95" s="14">
        <f t="shared" si="26"/>
        <v>0.30000000000000071</v>
      </c>
      <c r="I95" s="14">
        <f t="shared" si="27"/>
        <v>2.0841480152623637</v>
      </c>
      <c r="J95" s="14">
        <v>2</v>
      </c>
      <c r="K95" s="14">
        <v>5250</v>
      </c>
      <c r="L95" s="14">
        <v>8.2437292936131676</v>
      </c>
      <c r="M95" s="14">
        <f t="shared" si="19"/>
        <v>18.441222429812658</v>
      </c>
      <c r="N95" s="14">
        <f t="shared" si="28"/>
        <v>0</v>
      </c>
      <c r="O95" s="14">
        <f>IF(J95=1,'[1]Gearing '!$C$17*'Duty Cycle '!N95,IF(J95=2,'[1]Gearing '!$C$18*'Duty Cycle '!N95,IF(J95=3,'[1]Gearing '!$C$19*'Duty Cycle '!N95)))</f>
        <v>0</v>
      </c>
      <c r="P95" s="14">
        <f>IF(F95='Track '!$B$60,'Track '!$F$53,IF(F95='Track '!$B$61,'Track '!$F$54,IF(F95='Track '!$B$62,'Track '!$F$55)))</f>
        <v>0.06</v>
      </c>
      <c r="Q95" s="14">
        <f>P95*'Vehicle '!$F$40*9.81</f>
        <v>382.17797999999999</v>
      </c>
      <c r="R95" s="14">
        <f>0.5*'Vehicle '!$F$53*'Vehicle '!$F$25*'Track '!$F$57*'Duty Cycle '!L95^2</f>
        <v>25.968887656370253</v>
      </c>
      <c r="S95" s="14">
        <f>'Vehicle '!$F$40*9.81*SIN(RADIANS('Duty Cycle '!I95))</f>
        <v>231.64586879546172</v>
      </c>
      <c r="T95" s="18">
        <f t="shared" si="20"/>
        <v>639.79273645183196</v>
      </c>
      <c r="U95" s="14">
        <f t="shared" si="29"/>
        <v>5.2742781233288962</v>
      </c>
      <c r="V95" s="14">
        <f>'Vehicle '!$F$9-'Duty Cycle '!U95</f>
        <v>8.1485406686174127</v>
      </c>
      <c r="W95" s="14">
        <f t="shared" si="21"/>
        <v>5.2742781233288962</v>
      </c>
      <c r="X95" s="16">
        <f t="shared" si="30"/>
        <v>9.593456395077018</v>
      </c>
      <c r="Y95" s="16">
        <f t="shared" si="22"/>
        <v>10</v>
      </c>
      <c r="Z95" s="14">
        <f t="shared" si="17"/>
        <v>592520.92184254469</v>
      </c>
      <c r="AA95" s="14">
        <f t="shared" si="31"/>
        <v>22296864.011911299</v>
      </c>
      <c r="AB95" s="14">
        <f>'BSFC '!$X$14</f>
        <v>306.74480096579998</v>
      </c>
      <c r="AC95" s="14">
        <f t="shared" si="18"/>
        <v>0.44940483143855425</v>
      </c>
      <c r="AD95" s="14">
        <f t="shared" si="32"/>
        <v>36.844451293345905</v>
      </c>
      <c r="AE95" s="14">
        <f t="shared" si="33"/>
        <v>1.3886609291451326</v>
      </c>
      <c r="AF95" s="14">
        <f>0.5*'Vehicle '!$F$40*'Duty Cycle '!L95^2/1000</f>
        <v>22.062912941138922</v>
      </c>
      <c r="AG95" s="14">
        <f t="shared" si="23"/>
        <v>592542.98475548578</v>
      </c>
    </row>
    <row r="96" spans="2:33" ht="30" customHeight="1" x14ac:dyDescent="0.25">
      <c r="B96" s="13">
        <f t="shared" si="24"/>
        <v>93</v>
      </c>
      <c r="C96" s="14" t="s">
        <v>67</v>
      </c>
      <c r="D96" s="14">
        <f>SUM($L$3:L96)</f>
        <v>934.35759099287577</v>
      </c>
      <c r="E96" s="14">
        <f t="shared" si="25"/>
        <v>8.2437292936131144</v>
      </c>
      <c r="F96" s="15" t="s">
        <v>52</v>
      </c>
      <c r="G96" s="14">
        <v>20</v>
      </c>
      <c r="H96" s="14">
        <f t="shared" si="26"/>
        <v>0.19999999999999929</v>
      </c>
      <c r="I96" s="14">
        <f t="shared" si="27"/>
        <v>1.3897725218444077</v>
      </c>
      <c r="J96" s="14">
        <v>2</v>
      </c>
      <c r="K96" s="14">
        <v>5250</v>
      </c>
      <c r="L96" s="14">
        <v>8.2437292936131676</v>
      </c>
      <c r="M96" s="14">
        <f t="shared" si="19"/>
        <v>18.441222429812658</v>
      </c>
      <c r="N96" s="14">
        <f t="shared" si="28"/>
        <v>0</v>
      </c>
      <c r="O96" s="14">
        <f>IF(J96=1,'[1]Gearing '!$C$17*'Duty Cycle '!N96,IF(J96=2,'[1]Gearing '!$C$18*'Duty Cycle '!N96,IF(J96=3,'[1]Gearing '!$C$19*'Duty Cycle '!N96)))</f>
        <v>0</v>
      </c>
      <c r="P96" s="14">
        <f>IF(F96='Track '!$B$60,'Track '!$F$53,IF(F96='Track '!$B$61,'Track '!$F$54,IF(F96='Track '!$B$62,'Track '!$F$55)))</f>
        <v>0.06</v>
      </c>
      <c r="Q96" s="14">
        <f>P96*'Vehicle '!$F$40*9.81</f>
        <v>382.17797999999999</v>
      </c>
      <c r="R96" s="14">
        <f>0.5*'Vehicle '!$F$53*'Vehicle '!$F$25*'Track '!$F$57*'Duty Cycle '!L96^2</f>
        <v>25.968887656370253</v>
      </c>
      <c r="S96" s="14">
        <f>'Vehicle '!$F$40*9.81*SIN(RADIANS('Duty Cycle '!I96))</f>
        <v>154.48734548628218</v>
      </c>
      <c r="T96" s="18">
        <f t="shared" si="20"/>
        <v>562.63421314265247</v>
      </c>
      <c r="U96" s="14">
        <f t="shared" si="29"/>
        <v>4.6382041444730788</v>
      </c>
      <c r="V96" s="14">
        <f>'Vehicle '!$F$9-'Duty Cycle '!U96</f>
        <v>8.7846146474732301</v>
      </c>
      <c r="W96" s="14">
        <f t="shared" si="21"/>
        <v>4.6382041444730788</v>
      </c>
      <c r="X96" s="16">
        <f t="shared" si="30"/>
        <v>8.4364927618537831</v>
      </c>
      <c r="Y96" s="16">
        <f t="shared" si="22"/>
        <v>9</v>
      </c>
      <c r="Z96" s="14">
        <f t="shared" si="17"/>
        <v>525701.54800214095</v>
      </c>
      <c r="AA96" s="14">
        <f t="shared" si="31"/>
        <v>22822565.559913442</v>
      </c>
      <c r="AB96" s="14">
        <f>'BSFC '!$X$14</f>
        <v>306.74480096579998</v>
      </c>
      <c r="AC96" s="14">
        <f t="shared" si="18"/>
        <v>0.39520694642642867</v>
      </c>
      <c r="AD96" s="14">
        <f t="shared" si="32"/>
        <v>37.239658239772332</v>
      </c>
      <c r="AE96" s="14">
        <f t="shared" si="33"/>
        <v>1.2211894644576646</v>
      </c>
      <c r="AF96" s="14">
        <f>0.5*'Vehicle '!$F$40*'Duty Cycle '!L96^2/1000</f>
        <v>22.062912941138922</v>
      </c>
      <c r="AG96" s="14">
        <f t="shared" si="23"/>
        <v>525723.61091508204</v>
      </c>
    </row>
    <row r="97" spans="2:33" ht="30" customHeight="1" x14ac:dyDescent="0.25">
      <c r="B97" s="13">
        <f t="shared" si="24"/>
        <v>94</v>
      </c>
      <c r="C97" s="14" t="s">
        <v>67</v>
      </c>
      <c r="D97" s="14">
        <f>SUM($L$3:L97)</f>
        <v>942.60132028648889</v>
      </c>
      <c r="E97" s="14">
        <f t="shared" si="25"/>
        <v>8.2437292936131144</v>
      </c>
      <c r="F97" s="15" t="s">
        <v>52</v>
      </c>
      <c r="G97" s="14">
        <v>20</v>
      </c>
      <c r="H97" s="14">
        <f t="shared" si="26"/>
        <v>0</v>
      </c>
      <c r="I97" s="14">
        <f t="shared" si="27"/>
        <v>0</v>
      </c>
      <c r="J97" s="14">
        <v>2</v>
      </c>
      <c r="K97" s="14">
        <v>5250</v>
      </c>
      <c r="L97" s="14">
        <v>8.2437292936131676</v>
      </c>
      <c r="M97" s="14">
        <f t="shared" si="19"/>
        <v>18.441222429812658</v>
      </c>
      <c r="N97" s="14">
        <f t="shared" si="28"/>
        <v>0</v>
      </c>
      <c r="O97" s="14">
        <f>IF(J97=1,'[1]Gearing '!$C$17*'Duty Cycle '!N97,IF(J97=2,'[1]Gearing '!$C$18*'Duty Cycle '!N97,IF(J97=3,'[1]Gearing '!$C$19*'Duty Cycle '!N97)))</f>
        <v>0</v>
      </c>
      <c r="P97" s="14">
        <f>IF(F97='Track '!$B$60,'Track '!$F$53,IF(F97='Track '!$B$61,'Track '!$F$54,IF(F97='Track '!$B$62,'Track '!$F$55)))</f>
        <v>0.06</v>
      </c>
      <c r="Q97" s="14">
        <f>P97*'Vehicle '!$F$40*9.81</f>
        <v>382.17797999999999</v>
      </c>
      <c r="R97" s="14">
        <f>0.5*'Vehicle '!$F$53*'Vehicle '!$F$25*'Track '!$F$57*'Duty Cycle '!L97^2</f>
        <v>25.968887656370253</v>
      </c>
      <c r="S97" s="14">
        <f>'Vehicle '!$F$40*9.81*SIN(RADIANS('Duty Cycle '!I97))</f>
        <v>0</v>
      </c>
      <c r="T97" s="18">
        <f t="shared" si="20"/>
        <v>408.14686765637026</v>
      </c>
      <c r="U97" s="14">
        <f t="shared" si="29"/>
        <v>3.3646522889952761</v>
      </c>
      <c r="V97" s="14">
        <f>'Vehicle '!$F$9-'Duty Cycle '!U97</f>
        <v>10.058166502951032</v>
      </c>
      <c r="W97" s="14">
        <f t="shared" si="21"/>
        <v>3.3646522889952761</v>
      </c>
      <c r="X97" s="16">
        <f t="shared" si="30"/>
        <v>6.1200119266178126</v>
      </c>
      <c r="Y97" s="16">
        <f t="shared" si="22"/>
        <v>7</v>
      </c>
      <c r="Z97" s="14">
        <f t="shared" si="17"/>
        <v>384719.77632368944</v>
      </c>
      <c r="AA97" s="14">
        <f t="shared" si="31"/>
        <v>23207285.336237133</v>
      </c>
      <c r="AB97" s="14">
        <f>'BSFC '!$X$14</f>
        <v>306.74480096579998</v>
      </c>
      <c r="AC97" s="14">
        <f t="shared" si="18"/>
        <v>0.28669155464082763</v>
      </c>
      <c r="AD97" s="14">
        <f t="shared" si="32"/>
        <v>37.526349794413157</v>
      </c>
      <c r="AE97" s="14">
        <f t="shared" si="33"/>
        <v>0.88587690384015738</v>
      </c>
      <c r="AF97" s="14">
        <f>0.5*'Vehicle '!$F$40*'Duty Cycle '!L97^2/1000</f>
        <v>22.062912941138922</v>
      </c>
      <c r="AG97" s="14">
        <f t="shared" si="23"/>
        <v>384741.83923663059</v>
      </c>
    </row>
    <row r="98" spans="2:33" ht="30" customHeight="1" x14ac:dyDescent="0.25">
      <c r="B98" s="13">
        <f t="shared" si="24"/>
        <v>95</v>
      </c>
      <c r="C98" s="14" t="s">
        <v>81</v>
      </c>
      <c r="D98" s="14">
        <f>SUM($L$3:L98)</f>
        <v>951.63016665568421</v>
      </c>
      <c r="E98" s="14">
        <f t="shared" si="25"/>
        <v>9.0288463691953211</v>
      </c>
      <c r="F98" s="15" t="s">
        <v>54</v>
      </c>
      <c r="G98" s="14">
        <v>20</v>
      </c>
      <c r="H98" s="14">
        <f t="shared" si="26"/>
        <v>0</v>
      </c>
      <c r="I98" s="14">
        <f t="shared" si="27"/>
        <v>0</v>
      </c>
      <c r="J98" s="14">
        <v>2</v>
      </c>
      <c r="K98" s="14">
        <v>5750</v>
      </c>
      <c r="L98" s="14">
        <v>9.0288463691953762</v>
      </c>
      <c r="M98" s="14">
        <f t="shared" si="19"/>
        <v>20.197529327890056</v>
      </c>
      <c r="N98" s="14">
        <f t="shared" si="28"/>
        <v>0.78511707558220856</v>
      </c>
      <c r="O98" s="14">
        <f>IF(J98=1,'[1]Gearing '!$C$17*'Duty Cycle '!N98,IF(J98=2,'[1]Gearing '!$C$18*'Duty Cycle '!N98,IF(J98=3,'[1]Gearing '!$C$19*'Duty Cycle '!N98)))</f>
        <v>474.78647905543431</v>
      </c>
      <c r="P98" s="14">
        <f>IF(F98='Track '!$B$60,'Track '!$F$53,IF(F98='Track '!$B$61,'Track '!$F$54,IF(F98='Track '!$B$62,'Track '!$F$55)))</f>
        <v>0.02</v>
      </c>
      <c r="Q98" s="14">
        <f>P98*'Vehicle '!$F$40*9.81</f>
        <v>127.39265999999999</v>
      </c>
      <c r="R98" s="14">
        <f>0.5*'Vehicle '!$F$53*'Vehicle '!$F$25*'Track '!$F$57*'Duty Cycle '!L98^2</f>
        <v>31.15088791433077</v>
      </c>
      <c r="S98" s="14">
        <f>'Vehicle '!$F$40*9.81*SIN(RADIANS('Duty Cycle '!I98))</f>
        <v>0</v>
      </c>
      <c r="T98" s="18">
        <f t="shared" si="20"/>
        <v>158.54354791433076</v>
      </c>
      <c r="U98" s="14">
        <f t="shared" si="29"/>
        <v>1.4314653369456585</v>
      </c>
      <c r="V98" s="14">
        <f>'Vehicle '!$F$9-'Duty Cycle '!U98</f>
        <v>11.991353455000651</v>
      </c>
      <c r="W98" s="14">
        <f t="shared" si="21"/>
        <v>1.4314653369456585</v>
      </c>
      <c r="X98" s="16">
        <f t="shared" si="30"/>
        <v>2.3773020964132909</v>
      </c>
      <c r="Y98" s="16">
        <f t="shared" si="22"/>
        <v>3</v>
      </c>
      <c r="Z98" s="14">
        <f t="shared" si="17"/>
        <v>150874.82292389803</v>
      </c>
      <c r="AA98" s="14">
        <f t="shared" si="31"/>
        <v>23358160.159161031</v>
      </c>
      <c r="AB98" s="14">
        <f>'BSFC '!$X$14</f>
        <v>306.74480096579998</v>
      </c>
      <c r="AC98" s="14">
        <f t="shared" si="18"/>
        <v>0.12197070829745495</v>
      </c>
      <c r="AD98" s="14">
        <f t="shared" si="32"/>
        <v>37.648320502710611</v>
      </c>
      <c r="AE98" s="14">
        <f t="shared" si="33"/>
        <v>0.37688948863913579</v>
      </c>
      <c r="AF98" s="14">
        <f>0.5*'Vehicle '!$F$40*'Duty Cycle '!L98^2/1000</f>
        <v>26.465489673157581</v>
      </c>
      <c r="AG98" s="14">
        <f t="shared" si="23"/>
        <v>150901.28841357119</v>
      </c>
    </row>
    <row r="99" spans="2:33" ht="30" customHeight="1" x14ac:dyDescent="0.25">
      <c r="B99" s="13">
        <f t="shared" si="24"/>
        <v>96</v>
      </c>
      <c r="C99" s="14" t="s">
        <v>81</v>
      </c>
      <c r="D99" s="14">
        <f>SUM($L$3:L99)</f>
        <v>961.83668863825289</v>
      </c>
      <c r="E99" s="14">
        <f t="shared" si="25"/>
        <v>10.206521982568688</v>
      </c>
      <c r="F99" s="15" t="s">
        <v>54</v>
      </c>
      <c r="G99" s="14">
        <v>20</v>
      </c>
      <c r="H99" s="14">
        <f t="shared" si="26"/>
        <v>0</v>
      </c>
      <c r="I99" s="14">
        <f t="shared" si="27"/>
        <v>0</v>
      </c>
      <c r="J99" s="14">
        <v>2</v>
      </c>
      <c r="K99" s="14">
        <v>6500</v>
      </c>
      <c r="L99" s="14">
        <v>10.206521982568686</v>
      </c>
      <c r="M99" s="14">
        <f t="shared" si="19"/>
        <v>22.831989675006152</v>
      </c>
      <c r="N99" s="14">
        <f t="shared" si="28"/>
        <v>1.1776756133733102</v>
      </c>
      <c r="O99" s="14">
        <f>IF(J99=1,'[1]Gearing '!$C$17*'Duty Cycle '!N99,IF(J99=2,'[1]Gearing '!$C$18*'Duty Cycle '!N99,IF(J99=3,'[1]Gearing '!$C$19*'Duty Cycle '!N99)))</f>
        <v>712.17971858314991</v>
      </c>
      <c r="P99" s="14">
        <f>IF(F99='Track '!$B$60,'Track '!$F$53,IF(F99='Track '!$B$61,'Track '!$F$54,IF(F99='Track '!$B$62,'Track '!$F$55)))</f>
        <v>0.02</v>
      </c>
      <c r="Q99" s="14">
        <f>P99*'Vehicle '!$F$40*9.81</f>
        <v>127.39265999999999</v>
      </c>
      <c r="R99" s="14">
        <f>0.5*'Vehicle '!$F$53*'Vehicle '!$F$25*'Track '!$F$57*'Duty Cycle '!L99^2</f>
        <v>39.807183799787531</v>
      </c>
      <c r="S99" s="14">
        <f>'Vehicle '!$F$40*9.81*SIN(RADIANS('Duty Cycle '!I99))</f>
        <v>0</v>
      </c>
      <c r="T99" s="18">
        <f t="shared" si="20"/>
        <v>167.19984379978752</v>
      </c>
      <c r="U99" s="14">
        <f t="shared" si="29"/>
        <v>1.706528881224582</v>
      </c>
      <c r="V99" s="14">
        <f>'Vehicle '!$F$9-'Duty Cycle '!U99</f>
        <v>11.716289910721727</v>
      </c>
      <c r="W99" s="14">
        <f t="shared" si="21"/>
        <v>1.706528881224582</v>
      </c>
      <c r="X99" s="16">
        <f t="shared" si="30"/>
        <v>2.5071000643936077</v>
      </c>
      <c r="Y99" s="16">
        <f t="shared" si="22"/>
        <v>3</v>
      </c>
      <c r="Z99" s="14">
        <f t="shared" si="17"/>
        <v>160818.94410122075</v>
      </c>
      <c r="AA99" s="14">
        <f t="shared" si="31"/>
        <v>23518979.103262253</v>
      </c>
      <c r="AB99" s="14">
        <f>'BSFC '!$X$14</f>
        <v>306.74480096579998</v>
      </c>
      <c r="AC99" s="14">
        <f t="shared" si="18"/>
        <v>0.1454080172260066</v>
      </c>
      <c r="AD99" s="14">
        <f t="shared" si="32"/>
        <v>37.793728519936614</v>
      </c>
      <c r="AE99" s="14">
        <f t="shared" si="33"/>
        <v>0.44931077322836038</v>
      </c>
      <c r="AF99" s="14">
        <f>0.5*'Vehicle '!$F$40*'Duty Cycle '!L99^2/1000</f>
        <v>33.819793986870565</v>
      </c>
      <c r="AG99" s="14">
        <f t="shared" si="23"/>
        <v>160852.76389520764</v>
      </c>
    </row>
    <row r="100" spans="2:33" ht="30" customHeight="1" x14ac:dyDescent="0.25">
      <c r="B100" s="13">
        <f t="shared" si="24"/>
        <v>97</v>
      </c>
      <c r="C100" s="14" t="s">
        <v>81</v>
      </c>
      <c r="D100" s="14">
        <f>SUM($L$3:L100)</f>
        <v>972.58937902122659</v>
      </c>
      <c r="E100" s="14">
        <f t="shared" si="25"/>
        <v>10.752690382973697</v>
      </c>
      <c r="F100" s="15" t="s">
        <v>54</v>
      </c>
      <c r="G100" s="14">
        <v>20</v>
      </c>
      <c r="H100" s="14">
        <f t="shared" si="26"/>
        <v>0</v>
      </c>
      <c r="I100" s="14">
        <f t="shared" si="27"/>
        <v>0</v>
      </c>
      <c r="J100" s="14">
        <v>3</v>
      </c>
      <c r="K100" s="14">
        <v>5250</v>
      </c>
      <c r="L100" s="14">
        <v>10.752690382973697</v>
      </c>
      <c r="M100" s="14">
        <f t="shared" si="19"/>
        <v>24.053768386712161</v>
      </c>
      <c r="N100" s="14">
        <f t="shared" si="28"/>
        <v>0.54616840040501025</v>
      </c>
      <c r="O100" s="14">
        <f>IF(J100=1,'[1]Gearing '!$C$17*'Duty Cycle '!N100,IF(J100=2,'[1]Gearing '!$C$18*'Duty Cycle '!N100,IF(J100=3,'[1]Gearing '!$C$19*'Duty Cycle '!N100)))</f>
        <v>328.89370588341745</v>
      </c>
      <c r="P100" s="14">
        <f>IF(F100='Track '!$B$60,'Track '!$F$53,IF(F100='Track '!$B$61,'Track '!$F$54,IF(F100='Track '!$B$62,'Track '!$F$55)))</f>
        <v>0.02</v>
      </c>
      <c r="Q100" s="14">
        <f>P100*'Vehicle '!$F$40*9.81</f>
        <v>127.39265999999999</v>
      </c>
      <c r="R100" s="14">
        <f>0.5*'Vehicle '!$F$53*'Vehicle '!$F$25*'Track '!$F$57*'Duty Cycle '!L100^2</f>
        <v>44.181472383238614</v>
      </c>
      <c r="S100" s="14">
        <f>'Vehicle '!$F$40*9.81*SIN(RADIANS('Duty Cycle '!I100))</f>
        <v>0</v>
      </c>
      <c r="T100" s="18">
        <f t="shared" si="20"/>
        <v>171.57413238323861</v>
      </c>
      <c r="U100" s="14">
        <f t="shared" si="29"/>
        <v>1.8448835232443057</v>
      </c>
      <c r="V100" s="14">
        <f>'Vehicle '!$F$9-'Duty Cycle '!U100</f>
        <v>11.577935268702003</v>
      </c>
      <c r="W100" s="14">
        <f t="shared" si="21"/>
        <v>1.8448835232443057</v>
      </c>
      <c r="X100" s="16">
        <f t="shared" si="30"/>
        <v>3.3556837960356902</v>
      </c>
      <c r="Y100" s="16">
        <f t="shared" si="22"/>
        <v>4</v>
      </c>
      <c r="Z100" s="14">
        <f t="shared" si="17"/>
        <v>166871.17887071977</v>
      </c>
      <c r="AA100" s="14">
        <f t="shared" si="31"/>
        <v>23685850.282132972</v>
      </c>
      <c r="AB100" s="14">
        <f>'BSFC '!$X$14</f>
        <v>306.74480096579998</v>
      </c>
      <c r="AC100" s="14">
        <f t="shared" si="18"/>
        <v>0.15719678587296068</v>
      </c>
      <c r="AD100" s="14">
        <f t="shared" si="32"/>
        <v>37.950925305809577</v>
      </c>
      <c r="AE100" s="14">
        <f t="shared" si="33"/>
        <v>0.48573806834744848</v>
      </c>
      <c r="AF100" s="14">
        <f>0.5*'Vehicle '!$F$40*'Duty Cycle '!L100^2/1000</f>
        <v>37.536146780765641</v>
      </c>
      <c r="AG100" s="14">
        <f t="shared" si="23"/>
        <v>166908.71501750054</v>
      </c>
    </row>
    <row r="101" spans="2:33" ht="30" customHeight="1" x14ac:dyDescent="0.25">
      <c r="B101" s="13">
        <f t="shared" si="24"/>
        <v>98</v>
      </c>
      <c r="C101" s="14" t="s">
        <v>81</v>
      </c>
      <c r="D101" s="14">
        <f>SUM($L$3:L101)</f>
        <v>984.36613515495969</v>
      </c>
      <c r="E101" s="14">
        <f t="shared" si="25"/>
        <v>11.776756133733102</v>
      </c>
      <c r="F101" s="15" t="s">
        <v>54</v>
      </c>
      <c r="G101" s="14">
        <v>20</v>
      </c>
      <c r="H101" s="14">
        <f t="shared" si="26"/>
        <v>0</v>
      </c>
      <c r="I101" s="14">
        <f t="shared" si="27"/>
        <v>0</v>
      </c>
      <c r="J101" s="14">
        <v>3</v>
      </c>
      <c r="K101" s="14">
        <v>5750</v>
      </c>
      <c r="L101" s="14">
        <v>11.776756133733098</v>
      </c>
      <c r="M101" s="14">
        <f t="shared" si="19"/>
        <v>26.344603471160941</v>
      </c>
      <c r="N101" s="14">
        <f t="shared" si="28"/>
        <v>1.0240657507594015</v>
      </c>
      <c r="O101" s="14">
        <f>IF(J101=1,'[1]Gearing '!$C$17*'Duty Cycle '!N101,IF(J101=2,'[1]Gearing '!$C$18*'Duty Cycle '!N101,IF(J101=3,'[1]Gearing '!$C$19*'Duty Cycle '!N101)))</f>
        <v>616.67569853141219</v>
      </c>
      <c r="P101" s="14">
        <f>IF(F101='Track '!$B$60,'Track '!$F$53,IF(F101='Track '!$B$61,'Track '!$F$54,IF(F101='Track '!$B$62,'Track '!$F$55)))</f>
        <v>0.02</v>
      </c>
      <c r="Q101" s="14">
        <f>P101*'Vehicle '!$F$40*9.81</f>
        <v>127.39265999999999</v>
      </c>
      <c r="R101" s="14">
        <f>0.5*'Vehicle '!$F$53*'Vehicle '!$F$25*'Track '!$F$57*'Duty Cycle '!L101^2</f>
        <v>52.997729910959706</v>
      </c>
      <c r="S101" s="14">
        <f>'Vehicle '!$F$40*9.81*SIN(RADIANS('Duty Cycle '!I101))</f>
        <v>0</v>
      </c>
      <c r="T101" s="18">
        <f t="shared" si="20"/>
        <v>180.3903899109597</v>
      </c>
      <c r="U101" s="14">
        <f t="shared" si="29"/>
        <v>2.1244136308504</v>
      </c>
      <c r="V101" s="14">
        <f>'Vehicle '!$F$9-'Duty Cycle '!U101</f>
        <v>11.298405161095909</v>
      </c>
      <c r="W101" s="14">
        <f t="shared" si="21"/>
        <v>2.1244136308504</v>
      </c>
      <c r="X101" s="16">
        <f t="shared" si="30"/>
        <v>3.528114057617135</v>
      </c>
      <c r="Y101" s="16">
        <f t="shared" si="22"/>
        <v>4</v>
      </c>
      <c r="Z101" s="14">
        <f t="shared" si="17"/>
        <v>177570.19093574764</v>
      </c>
      <c r="AA101" s="14">
        <f t="shared" si="31"/>
        <v>23863420.473068718</v>
      </c>
      <c r="AB101" s="14">
        <f>'BSFC '!$X$14</f>
        <v>306.74480096579998</v>
      </c>
      <c r="AC101" s="14">
        <f t="shared" si="18"/>
        <v>0.181014676767844</v>
      </c>
      <c r="AD101" s="14">
        <f t="shared" si="32"/>
        <v>38.131939982577421</v>
      </c>
      <c r="AE101" s="14">
        <f t="shared" si="33"/>
        <v>0.55933535121263789</v>
      </c>
      <c r="AF101" s="14">
        <f>0.5*'Vehicle '!$F$40*'Duty Cycle '!L101^2/1000</f>
        <v>45.026352941099844</v>
      </c>
      <c r="AG101" s="14">
        <f t="shared" si="23"/>
        <v>177615.21728868873</v>
      </c>
    </row>
    <row r="102" spans="2:33" ht="30" customHeight="1" x14ac:dyDescent="0.25">
      <c r="B102" s="13">
        <f t="shared" si="24"/>
        <v>99</v>
      </c>
      <c r="C102" s="14" t="s">
        <v>81</v>
      </c>
      <c r="D102" s="14">
        <f>SUM($L$3:L102)</f>
        <v>997.1669570394522</v>
      </c>
      <c r="E102" s="14">
        <f t="shared" si="25"/>
        <v>12.800821884492507</v>
      </c>
      <c r="F102" s="15" t="s">
        <v>54</v>
      </c>
      <c r="G102" s="14">
        <v>20</v>
      </c>
      <c r="H102" s="14">
        <f t="shared" si="26"/>
        <v>0</v>
      </c>
      <c r="I102" s="14">
        <f t="shared" si="27"/>
        <v>0</v>
      </c>
      <c r="J102" s="14">
        <v>3</v>
      </c>
      <c r="K102" s="14">
        <v>6250</v>
      </c>
      <c r="L102" s="14">
        <v>12.800821884492496</v>
      </c>
      <c r="M102" s="14">
        <f t="shared" si="19"/>
        <v>28.635438555609714</v>
      </c>
      <c r="N102" s="14">
        <f t="shared" si="28"/>
        <v>1.024065750759398</v>
      </c>
      <c r="O102" s="14">
        <f>IF(J102=1,'[1]Gearing '!$C$17*'Duty Cycle '!N102,IF(J102=2,'[1]Gearing '!$C$18*'Duty Cycle '!N102,IF(J102=3,'[1]Gearing '!$C$19*'Duty Cycle '!N102)))</f>
        <v>616.67569853141003</v>
      </c>
      <c r="P102" s="14">
        <f>IF(F102='Track '!$B$60,'Track '!$F$53,IF(F102='Track '!$B$61,'Track '!$F$54,IF(F102='Track '!$B$62,'Track '!$F$55)))</f>
        <v>0.02</v>
      </c>
      <c r="Q102" s="14">
        <f>P102*'Vehicle '!$F$40*9.81</f>
        <v>127.39265999999999</v>
      </c>
      <c r="R102" s="14">
        <f>0.5*'Vehicle '!$F$53*'Vehicle '!$F$25*'Track '!$F$57*'Duty Cycle '!L102^2</f>
        <v>62.615465395746334</v>
      </c>
      <c r="S102" s="14">
        <f>'Vehicle '!$F$40*9.81*SIN(RADIANS('Duty Cycle '!I102))</f>
        <v>0</v>
      </c>
      <c r="T102" s="18">
        <f t="shared" si="20"/>
        <v>190.00812539574633</v>
      </c>
      <c r="U102" s="14">
        <f t="shared" si="29"/>
        <v>2.4322601697972641</v>
      </c>
      <c r="V102" s="14">
        <f>'Vehicle '!$F$9-'Duty Cycle '!U102</f>
        <v>10.990558622149045</v>
      </c>
      <c r="W102" s="14">
        <f t="shared" si="21"/>
        <v>2.4322601697972641</v>
      </c>
      <c r="X102" s="16">
        <f t="shared" si="30"/>
        <v>3.716219797524166</v>
      </c>
      <c r="Y102" s="16">
        <f t="shared" si="22"/>
        <v>4</v>
      </c>
      <c r="Z102" s="14">
        <f t="shared" si="17"/>
        <v>189469.82421364702</v>
      </c>
      <c r="AA102" s="14">
        <f t="shared" si="31"/>
        <v>24052890.297282364</v>
      </c>
      <c r="AB102" s="14">
        <f>'BSFC '!$X$14</f>
        <v>306.74480096579998</v>
      </c>
      <c r="AC102" s="14">
        <f t="shared" si="18"/>
        <v>0.20724532268930684</v>
      </c>
      <c r="AD102" s="14">
        <f t="shared" si="32"/>
        <v>38.339185305266732</v>
      </c>
      <c r="AE102" s="14">
        <f t="shared" si="33"/>
        <v>0.64038804710995811</v>
      </c>
      <c r="AF102" s="14">
        <f>0.5*'Vehicle '!$F$40*'Duty Cycle '!L102^2/1000</f>
        <v>53.19748693419168</v>
      </c>
      <c r="AG102" s="14">
        <f t="shared" si="23"/>
        <v>189523.02170058122</v>
      </c>
    </row>
    <row r="103" spans="2:33" ht="30" customHeight="1" x14ac:dyDescent="0.25">
      <c r="B103" s="13">
        <f t="shared" si="24"/>
        <v>100</v>
      </c>
      <c r="C103" s="14" t="s">
        <v>81</v>
      </c>
      <c r="D103" s="14">
        <f>SUM($L$3:L103)</f>
        <v>1010.4798117993244</v>
      </c>
      <c r="E103" s="14">
        <f t="shared" si="25"/>
        <v>13.312854759872152</v>
      </c>
      <c r="F103" s="15" t="s">
        <v>54</v>
      </c>
      <c r="G103" s="14">
        <v>20</v>
      </c>
      <c r="H103" s="14">
        <f t="shared" si="26"/>
        <v>0</v>
      </c>
      <c r="I103" s="14">
        <f t="shared" si="27"/>
        <v>0</v>
      </c>
      <c r="J103" s="14">
        <v>3</v>
      </c>
      <c r="K103" s="14">
        <v>6500</v>
      </c>
      <c r="L103" s="14">
        <v>13.312854759872195</v>
      </c>
      <c r="M103" s="14">
        <f t="shared" si="19"/>
        <v>29.780856097834103</v>
      </c>
      <c r="N103" s="14">
        <f t="shared" si="28"/>
        <v>0.51203287537969899</v>
      </c>
      <c r="O103" s="14">
        <f>IF(J103=1,'[1]Gearing '!$C$17*'Duty Cycle '!N103,IF(J103=2,'[1]Gearing '!$C$18*'Duty Cycle '!N103,IF(J103=3,'[1]Gearing '!$C$19*'Duty Cycle '!N103)))</f>
        <v>308.33784926570502</v>
      </c>
      <c r="P103" s="14">
        <f>IF(F103='Track '!$B$60,'Track '!$F$53,IF(F103='Track '!$B$61,'Track '!$F$54,IF(F103='Track '!$B$62,'Track '!$F$55)))</f>
        <v>0.02</v>
      </c>
      <c r="Q103" s="14">
        <f>P103*'Vehicle '!$F$40*9.81</f>
        <v>127.39265999999999</v>
      </c>
      <c r="R103" s="14">
        <f>0.5*'Vehicle '!$F$53*'Vehicle '!$F$25*'Track '!$F$57*'Duty Cycle '!L103^2</f>
        <v>67.724887372039234</v>
      </c>
      <c r="S103" s="14">
        <f>'Vehicle '!$F$40*9.81*SIN(RADIANS('Duty Cycle '!I103))</f>
        <v>0</v>
      </c>
      <c r="T103" s="18">
        <f t="shared" si="20"/>
        <v>195.11754737203921</v>
      </c>
      <c r="U103" s="14">
        <f t="shared" si="29"/>
        <v>2.5975715692664409</v>
      </c>
      <c r="V103" s="14">
        <f>'Vehicle '!$F$9-'Duty Cycle '!U103</f>
        <v>10.825247222679868</v>
      </c>
      <c r="W103" s="14">
        <f t="shared" si="21"/>
        <v>2.5975715692664409</v>
      </c>
      <c r="X103" s="16">
        <f t="shared" si="30"/>
        <v>3.8161509718497753</v>
      </c>
      <c r="Y103" s="16">
        <f t="shared" si="22"/>
        <v>4</v>
      </c>
      <c r="Z103" s="14">
        <f t="shared" si="17"/>
        <v>197162.34254724393</v>
      </c>
      <c r="AA103" s="14">
        <f t="shared" si="31"/>
        <v>24250052.63982961</v>
      </c>
      <c r="AB103" s="14">
        <f>'BSFC '!$X$14</f>
        <v>306.74480096579998</v>
      </c>
      <c r="AC103" s="14">
        <f t="shared" si="18"/>
        <v>0.22133099278029308</v>
      </c>
      <c r="AD103" s="14">
        <f t="shared" si="32"/>
        <v>38.560516298047027</v>
      </c>
      <c r="AE103" s="14">
        <f t="shared" si="33"/>
        <v>0.68391276769110565</v>
      </c>
      <c r="AF103" s="14">
        <f>0.5*'Vehicle '!$F$40*'Duty Cycle '!L103^2/1000</f>
        <v>57.538401868021715</v>
      </c>
      <c r="AG103" s="14">
        <f t="shared" si="23"/>
        <v>197219.88094911195</v>
      </c>
    </row>
    <row r="104" spans="2:33" ht="30" customHeight="1" x14ac:dyDescent="0.25">
      <c r="B104" s="13">
        <f t="shared" si="24"/>
        <v>101</v>
      </c>
      <c r="C104" s="14" t="s">
        <v>66</v>
      </c>
      <c r="D104" s="14">
        <f>SUM($L$3:L104)</f>
        <v>1022.2565679330575</v>
      </c>
      <c r="E104" s="14">
        <f t="shared" si="25"/>
        <v>11.776756133733102</v>
      </c>
      <c r="F104" s="15" t="s">
        <v>54</v>
      </c>
      <c r="G104" s="14">
        <v>20</v>
      </c>
      <c r="H104" s="14">
        <f t="shared" si="26"/>
        <v>0</v>
      </c>
      <c r="I104" s="14">
        <f t="shared" si="27"/>
        <v>0</v>
      </c>
      <c r="J104" s="14">
        <v>3</v>
      </c>
      <c r="K104" s="14">
        <v>5750</v>
      </c>
      <c r="L104" s="14">
        <v>11.776756133733098</v>
      </c>
      <c r="M104" s="14">
        <f t="shared" si="19"/>
        <v>26.344603471160941</v>
      </c>
      <c r="N104" s="14">
        <f t="shared" si="28"/>
        <v>-1.536098626139097</v>
      </c>
      <c r="O104" s="14">
        <f>IF(J104=1,'[1]Gearing '!$C$17*'Duty Cycle '!N104,IF(J104=2,'[1]Gearing '!$C$18*'Duty Cycle '!N104,IF(J104=3,'[1]Gearing '!$C$19*'Duty Cycle '!N104)))</f>
        <v>-925.01354779711505</v>
      </c>
      <c r="P104" s="14">
        <f>IF(F104='Track '!$B$60,'Track '!$F$53,IF(F104='Track '!$B$61,'Track '!$F$54,IF(F104='Track '!$B$62,'Track '!$F$55)))</f>
        <v>0.02</v>
      </c>
      <c r="Q104" s="14">
        <f>P104*'Vehicle '!$F$40*9.81</f>
        <v>127.39265999999999</v>
      </c>
      <c r="R104" s="14">
        <f>0.5*'Vehicle '!$F$53*'Vehicle '!$F$25*'Track '!$F$57*'Duty Cycle '!L104^2</f>
        <v>52.997729910959706</v>
      </c>
      <c r="S104" s="14">
        <f>'Vehicle '!$F$40*9.81*SIN(RADIANS('Duty Cycle '!I104))</f>
        <v>0</v>
      </c>
      <c r="T104" s="18">
        <f t="shared" si="20"/>
        <v>180.3903899109597</v>
      </c>
      <c r="U104" s="14">
        <f t="shared" si="29"/>
        <v>2.1244136308504</v>
      </c>
      <c r="V104" s="14">
        <f>'Vehicle '!$F$9-'Duty Cycle '!U104</f>
        <v>11.298405161095909</v>
      </c>
      <c r="W104" s="14">
        <f t="shared" si="21"/>
        <v>2.1244136308504</v>
      </c>
      <c r="X104" s="16">
        <f t="shared" si="30"/>
        <v>3.528114057617135</v>
      </c>
      <c r="Y104" s="16">
        <f t="shared" si="22"/>
        <v>4</v>
      </c>
      <c r="Z104" s="14">
        <f t="shared" si="17"/>
        <v>184405.26087848371</v>
      </c>
      <c r="AA104" s="14">
        <f t="shared" si="31"/>
        <v>24434457.900708094</v>
      </c>
      <c r="AB104" s="14">
        <f>'BSFC '!$X$14</f>
        <v>306.74480096579998</v>
      </c>
      <c r="AC104" s="14">
        <f t="shared" si="18"/>
        <v>0.181014676767844</v>
      </c>
      <c r="AD104" s="14">
        <f t="shared" si="32"/>
        <v>38.741530974814872</v>
      </c>
      <c r="AE104" s="14">
        <f t="shared" si="33"/>
        <v>0.55933535121263789</v>
      </c>
      <c r="AF104" s="14">
        <f>0.5*'Vehicle '!$F$40*'Duty Cycle '!L104^2/1000</f>
        <v>45.026352941099844</v>
      </c>
      <c r="AG104" s="14">
        <f t="shared" si="23"/>
        <v>184450.28723142479</v>
      </c>
    </row>
    <row r="105" spans="2:33" ht="30" customHeight="1" x14ac:dyDescent="0.25">
      <c r="B105" s="13">
        <f t="shared" si="24"/>
        <v>102</v>
      </c>
      <c r="C105" s="14" t="s">
        <v>66</v>
      </c>
      <c r="D105" s="14">
        <f>SUM($L$3:L105)</f>
        <v>1033.0092583160313</v>
      </c>
      <c r="E105" s="14">
        <f t="shared" si="25"/>
        <v>10.75269038297381</v>
      </c>
      <c r="F105" s="15" t="s">
        <v>54</v>
      </c>
      <c r="G105" s="14">
        <v>20</v>
      </c>
      <c r="H105" s="14">
        <f t="shared" si="26"/>
        <v>0</v>
      </c>
      <c r="I105" s="14">
        <f t="shared" si="27"/>
        <v>0</v>
      </c>
      <c r="J105" s="14">
        <v>3</v>
      </c>
      <c r="K105" s="14">
        <v>5250</v>
      </c>
      <c r="L105" s="14">
        <v>10.752690382973697</v>
      </c>
      <c r="M105" s="14">
        <f t="shared" si="19"/>
        <v>24.053768386712161</v>
      </c>
      <c r="N105" s="14">
        <f t="shared" si="28"/>
        <v>-1.0240657507594015</v>
      </c>
      <c r="O105" s="14">
        <f>IF(J105=1,'[1]Gearing '!$C$17*'Duty Cycle '!N105,IF(J105=2,'[1]Gearing '!$C$18*'Duty Cycle '!N105,IF(J105=3,'[1]Gearing '!$C$19*'Duty Cycle '!N105)))</f>
        <v>-616.67569853141219</v>
      </c>
      <c r="P105" s="14">
        <f>IF(F105='Track '!$B$60,'Track '!$F$53,IF(F105='Track '!$B$61,'Track '!$F$54,IF(F105='Track '!$B$62,'Track '!$F$55)))</f>
        <v>0.02</v>
      </c>
      <c r="Q105" s="14">
        <f>P105*'Vehicle '!$F$40*9.81</f>
        <v>127.39265999999999</v>
      </c>
      <c r="R105" s="14">
        <f>0.5*'Vehicle '!$F$53*'Vehicle '!$F$25*'Track '!$F$57*'Duty Cycle '!L105^2</f>
        <v>44.181472383238614</v>
      </c>
      <c r="S105" s="14">
        <f>'Vehicle '!$F$40*9.81*SIN(RADIANS('Duty Cycle '!I105))</f>
        <v>0</v>
      </c>
      <c r="T105" s="18">
        <f t="shared" si="20"/>
        <v>171.57413238323861</v>
      </c>
      <c r="U105" s="14">
        <f t="shared" si="29"/>
        <v>1.8448835232443057</v>
      </c>
      <c r="V105" s="14">
        <f>'Vehicle '!$F$9-'Duty Cycle '!U105</f>
        <v>11.577935268702003</v>
      </c>
      <c r="W105" s="14">
        <f t="shared" si="21"/>
        <v>1.8448835232443057</v>
      </c>
      <c r="X105" s="16">
        <f t="shared" si="30"/>
        <v>3.3556837960356902</v>
      </c>
      <c r="Y105" s="16">
        <f t="shared" si="22"/>
        <v>4</v>
      </c>
      <c r="Z105" s="14">
        <f t="shared" si="17"/>
        <v>177237.66723942588</v>
      </c>
      <c r="AA105" s="14">
        <f t="shared" si="31"/>
        <v>24611695.567947522</v>
      </c>
      <c r="AB105" s="14">
        <f>'BSFC '!$X$14</f>
        <v>306.74480096579998</v>
      </c>
      <c r="AC105" s="14">
        <f t="shared" si="18"/>
        <v>0.15719678587296068</v>
      </c>
      <c r="AD105" s="14">
        <f t="shared" si="32"/>
        <v>38.898727760687834</v>
      </c>
      <c r="AE105" s="14">
        <f t="shared" si="33"/>
        <v>0.48573806834744848</v>
      </c>
      <c r="AF105" s="14">
        <f>0.5*'Vehicle '!$F$40*'Duty Cycle '!L105^2/1000</f>
        <v>37.536146780765641</v>
      </c>
      <c r="AG105" s="14">
        <f t="shared" si="23"/>
        <v>177275.20338620665</v>
      </c>
    </row>
    <row r="106" spans="2:33" ht="30" customHeight="1" x14ac:dyDescent="0.25">
      <c r="B106" s="13">
        <f t="shared" si="24"/>
        <v>103</v>
      </c>
      <c r="C106" s="14" t="s">
        <v>66</v>
      </c>
      <c r="D106" s="14">
        <f>SUM($L$3:L106)</f>
        <v>1043.761948699005</v>
      </c>
      <c r="E106" s="14">
        <f t="shared" si="25"/>
        <v>10.752690382973697</v>
      </c>
      <c r="F106" s="15" t="s">
        <v>54</v>
      </c>
      <c r="G106" s="14">
        <v>20</v>
      </c>
      <c r="H106" s="14">
        <f t="shared" si="26"/>
        <v>0</v>
      </c>
      <c r="I106" s="14">
        <f t="shared" si="27"/>
        <v>0</v>
      </c>
      <c r="J106" s="14">
        <v>3</v>
      </c>
      <c r="K106" s="14">
        <v>5250</v>
      </c>
      <c r="L106" s="14">
        <v>10.752690382973697</v>
      </c>
      <c r="M106" s="14">
        <f t="shared" si="19"/>
        <v>24.053768386712161</v>
      </c>
      <c r="N106" s="14">
        <f t="shared" si="28"/>
        <v>0</v>
      </c>
      <c r="O106" s="14">
        <f>IF(J106=1,'[1]Gearing '!$C$17*'Duty Cycle '!N106,IF(J106=2,'[1]Gearing '!$C$18*'Duty Cycle '!N106,IF(J106=3,'[1]Gearing '!$C$19*'Duty Cycle '!N106)))</f>
        <v>0</v>
      </c>
      <c r="P106" s="14">
        <f>IF(F106='Track '!$B$60,'Track '!$F$53,IF(F106='Track '!$B$61,'Track '!$F$54,IF(F106='Track '!$B$62,'Track '!$F$55)))</f>
        <v>0.02</v>
      </c>
      <c r="Q106" s="14">
        <f>P106*'Vehicle '!$F$40*9.81</f>
        <v>127.39265999999999</v>
      </c>
      <c r="R106" s="14">
        <f>0.5*'Vehicle '!$F$53*'Vehicle '!$F$25*'Track '!$F$57*'Duty Cycle '!L106^2</f>
        <v>44.181472383238614</v>
      </c>
      <c r="S106" s="14">
        <f>'Vehicle '!$F$40*9.81*SIN(RADIANS('Duty Cycle '!I106))</f>
        <v>0</v>
      </c>
      <c r="T106" s="18">
        <f t="shared" si="20"/>
        <v>171.57413238323861</v>
      </c>
      <c r="U106" s="14">
        <f t="shared" si="29"/>
        <v>1.8448835232443057</v>
      </c>
      <c r="V106" s="14">
        <f>'Vehicle '!$F$9-'Duty Cycle '!U106</f>
        <v>11.577935268702003</v>
      </c>
      <c r="W106" s="14">
        <f t="shared" si="21"/>
        <v>1.8448835232443057</v>
      </c>
      <c r="X106" s="16">
        <f t="shared" si="30"/>
        <v>3.3556837960356902</v>
      </c>
      <c r="Y106" s="16">
        <f t="shared" si="22"/>
        <v>4</v>
      </c>
      <c r="Z106" s="14">
        <f t="shared" si="17"/>
        <v>179082.55076267017</v>
      </c>
      <c r="AA106" s="14">
        <f t="shared" si="31"/>
        <v>24790778.118710194</v>
      </c>
      <c r="AB106" s="14">
        <f>'BSFC '!$X$14</f>
        <v>306.74480096579998</v>
      </c>
      <c r="AC106" s="14">
        <f t="shared" si="18"/>
        <v>0.15719678587296068</v>
      </c>
      <c r="AD106" s="14">
        <f t="shared" si="32"/>
        <v>39.055924546560796</v>
      </c>
      <c r="AE106" s="14">
        <f t="shared" si="33"/>
        <v>0.48573806834744848</v>
      </c>
      <c r="AF106" s="14">
        <f>0.5*'Vehicle '!$F$40*'Duty Cycle '!L106^2/1000</f>
        <v>37.536146780765641</v>
      </c>
      <c r="AG106" s="14">
        <f t="shared" si="23"/>
        <v>179120.08690945094</v>
      </c>
    </row>
    <row r="107" spans="2:33" ht="30" customHeight="1" x14ac:dyDescent="0.25">
      <c r="B107" s="13">
        <f t="shared" si="24"/>
        <v>104</v>
      </c>
      <c r="C107" s="14" t="s">
        <v>66</v>
      </c>
      <c r="D107" s="14">
        <f>SUM($L$3:L107)</f>
        <v>1054.5146390819787</v>
      </c>
      <c r="E107" s="14">
        <f t="shared" si="25"/>
        <v>10.752690382973697</v>
      </c>
      <c r="F107" s="15" t="s">
        <v>54</v>
      </c>
      <c r="G107" s="14">
        <v>20</v>
      </c>
      <c r="H107" s="14">
        <f t="shared" si="26"/>
        <v>0</v>
      </c>
      <c r="I107" s="14">
        <f t="shared" si="27"/>
        <v>0</v>
      </c>
      <c r="J107" s="14">
        <v>3</v>
      </c>
      <c r="K107" s="14">
        <v>5250</v>
      </c>
      <c r="L107" s="14">
        <v>10.752690382973697</v>
      </c>
      <c r="M107" s="14">
        <f t="shared" si="19"/>
        <v>24.053768386712161</v>
      </c>
      <c r="N107" s="14">
        <f t="shared" si="28"/>
        <v>0</v>
      </c>
      <c r="O107" s="14">
        <f>IF(J107=1,'[1]Gearing '!$C$17*'Duty Cycle '!N107,IF(J107=2,'[1]Gearing '!$C$18*'Duty Cycle '!N107,IF(J107=3,'[1]Gearing '!$C$19*'Duty Cycle '!N107)))</f>
        <v>0</v>
      </c>
      <c r="P107" s="14">
        <f>IF(F107='Track '!$B$60,'Track '!$F$53,IF(F107='Track '!$B$61,'Track '!$F$54,IF(F107='Track '!$B$62,'Track '!$F$55)))</f>
        <v>0.02</v>
      </c>
      <c r="Q107" s="14">
        <f>P107*'Vehicle '!$F$40*9.81</f>
        <v>127.39265999999999</v>
      </c>
      <c r="R107" s="14">
        <f>0.5*'Vehicle '!$F$53*'Vehicle '!$F$25*'Track '!$F$57*'Duty Cycle '!L107^2</f>
        <v>44.181472383238614</v>
      </c>
      <c r="S107" s="14">
        <f>'Vehicle '!$F$40*9.81*SIN(RADIANS('Duty Cycle '!I107))</f>
        <v>0</v>
      </c>
      <c r="T107" s="18">
        <f t="shared" si="20"/>
        <v>171.57413238323861</v>
      </c>
      <c r="U107" s="14">
        <f t="shared" si="29"/>
        <v>1.8448835232443057</v>
      </c>
      <c r="V107" s="14">
        <f>'Vehicle '!$F$9-'Duty Cycle '!U107</f>
        <v>11.577935268702003</v>
      </c>
      <c r="W107" s="14">
        <f t="shared" si="21"/>
        <v>1.8448835232443057</v>
      </c>
      <c r="X107" s="16">
        <f t="shared" si="30"/>
        <v>3.3556837960356902</v>
      </c>
      <c r="Y107" s="16">
        <f t="shared" si="22"/>
        <v>4</v>
      </c>
      <c r="Z107" s="14">
        <f t="shared" si="17"/>
        <v>180927.4342859145</v>
      </c>
      <c r="AA107" s="14">
        <f t="shared" si="31"/>
        <v>24971705.552996106</v>
      </c>
      <c r="AB107" s="14">
        <f>'BSFC '!$X$14</f>
        <v>306.74480096579998</v>
      </c>
      <c r="AC107" s="14">
        <f t="shared" si="18"/>
        <v>0.15719678587296068</v>
      </c>
      <c r="AD107" s="14">
        <f t="shared" si="32"/>
        <v>39.213121332433758</v>
      </c>
      <c r="AE107" s="14">
        <f t="shared" si="33"/>
        <v>0.48573806834744848</v>
      </c>
      <c r="AF107" s="14">
        <f>0.5*'Vehicle '!$F$40*'Duty Cycle '!L107^2/1000</f>
        <v>37.536146780765641</v>
      </c>
      <c r="AG107" s="14">
        <f t="shared" si="23"/>
        <v>180964.97043269526</v>
      </c>
    </row>
    <row r="108" spans="2:33" ht="30" customHeight="1" x14ac:dyDescent="0.25">
      <c r="B108" s="13">
        <f t="shared" si="24"/>
        <v>105</v>
      </c>
      <c r="C108" s="14" t="s">
        <v>66</v>
      </c>
      <c r="D108" s="14">
        <f>SUM($L$3:L108)</f>
        <v>1065.2673294649524</v>
      </c>
      <c r="E108" s="14">
        <f t="shared" si="25"/>
        <v>10.752690382973697</v>
      </c>
      <c r="F108" s="15" t="s">
        <v>54</v>
      </c>
      <c r="G108" s="14">
        <v>20</v>
      </c>
      <c r="H108" s="14">
        <f t="shared" si="26"/>
        <v>0</v>
      </c>
      <c r="I108" s="14">
        <f t="shared" si="27"/>
        <v>0</v>
      </c>
      <c r="J108" s="14">
        <v>3</v>
      </c>
      <c r="K108" s="14">
        <v>5250</v>
      </c>
      <c r="L108" s="14">
        <v>10.752690382973697</v>
      </c>
      <c r="M108" s="14">
        <f t="shared" si="19"/>
        <v>24.053768386712161</v>
      </c>
      <c r="N108" s="14">
        <f t="shared" si="28"/>
        <v>0</v>
      </c>
      <c r="O108" s="14">
        <f>IF(J108=1,'[1]Gearing '!$C$17*'Duty Cycle '!N108,IF(J108=2,'[1]Gearing '!$C$18*'Duty Cycle '!N108,IF(J108=3,'[1]Gearing '!$C$19*'Duty Cycle '!N108)))</f>
        <v>0</v>
      </c>
      <c r="P108" s="14">
        <f>IF(F108='Track '!$B$60,'Track '!$F$53,IF(F108='Track '!$B$61,'Track '!$F$54,IF(F108='Track '!$B$62,'Track '!$F$55)))</f>
        <v>0.02</v>
      </c>
      <c r="Q108" s="14">
        <f>P108*'Vehicle '!$F$40*9.81</f>
        <v>127.39265999999999</v>
      </c>
      <c r="R108" s="14">
        <f>0.5*'Vehicle '!$F$53*'Vehicle '!$F$25*'Track '!$F$57*'Duty Cycle '!L108^2</f>
        <v>44.181472383238614</v>
      </c>
      <c r="S108" s="14">
        <f>'Vehicle '!$F$40*9.81*SIN(RADIANS('Duty Cycle '!I108))</f>
        <v>0</v>
      </c>
      <c r="T108" s="18">
        <f t="shared" si="20"/>
        <v>171.57413238323861</v>
      </c>
      <c r="U108" s="14">
        <f t="shared" si="29"/>
        <v>1.8448835232443057</v>
      </c>
      <c r="V108" s="14">
        <f>'Vehicle '!$F$9-'Duty Cycle '!U108</f>
        <v>11.577935268702003</v>
      </c>
      <c r="W108" s="14">
        <f t="shared" si="21"/>
        <v>1.8448835232443057</v>
      </c>
      <c r="X108" s="16">
        <f t="shared" si="30"/>
        <v>3.3556837960356902</v>
      </c>
      <c r="Y108" s="16">
        <f t="shared" si="22"/>
        <v>4</v>
      </c>
      <c r="Z108" s="14">
        <f t="shared" si="17"/>
        <v>182772.31780915879</v>
      </c>
      <c r="AA108" s="14">
        <f t="shared" si="31"/>
        <v>25154477.870805264</v>
      </c>
      <c r="AB108" s="14">
        <f>'BSFC '!$X$14</f>
        <v>306.74480096579998</v>
      </c>
      <c r="AC108" s="14">
        <f t="shared" si="18"/>
        <v>0.15719678587296068</v>
      </c>
      <c r="AD108" s="14">
        <f t="shared" si="32"/>
        <v>39.37031811830672</v>
      </c>
      <c r="AE108" s="14">
        <f t="shared" si="33"/>
        <v>0.48573806834744848</v>
      </c>
      <c r="AF108" s="14">
        <f>0.5*'Vehicle '!$F$40*'Duty Cycle '!L108^2/1000</f>
        <v>37.536146780765641</v>
      </c>
      <c r="AG108" s="14">
        <f t="shared" si="23"/>
        <v>182809.85395593956</v>
      </c>
    </row>
    <row r="109" spans="2:33" ht="30" customHeight="1" x14ac:dyDescent="0.25">
      <c r="B109" s="13">
        <f t="shared" si="24"/>
        <v>106</v>
      </c>
      <c r="C109" s="14" t="s">
        <v>66</v>
      </c>
      <c r="D109" s="14">
        <f>SUM($L$3:L109)</f>
        <v>1076.5320527233057</v>
      </c>
      <c r="E109" s="14">
        <f t="shared" si="25"/>
        <v>11.264723258353342</v>
      </c>
      <c r="F109" s="15" t="s">
        <v>54</v>
      </c>
      <c r="G109" s="14">
        <v>20</v>
      </c>
      <c r="H109" s="14">
        <f t="shared" si="26"/>
        <v>0</v>
      </c>
      <c r="I109" s="14">
        <f t="shared" si="27"/>
        <v>0</v>
      </c>
      <c r="J109" s="14">
        <v>3</v>
      </c>
      <c r="K109" s="14">
        <v>5500</v>
      </c>
      <c r="L109" s="14">
        <v>11.264723258353396</v>
      </c>
      <c r="M109" s="14">
        <f t="shared" si="19"/>
        <v>25.199185928936547</v>
      </c>
      <c r="N109" s="14">
        <f t="shared" si="28"/>
        <v>0.51203287537969899</v>
      </c>
      <c r="O109" s="14">
        <f>IF(J109=1,'[1]Gearing '!$C$17*'Duty Cycle '!N109,IF(J109=2,'[1]Gearing '!$C$18*'Duty Cycle '!N109,IF(J109=3,'[1]Gearing '!$C$19*'Duty Cycle '!N109)))</f>
        <v>308.33784926570502</v>
      </c>
      <c r="P109" s="14">
        <f>IF(F109='Track '!$B$60,'Track '!$F$53,IF(F109='Track '!$B$61,'Track '!$F$54,IF(F109='Track '!$B$62,'Track '!$F$55)))</f>
        <v>0.02</v>
      </c>
      <c r="Q109" s="14">
        <f>P109*'Vehicle '!$F$40*9.81</f>
        <v>127.39265999999999</v>
      </c>
      <c r="R109" s="14">
        <f>0.5*'Vehicle '!$F$53*'Vehicle '!$F$25*'Track '!$F$57*'Duty Cycle '!L109^2</f>
        <v>48.489416402465956</v>
      </c>
      <c r="S109" s="14">
        <f>'Vehicle '!$F$40*9.81*SIN(RADIANS('Duty Cycle '!I109))</f>
        <v>0</v>
      </c>
      <c r="T109" s="18">
        <f t="shared" si="20"/>
        <v>175.88207640246594</v>
      </c>
      <c r="U109" s="14">
        <f t="shared" si="29"/>
        <v>1.9812629167783471</v>
      </c>
      <c r="V109" s="14">
        <f>'Vehicle '!$F$9-'Duty Cycle '!U109</f>
        <v>11.441555875167962</v>
      </c>
      <c r="W109" s="14">
        <f t="shared" si="21"/>
        <v>1.9812629167783471</v>
      </c>
      <c r="X109" s="16">
        <f t="shared" si="30"/>
        <v>3.4399394920357143</v>
      </c>
      <c r="Y109" s="16">
        <f t="shared" si="22"/>
        <v>4</v>
      </c>
      <c r="Z109" s="14">
        <f t="shared" si="17"/>
        <v>189342.69274678396</v>
      </c>
      <c r="AA109" s="14">
        <f t="shared" si="31"/>
        <v>25343820.563552048</v>
      </c>
      <c r="AB109" s="14">
        <f>'BSFC '!$X$14</f>
        <v>306.74480096579998</v>
      </c>
      <c r="AC109" s="14">
        <f t="shared" si="18"/>
        <v>0.16881724974113732</v>
      </c>
      <c r="AD109" s="14">
        <f t="shared" si="32"/>
        <v>39.539135368047859</v>
      </c>
      <c r="AE109" s="14">
        <f t="shared" si="33"/>
        <v>0.52164530170011425</v>
      </c>
      <c r="AF109" s="14">
        <f>0.5*'Vehicle '!$F$40*'Duty Cycle '!L109^2/1000</f>
        <v>41.19613388183803</v>
      </c>
      <c r="AG109" s="14">
        <f t="shared" si="23"/>
        <v>189383.88888066579</v>
      </c>
    </row>
    <row r="110" spans="2:33" ht="30" customHeight="1" x14ac:dyDescent="0.25">
      <c r="B110" s="13">
        <f t="shared" si="24"/>
        <v>107</v>
      </c>
      <c r="C110" s="14" t="s">
        <v>66</v>
      </c>
      <c r="D110" s="14">
        <f>SUM($L$3:L110)</f>
        <v>1088.3088088570387</v>
      </c>
      <c r="E110" s="14">
        <f t="shared" si="25"/>
        <v>11.776756133732988</v>
      </c>
      <c r="F110" s="15" t="s">
        <v>54</v>
      </c>
      <c r="G110" s="14">
        <v>20</v>
      </c>
      <c r="H110" s="14">
        <f t="shared" si="26"/>
        <v>0</v>
      </c>
      <c r="I110" s="14">
        <f t="shared" si="27"/>
        <v>0</v>
      </c>
      <c r="J110" s="14">
        <v>3</v>
      </c>
      <c r="K110" s="14">
        <v>5750</v>
      </c>
      <c r="L110" s="14">
        <v>11.776756133733098</v>
      </c>
      <c r="M110" s="14">
        <f t="shared" si="19"/>
        <v>26.344603471160941</v>
      </c>
      <c r="N110" s="14">
        <f t="shared" si="28"/>
        <v>0.51203287537970255</v>
      </c>
      <c r="O110" s="14">
        <f>IF(J110=1,'[1]Gearing '!$C$17*'Duty Cycle '!N110,IF(J110=2,'[1]Gearing '!$C$18*'Duty Cycle '!N110,IF(J110=3,'[1]Gearing '!$C$19*'Duty Cycle '!N110)))</f>
        <v>308.33784926570718</v>
      </c>
      <c r="P110" s="14">
        <f>IF(F110='Track '!$B$60,'Track '!$F$53,IF(F110='Track '!$B$61,'Track '!$F$54,IF(F110='Track '!$B$62,'Track '!$F$55)))</f>
        <v>0.02</v>
      </c>
      <c r="Q110" s="14">
        <f>P110*'Vehicle '!$F$40*9.81</f>
        <v>127.39265999999999</v>
      </c>
      <c r="R110" s="14">
        <f>0.5*'Vehicle '!$F$53*'Vehicle '!$F$25*'Track '!$F$57*'Duty Cycle '!L110^2</f>
        <v>52.997729910959706</v>
      </c>
      <c r="S110" s="14">
        <f>'Vehicle '!$F$40*9.81*SIN(RADIANS('Duty Cycle '!I110))</f>
        <v>0</v>
      </c>
      <c r="T110" s="18">
        <f t="shared" si="20"/>
        <v>180.3903899109597</v>
      </c>
      <c r="U110" s="14">
        <f t="shared" si="29"/>
        <v>2.1244136308504</v>
      </c>
      <c r="V110" s="14">
        <f>'Vehicle '!$F$9-'Duty Cycle '!U110</f>
        <v>11.298405161095909</v>
      </c>
      <c r="W110" s="14">
        <f t="shared" si="21"/>
        <v>2.1244136308504</v>
      </c>
      <c r="X110" s="16">
        <f t="shared" si="30"/>
        <v>3.528114057617135</v>
      </c>
      <c r="Y110" s="16">
        <f t="shared" si="22"/>
        <v>4</v>
      </c>
      <c r="Z110" s="14">
        <f t="shared" si="17"/>
        <v>196320.45037325332</v>
      </c>
      <c r="AA110" s="14">
        <f t="shared" si="31"/>
        <v>25540141.013925303</v>
      </c>
      <c r="AB110" s="14">
        <f>'BSFC '!$X$14</f>
        <v>306.74480096579998</v>
      </c>
      <c r="AC110" s="14">
        <f t="shared" si="18"/>
        <v>0.181014676767844</v>
      </c>
      <c r="AD110" s="14">
        <f t="shared" si="32"/>
        <v>39.720150044815703</v>
      </c>
      <c r="AE110" s="14">
        <f t="shared" si="33"/>
        <v>0.55933535121263789</v>
      </c>
      <c r="AF110" s="14">
        <f>0.5*'Vehicle '!$F$40*'Duty Cycle '!L110^2/1000</f>
        <v>45.026352941099844</v>
      </c>
      <c r="AG110" s="14">
        <f t="shared" si="23"/>
        <v>196365.47672619441</v>
      </c>
    </row>
    <row r="111" spans="2:33" ht="30" customHeight="1" x14ac:dyDescent="0.25">
      <c r="B111" s="13">
        <f t="shared" si="24"/>
        <v>108</v>
      </c>
      <c r="C111" s="14" t="s">
        <v>80</v>
      </c>
      <c r="D111" s="14">
        <f>SUM($L$3:L111)</f>
        <v>1100.5975978661515</v>
      </c>
      <c r="E111" s="14">
        <f t="shared" si="25"/>
        <v>12.288789009112861</v>
      </c>
      <c r="F111" s="15" t="s">
        <v>54</v>
      </c>
      <c r="G111" s="14">
        <v>20</v>
      </c>
      <c r="H111" s="14">
        <f t="shared" si="26"/>
        <v>0</v>
      </c>
      <c r="I111" s="14">
        <f t="shared" si="27"/>
        <v>0</v>
      </c>
      <c r="J111" s="14">
        <v>3</v>
      </c>
      <c r="K111" s="14">
        <v>6000</v>
      </c>
      <c r="L111" s="14">
        <v>12.288789009112795</v>
      </c>
      <c r="M111" s="14">
        <f t="shared" si="19"/>
        <v>27.490021013385324</v>
      </c>
      <c r="N111" s="14">
        <f t="shared" si="28"/>
        <v>0.51203287537969722</v>
      </c>
      <c r="O111" s="14">
        <f>IF(J111=1,'[1]Gearing '!$C$17*'Duty Cycle '!N111,IF(J111=2,'[1]Gearing '!$C$18*'Duty Cycle '!N111,IF(J111=3,'[1]Gearing '!$C$19*'Duty Cycle '!N111)))</f>
        <v>308.33784926570394</v>
      </c>
      <c r="P111" s="14">
        <f>IF(F111='Track '!$B$60,'Track '!$F$53,IF(F111='Track '!$B$61,'Track '!$F$54,IF(F111='Track '!$B$62,'Track '!$F$55)))</f>
        <v>0.02</v>
      </c>
      <c r="Q111" s="14">
        <f>P111*'Vehicle '!$F$40*9.81</f>
        <v>127.39265999999999</v>
      </c>
      <c r="R111" s="14">
        <f>0.5*'Vehicle '!$F$53*'Vehicle '!$F$25*'Track '!$F$57*'Duty Cycle '!L111^2</f>
        <v>57.70641290871982</v>
      </c>
      <c r="S111" s="14">
        <f>'Vehicle '!$F$40*9.81*SIN(RADIANS('Duty Cycle '!I111))</f>
        <v>0</v>
      </c>
      <c r="T111" s="18">
        <f t="shared" si="20"/>
        <v>185.09907290871982</v>
      </c>
      <c r="U111" s="14">
        <f t="shared" si="29"/>
        <v>2.274643452757644</v>
      </c>
      <c r="V111" s="14">
        <f>'Vehicle '!$F$9-'Duty Cycle '!U111</f>
        <v>11.148175339188665</v>
      </c>
      <c r="W111" s="14">
        <f t="shared" si="21"/>
        <v>2.274643452757644</v>
      </c>
      <c r="X111" s="16">
        <f t="shared" si="30"/>
        <v>3.6202074927799512</v>
      </c>
      <c r="Y111" s="16">
        <f t="shared" si="22"/>
        <v>4</v>
      </c>
      <c r="Z111" s="14">
        <f t="shared" si="17"/>
        <v>203719.59501058867</v>
      </c>
      <c r="AA111" s="14">
        <f t="shared" si="31"/>
        <v>25743860.608935893</v>
      </c>
      <c r="AB111" s="14">
        <f>'BSFC '!$X$14</f>
        <v>306.74480096579998</v>
      </c>
      <c r="AC111" s="14">
        <f t="shared" si="18"/>
        <v>0.19381529255119542</v>
      </c>
      <c r="AD111" s="14">
        <f t="shared" si="32"/>
        <v>39.913965337366896</v>
      </c>
      <c r="AE111" s="14">
        <f t="shared" si="33"/>
        <v>0.59888925398319381</v>
      </c>
      <c r="AF111" s="14">
        <f>0.5*'Vehicle '!$F$40*'Duty Cycle '!L111^2/1000</f>
        <v>49.026803958551042</v>
      </c>
      <c r="AG111" s="14">
        <f t="shared" si="23"/>
        <v>203768.62181454722</v>
      </c>
    </row>
    <row r="112" spans="2:33" ht="30" customHeight="1" x14ac:dyDescent="0.25">
      <c r="B112" s="13">
        <f t="shared" si="24"/>
        <v>109</v>
      </c>
      <c r="C112" s="14" t="s">
        <v>80</v>
      </c>
      <c r="D112" s="14">
        <f>SUM($L$3:L112)</f>
        <v>1113.9104526260237</v>
      </c>
      <c r="E112" s="14">
        <f t="shared" si="25"/>
        <v>13.312854759872152</v>
      </c>
      <c r="F112" s="15" t="s">
        <v>54</v>
      </c>
      <c r="G112" s="14">
        <v>20</v>
      </c>
      <c r="H112" s="14">
        <f t="shared" si="26"/>
        <v>0</v>
      </c>
      <c r="I112" s="14">
        <f t="shared" si="27"/>
        <v>0</v>
      </c>
      <c r="J112" s="14">
        <v>3</v>
      </c>
      <c r="K112" s="14">
        <v>6500</v>
      </c>
      <c r="L112" s="14">
        <v>13.312854759872195</v>
      </c>
      <c r="M112" s="14">
        <f t="shared" si="19"/>
        <v>29.780856097834103</v>
      </c>
      <c r="N112" s="14">
        <f t="shared" si="28"/>
        <v>1.0240657507593998</v>
      </c>
      <c r="O112" s="14">
        <f>IF(J112=1,'[1]Gearing '!$C$17*'Duty Cycle '!N112,IF(J112=2,'[1]Gearing '!$C$18*'Duty Cycle '!N112,IF(J112=3,'[1]Gearing '!$C$19*'Duty Cycle '!N112)))</f>
        <v>616.67569853141106</v>
      </c>
      <c r="P112" s="14">
        <f>IF(F112='Track '!$B$60,'Track '!$F$53,IF(F112='Track '!$B$61,'Track '!$F$54,IF(F112='Track '!$B$62,'Track '!$F$55)))</f>
        <v>0.02</v>
      </c>
      <c r="Q112" s="14">
        <f>P112*'Vehicle '!$F$40*9.81</f>
        <v>127.39265999999999</v>
      </c>
      <c r="R112" s="14">
        <f>0.5*'Vehicle '!$F$53*'Vehicle '!$F$25*'Track '!$F$57*'Duty Cycle '!L112^2</f>
        <v>67.724887372039234</v>
      </c>
      <c r="S112" s="14">
        <f>'Vehicle '!$F$40*9.81*SIN(RADIANS('Duty Cycle '!I112))</f>
        <v>0</v>
      </c>
      <c r="T112" s="18">
        <f t="shared" si="20"/>
        <v>195.11754737203921</v>
      </c>
      <c r="U112" s="14">
        <f t="shared" si="29"/>
        <v>2.5975715692664409</v>
      </c>
      <c r="V112" s="14">
        <f>'Vehicle '!$F$9-'Duty Cycle '!U112</f>
        <v>10.825247222679868</v>
      </c>
      <c r="W112" s="14">
        <f t="shared" si="21"/>
        <v>2.5975715692664409</v>
      </c>
      <c r="X112" s="16">
        <f t="shared" si="30"/>
        <v>3.8161509718497753</v>
      </c>
      <c r="Y112" s="16">
        <f t="shared" si="22"/>
        <v>4</v>
      </c>
      <c r="Z112" s="14">
        <f t="shared" si="17"/>
        <v>217343.47550846782</v>
      </c>
      <c r="AA112" s="14">
        <f t="shared" si="31"/>
        <v>25961204.084444359</v>
      </c>
      <c r="AB112" s="14">
        <f>'BSFC '!$X$14</f>
        <v>306.74480096579998</v>
      </c>
      <c r="AC112" s="14">
        <f t="shared" si="18"/>
        <v>0.22133099278029308</v>
      </c>
      <c r="AD112" s="14">
        <f t="shared" si="32"/>
        <v>40.135296330147192</v>
      </c>
      <c r="AE112" s="14">
        <f t="shared" si="33"/>
        <v>0.68391276769110565</v>
      </c>
      <c r="AF112" s="14">
        <f>0.5*'Vehicle '!$F$40*'Duty Cycle '!L112^2/1000</f>
        <v>57.538401868021715</v>
      </c>
      <c r="AG112" s="14">
        <f t="shared" si="23"/>
        <v>217401.01391033584</v>
      </c>
    </row>
    <row r="113" spans="2:33" ht="30" customHeight="1" x14ac:dyDescent="0.25">
      <c r="B113" s="13">
        <f t="shared" si="24"/>
        <v>110</v>
      </c>
      <c r="C113" s="14" t="s">
        <v>80</v>
      </c>
      <c r="D113" s="14">
        <f>SUM($L$3:L113)</f>
        <v>1127.2233073858959</v>
      </c>
      <c r="E113" s="14">
        <f t="shared" si="25"/>
        <v>13.312854759872152</v>
      </c>
      <c r="F113" s="15" t="s">
        <v>54</v>
      </c>
      <c r="G113" s="14">
        <v>20</v>
      </c>
      <c r="H113" s="14">
        <f t="shared" si="26"/>
        <v>0</v>
      </c>
      <c r="I113" s="14">
        <f t="shared" si="27"/>
        <v>0</v>
      </c>
      <c r="J113" s="14">
        <v>3</v>
      </c>
      <c r="K113" s="14">
        <v>6500</v>
      </c>
      <c r="L113" s="14">
        <v>13.312854759872195</v>
      </c>
      <c r="M113" s="14">
        <f t="shared" si="19"/>
        <v>29.780856097834103</v>
      </c>
      <c r="N113" s="14">
        <f t="shared" si="28"/>
        <v>0</v>
      </c>
      <c r="O113" s="14">
        <f>IF(J113=1,'[1]Gearing '!$C$17*'Duty Cycle '!N113,IF(J113=2,'[1]Gearing '!$C$18*'Duty Cycle '!N113,IF(J113=3,'[1]Gearing '!$C$19*'Duty Cycle '!N113)))</f>
        <v>0</v>
      </c>
      <c r="P113" s="14">
        <f>IF(F113='Track '!$B$60,'Track '!$F$53,IF(F113='Track '!$B$61,'Track '!$F$54,IF(F113='Track '!$B$62,'Track '!$F$55)))</f>
        <v>0.02</v>
      </c>
      <c r="Q113" s="14">
        <f>P113*'Vehicle '!$F$40*9.81</f>
        <v>127.39265999999999</v>
      </c>
      <c r="R113" s="14">
        <f>0.5*'Vehicle '!$F$53*'Vehicle '!$F$25*'Track '!$F$57*'Duty Cycle '!L113^2</f>
        <v>67.724887372039234</v>
      </c>
      <c r="S113" s="14">
        <f>'Vehicle '!$F$40*9.81*SIN(RADIANS('Duty Cycle '!I113))</f>
        <v>0</v>
      </c>
      <c r="T113" s="18">
        <f t="shared" si="20"/>
        <v>195.11754737203921</v>
      </c>
      <c r="U113" s="14">
        <f t="shared" si="29"/>
        <v>2.5975715692664409</v>
      </c>
      <c r="V113" s="14">
        <f>'Vehicle '!$F$9-'Duty Cycle '!U113</f>
        <v>10.825247222679868</v>
      </c>
      <c r="W113" s="14">
        <f t="shared" si="21"/>
        <v>2.5975715692664409</v>
      </c>
      <c r="X113" s="16">
        <f t="shared" si="30"/>
        <v>3.8161509718497753</v>
      </c>
      <c r="Y113" s="16">
        <f t="shared" si="22"/>
        <v>4</v>
      </c>
      <c r="Z113" s="14">
        <f t="shared" si="17"/>
        <v>219941.04707773426</v>
      </c>
      <c r="AA113" s="14">
        <f t="shared" si="31"/>
        <v>26181145.131522093</v>
      </c>
      <c r="AB113" s="14">
        <f>'BSFC '!$X$14</f>
        <v>306.74480096579998</v>
      </c>
      <c r="AC113" s="14">
        <f t="shared" si="18"/>
        <v>0.22133099278029308</v>
      </c>
      <c r="AD113" s="14">
        <f t="shared" si="32"/>
        <v>40.356627322927487</v>
      </c>
      <c r="AE113" s="14">
        <f t="shared" si="33"/>
        <v>0.68391276769110565</v>
      </c>
      <c r="AF113" s="14">
        <f>0.5*'Vehicle '!$F$40*'Duty Cycle '!L113^2/1000</f>
        <v>57.538401868021715</v>
      </c>
      <c r="AG113" s="14">
        <f t="shared" si="23"/>
        <v>219998.58547960228</v>
      </c>
    </row>
    <row r="114" spans="2:33" ht="30" customHeight="1" x14ac:dyDescent="0.25">
      <c r="B114" s="13">
        <f t="shared" si="24"/>
        <v>111</v>
      </c>
      <c r="C114" s="14" t="s">
        <v>80</v>
      </c>
      <c r="D114" s="14">
        <f>SUM($L$3:L114)</f>
        <v>1140.536162145768</v>
      </c>
      <c r="E114" s="14">
        <f t="shared" si="25"/>
        <v>13.312854759872152</v>
      </c>
      <c r="F114" s="15" t="s">
        <v>54</v>
      </c>
      <c r="G114" s="14">
        <v>20</v>
      </c>
      <c r="H114" s="14">
        <f t="shared" si="26"/>
        <v>0</v>
      </c>
      <c r="I114" s="14">
        <f t="shared" si="27"/>
        <v>0</v>
      </c>
      <c r="J114" s="14">
        <v>3</v>
      </c>
      <c r="K114" s="14">
        <v>6500</v>
      </c>
      <c r="L114" s="14">
        <v>13.312854759872195</v>
      </c>
      <c r="M114" s="14">
        <f t="shared" si="19"/>
        <v>29.780856097834103</v>
      </c>
      <c r="N114" s="14">
        <f t="shared" si="28"/>
        <v>0</v>
      </c>
      <c r="O114" s="14">
        <f>IF(J114=1,'[1]Gearing '!$C$17*'Duty Cycle '!N114,IF(J114=2,'[1]Gearing '!$C$18*'Duty Cycle '!N114,IF(J114=3,'[1]Gearing '!$C$19*'Duty Cycle '!N114)))</f>
        <v>0</v>
      </c>
      <c r="P114" s="14">
        <f>IF(F114='Track '!$B$60,'Track '!$F$53,IF(F114='Track '!$B$61,'Track '!$F$54,IF(F114='Track '!$B$62,'Track '!$F$55)))</f>
        <v>0.02</v>
      </c>
      <c r="Q114" s="14">
        <f>P114*'Vehicle '!$F$40*9.81</f>
        <v>127.39265999999999</v>
      </c>
      <c r="R114" s="14">
        <f>0.5*'Vehicle '!$F$53*'Vehicle '!$F$25*'Track '!$F$57*'Duty Cycle '!L114^2</f>
        <v>67.724887372039234</v>
      </c>
      <c r="S114" s="14">
        <f>'Vehicle '!$F$40*9.81*SIN(RADIANS('Duty Cycle '!I114))</f>
        <v>0</v>
      </c>
      <c r="T114" s="18">
        <f t="shared" si="20"/>
        <v>195.11754737203921</v>
      </c>
      <c r="U114" s="14">
        <f t="shared" si="29"/>
        <v>2.5975715692664409</v>
      </c>
      <c r="V114" s="14">
        <f>'Vehicle '!$F$9-'Duty Cycle '!U114</f>
        <v>10.825247222679868</v>
      </c>
      <c r="W114" s="14">
        <f t="shared" si="21"/>
        <v>2.5975715692664409</v>
      </c>
      <c r="X114" s="16">
        <f t="shared" si="30"/>
        <v>3.8161509718497753</v>
      </c>
      <c r="Y114" s="16">
        <f t="shared" si="22"/>
        <v>4</v>
      </c>
      <c r="Z114" s="14">
        <f t="shared" si="17"/>
        <v>222538.61864700069</v>
      </c>
      <c r="AA114" s="14">
        <f t="shared" si="31"/>
        <v>26403683.750169095</v>
      </c>
      <c r="AB114" s="14">
        <f>'BSFC '!$X$14</f>
        <v>306.74480096579998</v>
      </c>
      <c r="AC114" s="14">
        <f t="shared" si="18"/>
        <v>0.22133099278029308</v>
      </c>
      <c r="AD114" s="14">
        <f t="shared" si="32"/>
        <v>40.577958315707782</v>
      </c>
      <c r="AE114" s="14">
        <f t="shared" si="33"/>
        <v>0.68391276769110565</v>
      </c>
      <c r="AF114" s="14">
        <f>0.5*'Vehicle '!$F$40*'Duty Cycle '!L114^2/1000</f>
        <v>57.538401868021715</v>
      </c>
      <c r="AG114" s="14">
        <f t="shared" si="23"/>
        <v>222596.15704886871</v>
      </c>
    </row>
    <row r="115" spans="2:33" ht="30" customHeight="1" x14ac:dyDescent="0.25">
      <c r="B115" s="13">
        <f t="shared" si="24"/>
        <v>112</v>
      </c>
      <c r="C115" s="14" t="s">
        <v>140</v>
      </c>
      <c r="D115" s="14">
        <f>SUM($L$3:L115)</f>
        <v>1152.312918279501</v>
      </c>
      <c r="E115" s="14">
        <f t="shared" si="25"/>
        <v>11.776756133732988</v>
      </c>
      <c r="F115" s="15" t="s">
        <v>54</v>
      </c>
      <c r="G115" s="14">
        <v>20</v>
      </c>
      <c r="H115" s="14">
        <f t="shared" si="26"/>
        <v>0</v>
      </c>
      <c r="I115" s="14">
        <f t="shared" si="27"/>
        <v>0</v>
      </c>
      <c r="J115" s="14">
        <v>3</v>
      </c>
      <c r="K115" s="14">
        <v>5750</v>
      </c>
      <c r="L115" s="14">
        <v>11.776756133733098</v>
      </c>
      <c r="M115" s="14">
        <f t="shared" si="19"/>
        <v>26.344603471160941</v>
      </c>
      <c r="N115" s="14">
        <f t="shared" si="28"/>
        <v>-1.536098626139097</v>
      </c>
      <c r="O115" s="14">
        <f>IF(J115=1,'[1]Gearing '!$C$17*'Duty Cycle '!N115,IF(J115=2,'[1]Gearing '!$C$18*'Duty Cycle '!N115,IF(J115=3,'[1]Gearing '!$C$19*'Duty Cycle '!N115)))</f>
        <v>-925.01354779711505</v>
      </c>
      <c r="P115" s="14">
        <f>IF(F115='Track '!$B$60,'Track '!$F$53,IF(F115='Track '!$B$61,'Track '!$F$54,IF(F115='Track '!$B$62,'Track '!$F$55)))</f>
        <v>0.02</v>
      </c>
      <c r="Q115" s="14">
        <f>P115*'Vehicle '!$F$40*9.81</f>
        <v>127.39265999999999</v>
      </c>
      <c r="R115" s="14">
        <f>0.5*'Vehicle '!$F$53*'Vehicle '!$F$25*'Track '!$F$57*'Duty Cycle '!L115^2</f>
        <v>52.997729910959706</v>
      </c>
      <c r="S115" s="14">
        <f>'Vehicle '!$F$40*9.81*SIN(RADIANS('Duty Cycle '!I115))</f>
        <v>0</v>
      </c>
      <c r="T115" s="18">
        <f t="shared" si="20"/>
        <v>180.3903899109597</v>
      </c>
      <c r="U115" s="14">
        <f t="shared" si="29"/>
        <v>2.1244136308504</v>
      </c>
      <c r="V115" s="14">
        <f>'Vehicle '!$F$9-'Duty Cycle '!U115</f>
        <v>11.298405161095909</v>
      </c>
      <c r="W115" s="14">
        <f t="shared" si="21"/>
        <v>2.1244136308504</v>
      </c>
      <c r="X115" s="16">
        <f t="shared" si="30"/>
        <v>3.528114057617135</v>
      </c>
      <c r="Y115" s="16">
        <f t="shared" si="22"/>
        <v>4</v>
      </c>
      <c r="Z115" s="14">
        <f t="shared" si="17"/>
        <v>207866.17662787501</v>
      </c>
      <c r="AA115" s="14">
        <f t="shared" si="31"/>
        <v>26611549.926796969</v>
      </c>
      <c r="AB115" s="14">
        <f>'BSFC '!$X$14</f>
        <v>306.74480096579998</v>
      </c>
      <c r="AC115" s="14">
        <f t="shared" si="18"/>
        <v>0.181014676767844</v>
      </c>
      <c r="AD115" s="14">
        <f t="shared" si="32"/>
        <v>40.758972992475627</v>
      </c>
      <c r="AE115" s="14">
        <f t="shared" si="33"/>
        <v>0.55933535121263789</v>
      </c>
      <c r="AF115" s="14">
        <f>0.5*'Vehicle '!$F$40*'Duty Cycle '!L115^2/1000</f>
        <v>45.026352941099844</v>
      </c>
      <c r="AG115" s="14">
        <f t="shared" si="23"/>
        <v>207911.2029808161</v>
      </c>
    </row>
    <row r="116" spans="2:33" ht="30" customHeight="1" x14ac:dyDescent="0.25">
      <c r="B116" s="13">
        <f t="shared" si="24"/>
        <v>113</v>
      </c>
      <c r="C116" s="14" t="s">
        <v>140</v>
      </c>
      <c r="D116" s="14">
        <f>SUM($L$3:L116)</f>
        <v>1163.0656086624747</v>
      </c>
      <c r="E116" s="14">
        <f t="shared" si="25"/>
        <v>10.752690382973697</v>
      </c>
      <c r="F116" s="15" t="s">
        <v>54</v>
      </c>
      <c r="G116" s="14">
        <v>20</v>
      </c>
      <c r="H116" s="14">
        <f t="shared" si="26"/>
        <v>0</v>
      </c>
      <c r="I116" s="14">
        <f t="shared" si="27"/>
        <v>0</v>
      </c>
      <c r="J116" s="14">
        <v>3</v>
      </c>
      <c r="K116" s="14">
        <v>5250</v>
      </c>
      <c r="L116" s="14">
        <v>10.752690382973697</v>
      </c>
      <c r="M116" s="14">
        <f t="shared" si="19"/>
        <v>24.053768386712161</v>
      </c>
      <c r="N116" s="14">
        <f t="shared" si="28"/>
        <v>-1.0240657507594015</v>
      </c>
      <c r="O116" s="14">
        <f>IF(J116=1,'[1]Gearing '!$C$17*'Duty Cycle '!N116,IF(J116=2,'[1]Gearing '!$C$18*'Duty Cycle '!N116,IF(J116=3,'[1]Gearing '!$C$19*'Duty Cycle '!N116)))</f>
        <v>-616.67569853141219</v>
      </c>
      <c r="P116" s="14">
        <f>IF(F116='Track '!$B$60,'Track '!$F$53,IF(F116='Track '!$B$61,'Track '!$F$54,IF(F116='Track '!$B$62,'Track '!$F$55)))</f>
        <v>0.02</v>
      </c>
      <c r="Q116" s="14">
        <f>P116*'Vehicle '!$F$40*9.81</f>
        <v>127.39265999999999</v>
      </c>
      <c r="R116" s="14">
        <f>0.5*'Vehicle '!$F$53*'Vehicle '!$F$25*'Track '!$F$57*'Duty Cycle '!L116^2</f>
        <v>44.181472383238614</v>
      </c>
      <c r="S116" s="14">
        <f>'Vehicle '!$F$40*9.81*SIN(RADIANS('Duty Cycle '!I116))</f>
        <v>0</v>
      </c>
      <c r="T116" s="18">
        <f t="shared" si="20"/>
        <v>171.57413238323861</v>
      </c>
      <c r="U116" s="14">
        <f t="shared" si="29"/>
        <v>1.8448835232443057</v>
      </c>
      <c r="V116" s="14">
        <f>'Vehicle '!$F$9-'Duty Cycle '!U116</f>
        <v>11.577935268702003</v>
      </c>
      <c r="W116" s="14">
        <f t="shared" si="21"/>
        <v>1.8448835232443057</v>
      </c>
      <c r="X116" s="16">
        <f t="shared" si="30"/>
        <v>3.3556837960356902</v>
      </c>
      <c r="Y116" s="16">
        <f t="shared" si="22"/>
        <v>4</v>
      </c>
      <c r="Z116" s="14">
        <f t="shared" si="17"/>
        <v>199551.97271104742</v>
      </c>
      <c r="AA116" s="14">
        <f t="shared" si="31"/>
        <v>26811101.899508018</v>
      </c>
      <c r="AB116" s="14">
        <f>'BSFC '!$X$14</f>
        <v>306.74480096579998</v>
      </c>
      <c r="AC116" s="14">
        <f t="shared" si="18"/>
        <v>0.15719678587296068</v>
      </c>
      <c r="AD116" s="14">
        <f t="shared" si="32"/>
        <v>40.916169778348589</v>
      </c>
      <c r="AE116" s="14">
        <f t="shared" si="33"/>
        <v>0.48573806834744848</v>
      </c>
      <c r="AF116" s="14">
        <f>0.5*'Vehicle '!$F$40*'Duty Cycle '!L116^2/1000</f>
        <v>37.536146780765641</v>
      </c>
      <c r="AG116" s="14">
        <f t="shared" si="23"/>
        <v>199589.50885782819</v>
      </c>
    </row>
    <row r="117" spans="2:33" ht="30" customHeight="1" x14ac:dyDescent="0.25">
      <c r="B117" s="13">
        <f t="shared" si="24"/>
        <v>114</v>
      </c>
      <c r="C117" s="14" t="s">
        <v>140</v>
      </c>
      <c r="D117" s="14">
        <f>SUM($L$3:L117)</f>
        <v>1173.3062661700687</v>
      </c>
      <c r="E117" s="14">
        <f t="shared" si="25"/>
        <v>10.240657507594051</v>
      </c>
      <c r="F117" s="15" t="s">
        <v>54</v>
      </c>
      <c r="G117" s="14">
        <v>20</v>
      </c>
      <c r="H117" s="14">
        <f t="shared" si="26"/>
        <v>0</v>
      </c>
      <c r="I117" s="14">
        <f t="shared" si="27"/>
        <v>0</v>
      </c>
      <c r="J117" s="14">
        <v>3</v>
      </c>
      <c r="K117" s="14">
        <v>5000</v>
      </c>
      <c r="L117" s="14">
        <v>10.240657507593998</v>
      </c>
      <c r="M117" s="14">
        <f t="shared" si="19"/>
        <v>22.908350844487774</v>
      </c>
      <c r="N117" s="14">
        <f t="shared" si="28"/>
        <v>-0.51203287537969899</v>
      </c>
      <c r="O117" s="14">
        <f>IF(J117=1,'[1]Gearing '!$C$17*'Duty Cycle '!N117,IF(J117=2,'[1]Gearing '!$C$18*'Duty Cycle '!N117,IF(J117=3,'[1]Gearing '!$C$19*'Duty Cycle '!N117)))</f>
        <v>-308.33784926570502</v>
      </c>
      <c r="P117" s="14">
        <f>IF(F117='Track '!$B$60,'Track '!$F$53,IF(F117='Track '!$B$61,'Track '!$F$54,IF(F117='Track '!$B$62,'Track '!$F$55)))</f>
        <v>0.02</v>
      </c>
      <c r="Q117" s="14">
        <f>P117*'Vehicle '!$F$40*9.81</f>
        <v>127.39265999999999</v>
      </c>
      <c r="R117" s="14">
        <f>0.5*'Vehicle '!$F$53*'Vehicle '!$F$25*'Track '!$F$57*'Duty Cycle '!L117^2</f>
        <v>40.073897853277657</v>
      </c>
      <c r="S117" s="14">
        <f>'Vehicle '!$F$40*9.81*SIN(RADIANS('Duty Cycle '!I117))</f>
        <v>0</v>
      </c>
      <c r="T117" s="18">
        <f t="shared" si="20"/>
        <v>167.46655785327766</v>
      </c>
      <c r="U117" s="14">
        <f t="shared" si="29"/>
        <v>1.7149676629510926</v>
      </c>
      <c r="V117" s="14">
        <f>'Vehicle '!$F$9-'Duty Cycle '!U117</f>
        <v>11.707851128995216</v>
      </c>
      <c r="W117" s="14">
        <f t="shared" si="21"/>
        <v>1.7149676629510926</v>
      </c>
      <c r="X117" s="16">
        <f t="shared" si="30"/>
        <v>3.2753469696170625</v>
      </c>
      <c r="Y117" s="16">
        <f t="shared" si="22"/>
        <v>4</v>
      </c>
      <c r="Z117" s="14">
        <f t="shared" si="17"/>
        <v>196489.56170318302</v>
      </c>
      <c r="AA117" s="14">
        <f t="shared" si="31"/>
        <v>27007591.461211201</v>
      </c>
      <c r="AB117" s="14">
        <f>'BSFC '!$X$14</f>
        <v>306.74480096579998</v>
      </c>
      <c r="AC117" s="14">
        <f t="shared" si="18"/>
        <v>0.14612705956519892</v>
      </c>
      <c r="AD117" s="14">
        <f t="shared" si="32"/>
        <v>41.062296837913792</v>
      </c>
      <c r="AE117" s="14">
        <f t="shared" si="33"/>
        <v>0.45153261405646467</v>
      </c>
      <c r="AF117" s="14">
        <f>0.5*'Vehicle '!$F$40*'Duty Cycle '!L117^2/1000</f>
        <v>34.046391637882678</v>
      </c>
      <c r="AG117" s="14">
        <f t="shared" si="23"/>
        <v>196523.6080948209</v>
      </c>
    </row>
    <row r="118" spans="2:33" ht="30" customHeight="1" x14ac:dyDescent="0.25">
      <c r="B118" s="13">
        <f t="shared" si="24"/>
        <v>115</v>
      </c>
      <c r="C118" s="14" t="s">
        <v>140</v>
      </c>
      <c r="D118" s="14">
        <f>SUM($L$3:L118)</f>
        <v>1183.5469236776628</v>
      </c>
      <c r="E118" s="14">
        <f t="shared" si="25"/>
        <v>10.240657507594051</v>
      </c>
      <c r="F118" s="15" t="s">
        <v>54</v>
      </c>
      <c r="G118" s="14">
        <v>20</v>
      </c>
      <c r="H118" s="14">
        <f t="shared" si="26"/>
        <v>0</v>
      </c>
      <c r="I118" s="14">
        <f t="shared" si="27"/>
        <v>0</v>
      </c>
      <c r="J118" s="14">
        <v>3</v>
      </c>
      <c r="K118" s="14">
        <v>5000</v>
      </c>
      <c r="L118" s="14">
        <v>10.240657507593998</v>
      </c>
      <c r="M118" s="14">
        <f t="shared" si="19"/>
        <v>22.908350844487774</v>
      </c>
      <c r="N118" s="14">
        <f t="shared" si="28"/>
        <v>0</v>
      </c>
      <c r="O118" s="14">
        <f>IF(J118=1,'[1]Gearing '!$C$17*'Duty Cycle '!N118,IF(J118=2,'[1]Gearing '!$C$18*'Duty Cycle '!N118,IF(J118=3,'[1]Gearing '!$C$19*'Duty Cycle '!N118)))</f>
        <v>0</v>
      </c>
      <c r="P118" s="14">
        <f>IF(F118='Track '!$B$60,'Track '!$F$53,IF(F118='Track '!$B$61,'Track '!$F$54,IF(F118='Track '!$B$62,'Track '!$F$55)))</f>
        <v>0.02</v>
      </c>
      <c r="Q118" s="14">
        <f>P118*'Vehicle '!$F$40*9.81</f>
        <v>127.39265999999999</v>
      </c>
      <c r="R118" s="14">
        <f>0.5*'Vehicle '!$F$53*'Vehicle '!$F$25*'Track '!$F$57*'Duty Cycle '!L118^2</f>
        <v>40.073897853277657</v>
      </c>
      <c r="S118" s="14">
        <f>'Vehicle '!$F$40*9.81*SIN(RADIANS('Duty Cycle '!I118))</f>
        <v>0</v>
      </c>
      <c r="T118" s="18">
        <f t="shared" si="20"/>
        <v>167.46655785327766</v>
      </c>
      <c r="U118" s="14">
        <f t="shared" si="29"/>
        <v>1.7149676629510926</v>
      </c>
      <c r="V118" s="14">
        <f>'Vehicle '!$F$9-'Duty Cycle '!U118</f>
        <v>11.707851128995216</v>
      </c>
      <c r="W118" s="14">
        <f t="shared" si="21"/>
        <v>1.7149676629510926</v>
      </c>
      <c r="X118" s="16">
        <f t="shared" si="30"/>
        <v>3.2753469696170625</v>
      </c>
      <c r="Y118" s="16">
        <f t="shared" si="22"/>
        <v>4</v>
      </c>
      <c r="Z118" s="14">
        <f t="shared" si="17"/>
        <v>198204.52936613411</v>
      </c>
      <c r="AA118" s="14">
        <f t="shared" si="31"/>
        <v>27205795.990577336</v>
      </c>
      <c r="AB118" s="14">
        <f>'BSFC '!$X$14</f>
        <v>306.74480096579998</v>
      </c>
      <c r="AC118" s="14">
        <f t="shared" si="18"/>
        <v>0.14612705956519892</v>
      </c>
      <c r="AD118" s="14">
        <f t="shared" si="32"/>
        <v>41.208423897478994</v>
      </c>
      <c r="AE118" s="14">
        <f t="shared" si="33"/>
        <v>0.45153261405646467</v>
      </c>
      <c r="AF118" s="14">
        <f>0.5*'Vehicle '!$F$40*'Duty Cycle '!L118^2/1000</f>
        <v>34.046391637882678</v>
      </c>
      <c r="AG118" s="14">
        <f t="shared" si="23"/>
        <v>198238.57575777199</v>
      </c>
    </row>
    <row r="119" spans="2:33" ht="30" customHeight="1" x14ac:dyDescent="0.25">
      <c r="B119" s="13">
        <f t="shared" si="24"/>
        <v>116</v>
      </c>
      <c r="C119" s="14" t="s">
        <v>140</v>
      </c>
      <c r="D119" s="14">
        <f>SUM($L$3:L119)</f>
        <v>1194.8116469360161</v>
      </c>
      <c r="E119" s="14">
        <f t="shared" si="25"/>
        <v>11.264723258353342</v>
      </c>
      <c r="F119" s="15" t="s">
        <v>54</v>
      </c>
      <c r="G119" s="14">
        <v>20</v>
      </c>
      <c r="H119" s="14">
        <f t="shared" si="26"/>
        <v>0</v>
      </c>
      <c r="I119" s="14">
        <f t="shared" si="27"/>
        <v>0</v>
      </c>
      <c r="J119" s="14">
        <v>3</v>
      </c>
      <c r="K119" s="14">
        <v>5500</v>
      </c>
      <c r="L119" s="14">
        <v>11.264723258353396</v>
      </c>
      <c r="M119" s="14">
        <f t="shared" si="19"/>
        <v>25.199185928936547</v>
      </c>
      <c r="N119" s="14">
        <f t="shared" si="28"/>
        <v>1.024065750759398</v>
      </c>
      <c r="O119" s="14">
        <f>IF(J119=1,'[1]Gearing '!$C$17*'Duty Cycle '!N119,IF(J119=2,'[1]Gearing '!$C$18*'Duty Cycle '!N119,IF(J119=3,'[1]Gearing '!$C$19*'Duty Cycle '!N119)))</f>
        <v>616.67569853141003</v>
      </c>
      <c r="P119" s="14">
        <f>IF(F119='Track '!$B$60,'Track '!$F$53,IF(F119='Track '!$B$61,'Track '!$F$54,IF(F119='Track '!$B$62,'Track '!$F$55)))</f>
        <v>0.02</v>
      </c>
      <c r="Q119" s="14">
        <f>P119*'Vehicle '!$F$40*9.81</f>
        <v>127.39265999999999</v>
      </c>
      <c r="R119" s="14">
        <f>0.5*'Vehicle '!$F$53*'Vehicle '!$F$25*'Track '!$F$57*'Duty Cycle '!L119^2</f>
        <v>48.489416402465956</v>
      </c>
      <c r="S119" s="14">
        <f>'Vehicle '!$F$40*9.81*SIN(RADIANS('Duty Cycle '!I119))</f>
        <v>0</v>
      </c>
      <c r="T119" s="18">
        <f t="shared" si="20"/>
        <v>175.88207640246594</v>
      </c>
      <c r="U119" s="14">
        <f t="shared" si="29"/>
        <v>1.9812629167783471</v>
      </c>
      <c r="V119" s="14">
        <f>'Vehicle '!$F$9-'Duty Cycle '!U119</f>
        <v>11.441555875167962</v>
      </c>
      <c r="W119" s="14">
        <f t="shared" si="21"/>
        <v>1.9812629167783471</v>
      </c>
      <c r="X119" s="16">
        <f t="shared" si="30"/>
        <v>3.4399394920357143</v>
      </c>
      <c r="Y119" s="16">
        <f t="shared" si="22"/>
        <v>4</v>
      </c>
      <c r="Z119" s="14">
        <f t="shared" si="17"/>
        <v>210145.95337295654</v>
      </c>
      <c r="AA119" s="14">
        <f t="shared" si="31"/>
        <v>27415941.943950292</v>
      </c>
      <c r="AB119" s="14">
        <f>'BSFC '!$X$14</f>
        <v>306.74480096579998</v>
      </c>
      <c r="AC119" s="14">
        <f t="shared" si="18"/>
        <v>0.16881724974113732</v>
      </c>
      <c r="AD119" s="14">
        <f t="shared" si="32"/>
        <v>41.377241147220133</v>
      </c>
      <c r="AE119" s="14">
        <f t="shared" si="33"/>
        <v>0.52164530170011425</v>
      </c>
      <c r="AF119" s="14">
        <f>0.5*'Vehicle '!$F$40*'Duty Cycle '!L119^2/1000</f>
        <v>41.19613388183803</v>
      </c>
      <c r="AG119" s="14">
        <f t="shared" si="23"/>
        <v>210187.14950683838</v>
      </c>
    </row>
    <row r="120" spans="2:33" ht="30" customHeight="1" x14ac:dyDescent="0.25">
      <c r="B120" s="13">
        <f t="shared" si="24"/>
        <v>117</v>
      </c>
      <c r="C120" s="14" t="s">
        <v>140</v>
      </c>
      <c r="D120" s="14">
        <f>SUM($L$3:L120)</f>
        <v>1207.100435945129</v>
      </c>
      <c r="E120" s="14">
        <f t="shared" si="25"/>
        <v>12.288789009112861</v>
      </c>
      <c r="F120" s="15" t="s">
        <v>54</v>
      </c>
      <c r="G120" s="14">
        <v>20</v>
      </c>
      <c r="H120" s="14">
        <f t="shared" si="26"/>
        <v>0</v>
      </c>
      <c r="I120" s="14">
        <f t="shared" si="27"/>
        <v>0</v>
      </c>
      <c r="J120" s="14">
        <v>3</v>
      </c>
      <c r="K120" s="14">
        <v>6000</v>
      </c>
      <c r="L120" s="14">
        <v>12.288789009112795</v>
      </c>
      <c r="M120" s="14">
        <f t="shared" si="19"/>
        <v>27.490021013385324</v>
      </c>
      <c r="N120" s="14">
        <f t="shared" si="28"/>
        <v>1.0240657507593998</v>
      </c>
      <c r="O120" s="14">
        <f>IF(J120=1,'[1]Gearing '!$C$17*'Duty Cycle '!N120,IF(J120=2,'[1]Gearing '!$C$18*'Duty Cycle '!N120,IF(J120=3,'[1]Gearing '!$C$19*'Duty Cycle '!N120)))</f>
        <v>616.67569853141106</v>
      </c>
      <c r="P120" s="14">
        <f>IF(F120='Track '!$B$60,'Track '!$F$53,IF(F120='Track '!$B$61,'Track '!$F$54,IF(F120='Track '!$B$62,'Track '!$F$55)))</f>
        <v>0.02</v>
      </c>
      <c r="Q120" s="14">
        <f>P120*'Vehicle '!$F$40*9.81</f>
        <v>127.39265999999999</v>
      </c>
      <c r="R120" s="14">
        <f>0.5*'Vehicle '!$F$53*'Vehicle '!$F$25*'Track '!$F$57*'Duty Cycle '!L120^2</f>
        <v>57.70641290871982</v>
      </c>
      <c r="S120" s="14">
        <f>'Vehicle '!$F$40*9.81*SIN(RADIANS('Duty Cycle '!I120))</f>
        <v>0</v>
      </c>
      <c r="T120" s="18">
        <f t="shared" si="20"/>
        <v>185.09907290871982</v>
      </c>
      <c r="U120" s="14">
        <f t="shared" si="29"/>
        <v>2.274643452757644</v>
      </c>
      <c r="V120" s="14">
        <f>'Vehicle '!$F$9-'Duty Cycle '!U120</f>
        <v>11.148175339188665</v>
      </c>
      <c r="W120" s="14">
        <f t="shared" si="21"/>
        <v>2.274643452757644</v>
      </c>
      <c r="X120" s="16">
        <f t="shared" si="30"/>
        <v>3.6202074927799512</v>
      </c>
      <c r="Y120" s="16">
        <f t="shared" si="22"/>
        <v>4</v>
      </c>
      <c r="Z120" s="14">
        <f t="shared" si="17"/>
        <v>223433.1716011549</v>
      </c>
      <c r="AA120" s="14">
        <f t="shared" si="31"/>
        <v>27639375.115551446</v>
      </c>
      <c r="AB120" s="14">
        <f>'BSFC '!$X$14</f>
        <v>306.74480096579998</v>
      </c>
      <c r="AC120" s="14">
        <f t="shared" si="18"/>
        <v>0.19381529255119542</v>
      </c>
      <c r="AD120" s="14">
        <f t="shared" si="32"/>
        <v>41.571056439771326</v>
      </c>
      <c r="AE120" s="14">
        <f t="shared" si="33"/>
        <v>0.59888925398319381</v>
      </c>
      <c r="AF120" s="14">
        <f>0.5*'Vehicle '!$F$40*'Duty Cycle '!L120^2/1000</f>
        <v>49.026803958551042</v>
      </c>
      <c r="AG120" s="14">
        <f t="shared" si="23"/>
        <v>223482.19840511345</v>
      </c>
    </row>
    <row r="121" spans="2:33" ht="30" customHeight="1" x14ac:dyDescent="0.25">
      <c r="B121" s="13">
        <f t="shared" si="24"/>
        <v>118</v>
      </c>
      <c r="C121" s="14" t="s">
        <v>79</v>
      </c>
      <c r="D121" s="14">
        <f>SUM($L$3:L121)</f>
        <v>1220.4132907050011</v>
      </c>
      <c r="E121" s="14">
        <f t="shared" si="25"/>
        <v>13.312854759872152</v>
      </c>
      <c r="F121" s="15" t="s">
        <v>53</v>
      </c>
      <c r="G121" s="14">
        <v>19.5</v>
      </c>
      <c r="H121" s="14">
        <f t="shared" si="26"/>
        <v>-0.5</v>
      </c>
      <c r="I121" s="14">
        <f t="shared" si="27"/>
        <v>-2.1508858631944063</v>
      </c>
      <c r="J121" s="14">
        <v>3</v>
      </c>
      <c r="K121" s="14">
        <v>6500</v>
      </c>
      <c r="L121" s="14">
        <v>13.312854759872195</v>
      </c>
      <c r="M121" s="14">
        <f t="shared" si="19"/>
        <v>29.780856097834103</v>
      </c>
      <c r="N121" s="14">
        <f t="shared" si="28"/>
        <v>1.0240657507593998</v>
      </c>
      <c r="O121" s="14">
        <f>IF(J121=1,'[1]Gearing '!$C$17*'Duty Cycle '!N121,IF(J121=2,'[1]Gearing '!$C$18*'Duty Cycle '!N121,IF(J121=3,'[1]Gearing '!$C$19*'Duty Cycle '!N121)))</f>
        <v>616.67569853141106</v>
      </c>
      <c r="P121" s="14">
        <f>IF(F121='Track '!$B$60,'Track '!$F$53,IF(F121='Track '!$B$61,'Track '!$F$54,IF(F121='Track '!$B$62,'Track '!$F$55)))</f>
        <v>0.04</v>
      </c>
      <c r="Q121" s="14">
        <f>P121*'Vehicle '!$F$40*9.81</f>
        <v>254.78531999999998</v>
      </c>
      <c r="R121" s="14">
        <f>0.5*'Vehicle '!$F$53*'Vehicle '!$F$25*'Track '!$F$57*'Duty Cycle '!L121^2</f>
        <v>67.724887372039234</v>
      </c>
      <c r="S121" s="14">
        <f>'Vehicle '!$F$40*9.81*SIN(RADIANS('Duty Cycle '!I121))</f>
        <v>-239.06011988126386</v>
      </c>
      <c r="T121" s="18">
        <f t="shared" si="20"/>
        <v>83.450087490775331</v>
      </c>
      <c r="U121" s="14">
        <f t="shared" si="29"/>
        <v>1.1109588944633195</v>
      </c>
      <c r="V121" s="14">
        <f>'Vehicle '!$F$9-'Duty Cycle '!U121</f>
        <v>12.311859897482989</v>
      </c>
      <c r="W121" s="14">
        <f t="shared" si="21"/>
        <v>1.1109588944633195</v>
      </c>
      <c r="X121" s="16">
        <f t="shared" si="30"/>
        <v>1.6321347657761036</v>
      </c>
      <c r="Y121" s="16">
        <f t="shared" si="22"/>
        <v>2</v>
      </c>
      <c r="Z121" s="14">
        <f t="shared" si="17"/>
        <v>101843.59588423738</v>
      </c>
      <c r="AA121" s="14">
        <f t="shared" si="31"/>
        <v>27741218.711435683</v>
      </c>
      <c r="AB121" s="14">
        <f>'BSFC '!$X$14</f>
        <v>306.74480096579998</v>
      </c>
      <c r="AC121" s="14">
        <f t="shared" si="18"/>
        <v>9.4661351378704475E-2</v>
      </c>
      <c r="AD121" s="14">
        <f t="shared" si="32"/>
        <v>41.66571779115003</v>
      </c>
      <c r="AE121" s="14">
        <f t="shared" si="33"/>
        <v>0.29250357576019681</v>
      </c>
      <c r="AF121" s="14">
        <f>0.5*'Vehicle '!$F$40*'Duty Cycle '!L121^2/1000</f>
        <v>57.538401868021715</v>
      </c>
      <c r="AG121" s="14">
        <f t="shared" si="23"/>
        <v>101901.1342861054</v>
      </c>
    </row>
    <row r="122" spans="2:33" ht="30" customHeight="1" x14ac:dyDescent="0.25">
      <c r="B122" s="13">
        <f t="shared" si="24"/>
        <v>119</v>
      </c>
      <c r="C122" s="14" t="s">
        <v>63</v>
      </c>
      <c r="D122" s="14">
        <f>SUM($L$3:L122)</f>
        <v>1233.7261454648733</v>
      </c>
      <c r="E122" s="14">
        <f t="shared" si="25"/>
        <v>13.312854759872152</v>
      </c>
      <c r="F122" s="15" t="s">
        <v>53</v>
      </c>
      <c r="G122" s="14">
        <v>18.5</v>
      </c>
      <c r="H122" s="14">
        <f t="shared" si="26"/>
        <v>-1</v>
      </c>
      <c r="I122" s="14">
        <f t="shared" si="27"/>
        <v>-4.2957264645771662</v>
      </c>
      <c r="J122" s="14">
        <v>3</v>
      </c>
      <c r="K122" s="14">
        <v>6500</v>
      </c>
      <c r="L122" s="14">
        <v>13.312854759872195</v>
      </c>
      <c r="M122" s="14">
        <f t="shared" si="19"/>
        <v>29.780856097834103</v>
      </c>
      <c r="N122" s="14">
        <f t="shared" si="28"/>
        <v>0</v>
      </c>
      <c r="O122" s="14">
        <f>IF(J122=1,'[1]Gearing '!$C$17*'Duty Cycle '!N122,IF(J122=2,'[1]Gearing '!$C$18*'Duty Cycle '!N122,IF(J122=3,'[1]Gearing '!$C$19*'Duty Cycle '!N122)))</f>
        <v>0</v>
      </c>
      <c r="P122" s="14">
        <f>IF(F122='Track '!$B$60,'Track '!$F$53,IF(F122='Track '!$B$61,'Track '!$F$54,IF(F122='Track '!$B$62,'Track '!$F$55)))</f>
        <v>0.04</v>
      </c>
      <c r="Q122" s="14">
        <f>P122*'Vehicle '!$F$40*9.81</f>
        <v>254.78531999999998</v>
      </c>
      <c r="R122" s="14">
        <f>0.5*'Vehicle '!$F$53*'Vehicle '!$F$25*'Track '!$F$57*'Duty Cycle '!L122^2</f>
        <v>67.724887372039234</v>
      </c>
      <c r="S122" s="14">
        <f>'Vehicle '!$F$40*9.81*SIN(RADIANS('Duty Cycle '!I122))</f>
        <v>-477.11321519062324</v>
      </c>
      <c r="T122" s="18">
        <f t="shared" si="20"/>
        <v>-154.60300781858405</v>
      </c>
      <c r="U122" s="14">
        <f t="shared" si="29"/>
        <v>2.0582073885281948</v>
      </c>
      <c r="V122" s="14">
        <f>'Vehicle '!$F$9-'Duty Cycle '!U122</f>
        <v>11.364611403418113</v>
      </c>
      <c r="W122" s="14">
        <f t="shared" si="21"/>
        <v>2.0582073885281948</v>
      </c>
      <c r="X122" s="16">
        <f t="shared" si="30"/>
        <v>3.0237588903925232</v>
      </c>
      <c r="Y122" s="16">
        <f t="shared" si="22"/>
        <v>4</v>
      </c>
      <c r="Z122" s="14">
        <f t="shared" si="17"/>
        <v>-190737.77291329738</v>
      </c>
      <c r="AA122" s="14">
        <f t="shared" si="31"/>
        <v>27550480.938522387</v>
      </c>
      <c r="AB122" s="14">
        <f>'BSFC '!$X$14</f>
        <v>306.74480096579998</v>
      </c>
      <c r="AC122" s="14">
        <f t="shared" si="18"/>
        <v>0.17537344881678338</v>
      </c>
      <c r="AD122" s="14">
        <f t="shared" si="32"/>
        <v>41.841091239966815</v>
      </c>
      <c r="AE122" s="14">
        <f t="shared" si="33"/>
        <v>0.54190395684386061</v>
      </c>
      <c r="AF122" s="14">
        <f>0.5*'Vehicle '!$F$40*'Duty Cycle '!L122^2/1000</f>
        <v>57.538401868021715</v>
      </c>
      <c r="AG122" s="14">
        <f t="shared" si="23"/>
        <v>-190680.23451142936</v>
      </c>
    </row>
    <row r="123" spans="2:33" ht="30" customHeight="1" x14ac:dyDescent="0.25">
      <c r="B123" s="13">
        <f t="shared" si="24"/>
        <v>120</v>
      </c>
      <c r="C123" s="14" t="s">
        <v>63</v>
      </c>
      <c r="D123" s="14">
        <f>SUM($L$3:L123)</f>
        <v>1246.5269673493658</v>
      </c>
      <c r="E123" s="14">
        <f t="shared" si="25"/>
        <v>12.800821884492507</v>
      </c>
      <c r="F123" s="15" t="s">
        <v>53</v>
      </c>
      <c r="G123" s="14">
        <v>17.2</v>
      </c>
      <c r="H123" s="14">
        <f t="shared" si="26"/>
        <v>-1.3000000000000007</v>
      </c>
      <c r="I123" s="14">
        <f t="shared" si="27"/>
        <v>-5.7988478243737358</v>
      </c>
      <c r="J123" s="14">
        <v>3</v>
      </c>
      <c r="K123" s="14">
        <v>6250</v>
      </c>
      <c r="L123" s="14">
        <v>12.800821884492496</v>
      </c>
      <c r="M123" s="14">
        <f t="shared" si="19"/>
        <v>28.635438555609714</v>
      </c>
      <c r="N123" s="14">
        <f t="shared" si="28"/>
        <v>-0.51203287537969899</v>
      </c>
      <c r="O123" s="14">
        <f>IF(J123=1,'[1]Gearing '!$C$17*'Duty Cycle '!N123,IF(J123=2,'[1]Gearing '!$C$18*'Duty Cycle '!N123,IF(J123=3,'[1]Gearing '!$C$19*'Duty Cycle '!N123)))</f>
        <v>-308.33784926570502</v>
      </c>
      <c r="P123" s="14">
        <f>IF(F123='Track '!$B$60,'Track '!$F$53,IF(F123='Track '!$B$61,'Track '!$F$54,IF(F123='Track '!$B$62,'Track '!$F$55)))</f>
        <v>0.04</v>
      </c>
      <c r="Q123" s="14">
        <f>P123*'Vehicle '!$F$40*9.81</f>
        <v>254.78531999999998</v>
      </c>
      <c r="R123" s="14">
        <f>0.5*'Vehicle '!$F$53*'Vehicle '!$F$25*'Track '!$F$57*'Duty Cycle '!L123^2</f>
        <v>62.615465395746334</v>
      </c>
      <c r="S123" s="14">
        <f>'Vehicle '!$F$40*9.81*SIN(RADIANS('Duty Cycle '!I123))</f>
        <v>-643.56409239208676</v>
      </c>
      <c r="T123" s="18">
        <f t="shared" si="20"/>
        <v>-326.16330699634045</v>
      </c>
      <c r="U123" s="14">
        <f t="shared" si="29"/>
        <v>4.1751583981171985</v>
      </c>
      <c r="V123" s="14">
        <f>'Vehicle '!$F$9-'Duty Cycle '!U123</f>
        <v>9.2476603938291113</v>
      </c>
      <c r="W123" s="14">
        <f t="shared" si="21"/>
        <v>4.1751583981171985</v>
      </c>
      <c r="X123" s="16">
        <f t="shared" si="30"/>
        <v>6.3791721336191207</v>
      </c>
      <c r="Y123" s="16">
        <f t="shared" si="22"/>
        <v>7</v>
      </c>
      <c r="Z123" s="14">
        <f t="shared" si="17"/>
        <v>-406571.35793078848</v>
      </c>
      <c r="AA123" s="14">
        <f t="shared" si="31"/>
        <v>27143909.5805916</v>
      </c>
      <c r="AB123" s="14">
        <f>'BSFC '!$X$14</f>
        <v>306.74480096579998</v>
      </c>
      <c r="AC123" s="14">
        <f t="shared" si="18"/>
        <v>0.35575225884198569</v>
      </c>
      <c r="AD123" s="14">
        <f t="shared" si="32"/>
        <v>42.196843498808803</v>
      </c>
      <c r="AE123" s="14">
        <f t="shared" si="33"/>
        <v>1.0992744798217358</v>
      </c>
      <c r="AF123" s="14">
        <f>0.5*'Vehicle '!$F$40*'Duty Cycle '!L123^2/1000</f>
        <v>53.19748693419168</v>
      </c>
      <c r="AG123" s="14">
        <f t="shared" si="23"/>
        <v>-406518.16044385429</v>
      </c>
    </row>
    <row r="124" spans="2:33" ht="30" customHeight="1" x14ac:dyDescent="0.25">
      <c r="B124" s="13">
        <f t="shared" si="24"/>
        <v>121</v>
      </c>
      <c r="C124" s="14" t="s">
        <v>63</v>
      </c>
      <c r="D124" s="14">
        <f>SUM($L$3:L124)</f>
        <v>1258.8157563584787</v>
      </c>
      <c r="E124" s="14">
        <f t="shared" si="25"/>
        <v>12.288789009112861</v>
      </c>
      <c r="F124" s="15" t="s">
        <v>53</v>
      </c>
      <c r="G124" s="14">
        <v>16</v>
      </c>
      <c r="H124" s="14">
        <f t="shared" si="26"/>
        <v>-1.1999999999999993</v>
      </c>
      <c r="I124" s="14">
        <f t="shared" si="27"/>
        <v>-5.5772492511100475</v>
      </c>
      <c r="J124" s="14">
        <v>3</v>
      </c>
      <c r="K124" s="14">
        <v>6000</v>
      </c>
      <c r="L124" s="14">
        <v>12.288789009112795</v>
      </c>
      <c r="M124" s="14">
        <f t="shared" si="19"/>
        <v>27.490021013385324</v>
      </c>
      <c r="N124" s="14">
        <f t="shared" si="28"/>
        <v>-0.51203287537970077</v>
      </c>
      <c r="O124" s="14">
        <f>IF(J124=1,'[1]Gearing '!$C$17*'Duty Cycle '!N124,IF(J124=2,'[1]Gearing '!$C$18*'Duty Cycle '!N124,IF(J124=3,'[1]Gearing '!$C$19*'Duty Cycle '!N124)))</f>
        <v>-308.3378492657061</v>
      </c>
      <c r="P124" s="14">
        <f>IF(F124='Track '!$B$60,'Track '!$F$53,IF(F124='Track '!$B$61,'Track '!$F$54,IF(F124='Track '!$B$62,'Track '!$F$55)))</f>
        <v>0.04</v>
      </c>
      <c r="Q124" s="14">
        <f>P124*'Vehicle '!$F$40*9.81</f>
        <v>254.78531999999998</v>
      </c>
      <c r="R124" s="14">
        <f>0.5*'Vehicle '!$F$53*'Vehicle '!$F$25*'Track '!$F$57*'Duty Cycle '!L124^2</f>
        <v>57.70641290871982</v>
      </c>
      <c r="S124" s="14">
        <f>'Vehicle '!$F$40*9.81*SIN(RADIANS('Duty Cycle '!I124))</f>
        <v>-619.05005553456976</v>
      </c>
      <c r="T124" s="18">
        <f t="shared" si="20"/>
        <v>-306.55832262584994</v>
      </c>
      <c r="U124" s="14">
        <f t="shared" si="29"/>
        <v>3.7672305457365991</v>
      </c>
      <c r="V124" s="14">
        <f>'Vehicle '!$F$9-'Duty Cycle '!U124</f>
        <v>9.6555882462097102</v>
      </c>
      <c r="W124" s="14">
        <f t="shared" si="21"/>
        <v>3.7672305457365991</v>
      </c>
      <c r="X124" s="16">
        <f t="shared" si="30"/>
        <v>5.9957336312075826</v>
      </c>
      <c r="Y124" s="16">
        <f t="shared" si="22"/>
        <v>6</v>
      </c>
      <c r="Z124" s="14">
        <f t="shared" si="17"/>
        <v>-385900.4467642458</v>
      </c>
      <c r="AA124" s="14">
        <f t="shared" si="31"/>
        <v>26758009.133827355</v>
      </c>
      <c r="AB124" s="14">
        <f>'BSFC '!$X$14</f>
        <v>306.74480096579998</v>
      </c>
      <c r="AC124" s="14">
        <f t="shared" si="18"/>
        <v>0.32099399554007085</v>
      </c>
      <c r="AD124" s="14">
        <f t="shared" si="32"/>
        <v>42.517837494348875</v>
      </c>
      <c r="AE124" s="14">
        <f t="shared" si="33"/>
        <v>0.99187144621881884</v>
      </c>
      <c r="AF124" s="14">
        <f>0.5*'Vehicle '!$F$40*'Duty Cycle '!L124^2/1000</f>
        <v>49.026803958551042</v>
      </c>
      <c r="AG124" s="14">
        <f t="shared" si="23"/>
        <v>-385851.41996028722</v>
      </c>
    </row>
    <row r="125" spans="2:33" ht="30" customHeight="1" x14ac:dyDescent="0.25">
      <c r="B125" s="13">
        <f t="shared" si="24"/>
        <v>122</v>
      </c>
      <c r="C125" s="14" t="s">
        <v>63</v>
      </c>
      <c r="D125" s="14">
        <f>SUM($L$3:L125)</f>
        <v>1271.1045453675915</v>
      </c>
      <c r="E125" s="14">
        <f t="shared" si="25"/>
        <v>12.288789009112861</v>
      </c>
      <c r="F125" s="15" t="s">
        <v>53</v>
      </c>
      <c r="G125" s="14">
        <v>14.8</v>
      </c>
      <c r="H125" s="14">
        <f t="shared" si="26"/>
        <v>-1.1999999999999993</v>
      </c>
      <c r="I125" s="14">
        <f t="shared" si="27"/>
        <v>-5.5772492511100475</v>
      </c>
      <c r="J125" s="14">
        <v>3</v>
      </c>
      <c r="K125" s="14">
        <v>6000</v>
      </c>
      <c r="L125" s="14">
        <v>12.288789009112795</v>
      </c>
      <c r="M125" s="14">
        <f t="shared" si="19"/>
        <v>27.490021013385324</v>
      </c>
      <c r="N125" s="14">
        <f t="shared" si="28"/>
        <v>0</v>
      </c>
      <c r="O125" s="14">
        <f>IF(J125=1,'[1]Gearing '!$C$17*'Duty Cycle '!N125,IF(J125=2,'[1]Gearing '!$C$18*'Duty Cycle '!N125,IF(J125=3,'[1]Gearing '!$C$19*'Duty Cycle '!N125)))</f>
        <v>0</v>
      </c>
      <c r="P125" s="14">
        <f>IF(F125='Track '!$B$60,'Track '!$F$53,IF(F125='Track '!$B$61,'Track '!$F$54,IF(F125='Track '!$B$62,'Track '!$F$55)))</f>
        <v>0.04</v>
      </c>
      <c r="Q125" s="14">
        <f>P125*'Vehicle '!$F$40*9.81</f>
        <v>254.78531999999998</v>
      </c>
      <c r="R125" s="14">
        <f>0.5*'Vehicle '!$F$53*'Vehicle '!$F$25*'Track '!$F$57*'Duty Cycle '!L125^2</f>
        <v>57.70641290871982</v>
      </c>
      <c r="S125" s="14">
        <f>'Vehicle '!$F$40*9.81*SIN(RADIANS('Duty Cycle '!I125))</f>
        <v>-619.05005553456976</v>
      </c>
      <c r="T125" s="18">
        <f t="shared" si="20"/>
        <v>-306.55832262584994</v>
      </c>
      <c r="U125" s="14">
        <f t="shared" si="29"/>
        <v>3.7672305457365991</v>
      </c>
      <c r="V125" s="14">
        <f>'Vehicle '!$F$9-'Duty Cycle '!U125</f>
        <v>9.6555882462097102</v>
      </c>
      <c r="W125" s="14">
        <f t="shared" si="21"/>
        <v>3.7672305457365991</v>
      </c>
      <c r="X125" s="16">
        <f t="shared" si="30"/>
        <v>5.9957336312075826</v>
      </c>
      <c r="Y125" s="16">
        <f t="shared" si="22"/>
        <v>6</v>
      </c>
      <c r="Z125" s="14">
        <f t="shared" si="17"/>
        <v>-389667.67730998242</v>
      </c>
      <c r="AA125" s="14">
        <f t="shared" si="31"/>
        <v>26368341.456517372</v>
      </c>
      <c r="AB125" s="14">
        <f>'BSFC '!$X$14</f>
        <v>306.74480096579998</v>
      </c>
      <c r="AC125" s="14">
        <f t="shared" si="18"/>
        <v>0.32099399554007085</v>
      </c>
      <c r="AD125" s="14">
        <f t="shared" si="32"/>
        <v>42.838831489888946</v>
      </c>
      <c r="AE125" s="14">
        <f t="shared" si="33"/>
        <v>0.99187144621881884</v>
      </c>
      <c r="AF125" s="14">
        <f>0.5*'Vehicle '!$F$40*'Duty Cycle '!L125^2/1000</f>
        <v>49.026803958551042</v>
      </c>
      <c r="AG125" s="14">
        <f t="shared" si="23"/>
        <v>-389618.65050602384</v>
      </c>
    </row>
    <row r="126" spans="2:33" ht="30" customHeight="1" x14ac:dyDescent="0.25">
      <c r="B126" s="13">
        <f t="shared" si="24"/>
        <v>123</v>
      </c>
      <c r="C126" s="14" t="s">
        <v>63</v>
      </c>
      <c r="D126" s="14">
        <f>SUM($L$3:L126)</f>
        <v>1283.3933343767044</v>
      </c>
      <c r="E126" s="14">
        <f t="shared" si="25"/>
        <v>12.288789009112861</v>
      </c>
      <c r="F126" s="15" t="s">
        <v>53</v>
      </c>
      <c r="G126" s="14">
        <v>13.6</v>
      </c>
      <c r="H126" s="14">
        <f t="shared" si="26"/>
        <v>-1.2000000000000011</v>
      </c>
      <c r="I126" s="14">
        <f t="shared" si="27"/>
        <v>-5.5772492511100555</v>
      </c>
      <c r="J126" s="14">
        <v>3</v>
      </c>
      <c r="K126" s="14">
        <v>6000</v>
      </c>
      <c r="L126" s="14">
        <v>12.288789009112795</v>
      </c>
      <c r="M126" s="14">
        <f t="shared" si="19"/>
        <v>27.490021013385324</v>
      </c>
      <c r="N126" s="14">
        <f t="shared" si="28"/>
        <v>0</v>
      </c>
      <c r="O126" s="14">
        <f>IF(J126=1,'[1]Gearing '!$C$17*'Duty Cycle '!N126,IF(J126=2,'[1]Gearing '!$C$18*'Duty Cycle '!N126,IF(J126=3,'[1]Gearing '!$C$19*'Duty Cycle '!N126)))</f>
        <v>0</v>
      </c>
      <c r="P126" s="14">
        <f>IF(F126='Track '!$B$60,'Track '!$F$53,IF(F126='Track '!$B$61,'Track '!$F$54,IF(F126='Track '!$B$62,'Track '!$F$55)))</f>
        <v>0.04</v>
      </c>
      <c r="Q126" s="14">
        <f>P126*'Vehicle '!$F$40*9.81</f>
        <v>254.78531999999998</v>
      </c>
      <c r="R126" s="14">
        <f>0.5*'Vehicle '!$F$53*'Vehicle '!$F$25*'Track '!$F$57*'Duty Cycle '!L126^2</f>
        <v>57.70641290871982</v>
      </c>
      <c r="S126" s="14">
        <f>'Vehicle '!$F$40*9.81*SIN(RADIANS('Duty Cycle '!I126))</f>
        <v>-619.05005553457067</v>
      </c>
      <c r="T126" s="18">
        <f t="shared" si="20"/>
        <v>-306.55832262585085</v>
      </c>
      <c r="U126" s="14">
        <f t="shared" si="29"/>
        <v>3.7672305457366102</v>
      </c>
      <c r="V126" s="14">
        <f>'Vehicle '!$F$9-'Duty Cycle '!U126</f>
        <v>9.6555882462096996</v>
      </c>
      <c r="W126" s="14">
        <f t="shared" si="21"/>
        <v>3.7672305457366102</v>
      </c>
      <c r="X126" s="16">
        <f t="shared" si="30"/>
        <v>5.9957336312075995</v>
      </c>
      <c r="Y126" s="16">
        <f t="shared" si="22"/>
        <v>6</v>
      </c>
      <c r="Z126" s="14">
        <f t="shared" si="17"/>
        <v>-393434.9078557202</v>
      </c>
      <c r="AA126" s="14">
        <f t="shared" si="31"/>
        <v>25974906.548661653</v>
      </c>
      <c r="AB126" s="14">
        <f>'BSFC '!$X$14</f>
        <v>306.74480096579998</v>
      </c>
      <c r="AC126" s="14">
        <f t="shared" si="18"/>
        <v>0.32099399554007185</v>
      </c>
      <c r="AD126" s="14">
        <f t="shared" si="32"/>
        <v>43.159825485429018</v>
      </c>
      <c r="AE126" s="14">
        <f t="shared" si="33"/>
        <v>0.99187144621882195</v>
      </c>
      <c r="AF126" s="14">
        <f>0.5*'Vehicle '!$F$40*'Duty Cycle '!L126^2/1000</f>
        <v>49.026803958551042</v>
      </c>
      <c r="AG126" s="14">
        <f t="shared" si="23"/>
        <v>-393385.88105176162</v>
      </c>
    </row>
    <row r="127" spans="2:33" ht="30" customHeight="1" x14ac:dyDescent="0.25">
      <c r="B127" s="13">
        <f t="shared" si="24"/>
        <v>124</v>
      </c>
      <c r="C127" s="14" t="s">
        <v>63</v>
      </c>
      <c r="D127" s="14">
        <f>SUM($L$3:L127)</f>
        <v>1295.6821233858172</v>
      </c>
      <c r="E127" s="14">
        <f t="shared" si="25"/>
        <v>12.288789009112861</v>
      </c>
      <c r="F127" s="15" t="s">
        <v>53</v>
      </c>
      <c r="G127" s="14">
        <v>12.6</v>
      </c>
      <c r="H127" s="14">
        <f t="shared" si="26"/>
        <v>-1</v>
      </c>
      <c r="I127" s="14">
        <f t="shared" si="27"/>
        <v>-4.6521924040056239</v>
      </c>
      <c r="J127" s="14">
        <v>3</v>
      </c>
      <c r="K127" s="14">
        <v>6000</v>
      </c>
      <c r="L127" s="14">
        <v>12.288789009112795</v>
      </c>
      <c r="M127" s="14">
        <f t="shared" si="19"/>
        <v>27.490021013385324</v>
      </c>
      <c r="N127" s="14">
        <f t="shared" si="28"/>
        <v>0</v>
      </c>
      <c r="O127" s="14">
        <f>IF(J127=1,'[1]Gearing '!$C$17*'Duty Cycle '!N127,IF(J127=2,'[1]Gearing '!$C$18*'Duty Cycle '!N127,IF(J127=3,'[1]Gearing '!$C$19*'Duty Cycle '!N127)))</f>
        <v>0</v>
      </c>
      <c r="P127" s="14">
        <f>IF(F127='Track '!$B$60,'Track '!$F$53,IF(F127='Track '!$B$61,'Track '!$F$54,IF(F127='Track '!$B$62,'Track '!$F$55)))</f>
        <v>0.04</v>
      </c>
      <c r="Q127" s="14">
        <f>P127*'Vehicle '!$F$40*9.81</f>
        <v>254.78531999999998</v>
      </c>
      <c r="R127" s="14">
        <f>0.5*'Vehicle '!$F$53*'Vehicle '!$F$25*'Track '!$F$57*'Duty Cycle '!L127^2</f>
        <v>57.70641290871982</v>
      </c>
      <c r="S127" s="14">
        <f>'Vehicle '!$F$40*9.81*SIN(RADIANS('Duty Cycle '!I127))</f>
        <v>-516.62109765348123</v>
      </c>
      <c r="T127" s="18">
        <f t="shared" si="20"/>
        <v>-204.1293647447614</v>
      </c>
      <c r="U127" s="14">
        <f t="shared" si="29"/>
        <v>2.5085026939126012</v>
      </c>
      <c r="V127" s="14">
        <f>'Vehicle '!$F$9-'Duty Cycle '!U127</f>
        <v>10.914316098033709</v>
      </c>
      <c r="W127" s="14">
        <f t="shared" si="21"/>
        <v>2.5085026939126012</v>
      </c>
      <c r="X127" s="16">
        <f t="shared" si="30"/>
        <v>3.9924060349552617</v>
      </c>
      <c r="Y127" s="16">
        <f t="shared" si="22"/>
        <v>4</v>
      </c>
      <c r="Z127" s="14">
        <f t="shared" si="17"/>
        <v>-264486.76875789044</v>
      </c>
      <c r="AA127" s="14">
        <f t="shared" si="31"/>
        <v>25710419.779903762</v>
      </c>
      <c r="AB127" s="14">
        <f>'BSFC '!$X$14</f>
        <v>306.74480096579998</v>
      </c>
      <c r="AC127" s="14">
        <f t="shared" si="18"/>
        <v>0.21374171099066497</v>
      </c>
      <c r="AD127" s="14">
        <f t="shared" si="32"/>
        <v>43.373567196419685</v>
      </c>
      <c r="AE127" s="14">
        <f t="shared" si="33"/>
        <v>0.66046188696115471</v>
      </c>
      <c r="AF127" s="14">
        <f>0.5*'Vehicle '!$F$40*'Duty Cycle '!L127^2/1000</f>
        <v>49.026803958551042</v>
      </c>
      <c r="AG127" s="14">
        <f t="shared" si="23"/>
        <v>-264437.74195393187</v>
      </c>
    </row>
    <row r="128" spans="2:33" ht="30" customHeight="1" x14ac:dyDescent="0.25">
      <c r="B128" s="13">
        <f t="shared" si="24"/>
        <v>125</v>
      </c>
      <c r="C128" s="14" t="s">
        <v>63</v>
      </c>
      <c r="D128" s="14">
        <f>SUM($L$3:L128)</f>
        <v>1307.9709123949301</v>
      </c>
      <c r="E128" s="14">
        <f t="shared" si="25"/>
        <v>12.288789009112861</v>
      </c>
      <c r="F128" s="15" t="s">
        <v>53</v>
      </c>
      <c r="G128" s="14">
        <v>11.6</v>
      </c>
      <c r="H128" s="14">
        <f t="shared" si="26"/>
        <v>-1</v>
      </c>
      <c r="I128" s="14">
        <f t="shared" si="27"/>
        <v>-4.6521924040056239</v>
      </c>
      <c r="J128" s="14">
        <v>3</v>
      </c>
      <c r="K128" s="14">
        <v>6000</v>
      </c>
      <c r="L128" s="14">
        <v>12.288789009112795</v>
      </c>
      <c r="M128" s="14">
        <f t="shared" si="19"/>
        <v>27.490021013385324</v>
      </c>
      <c r="N128" s="14">
        <f t="shared" si="28"/>
        <v>0</v>
      </c>
      <c r="O128" s="14">
        <f>IF(J128=1,'[1]Gearing '!$C$17*'Duty Cycle '!N128,IF(J128=2,'[1]Gearing '!$C$18*'Duty Cycle '!N128,IF(J128=3,'[1]Gearing '!$C$19*'Duty Cycle '!N128)))</f>
        <v>0</v>
      </c>
      <c r="P128" s="14">
        <f>IF(F128='Track '!$B$60,'Track '!$F$53,IF(F128='Track '!$B$61,'Track '!$F$54,IF(F128='Track '!$B$62,'Track '!$F$55)))</f>
        <v>0.04</v>
      </c>
      <c r="Q128" s="14">
        <f>P128*'Vehicle '!$F$40*9.81</f>
        <v>254.78531999999998</v>
      </c>
      <c r="R128" s="14">
        <f>0.5*'Vehicle '!$F$53*'Vehicle '!$F$25*'Track '!$F$57*'Duty Cycle '!L128^2</f>
        <v>57.70641290871982</v>
      </c>
      <c r="S128" s="14">
        <f>'Vehicle '!$F$40*9.81*SIN(RADIANS('Duty Cycle '!I128))</f>
        <v>-516.62109765348123</v>
      </c>
      <c r="T128" s="18">
        <f t="shared" si="20"/>
        <v>-204.1293647447614</v>
      </c>
      <c r="U128" s="14">
        <f t="shared" si="29"/>
        <v>2.5085026939126012</v>
      </c>
      <c r="V128" s="14">
        <f>'Vehicle '!$F$9-'Duty Cycle '!U128</f>
        <v>10.914316098033709</v>
      </c>
      <c r="W128" s="14">
        <f t="shared" si="21"/>
        <v>2.5085026939126012</v>
      </c>
      <c r="X128" s="16">
        <f t="shared" si="30"/>
        <v>3.9924060349552617</v>
      </c>
      <c r="Y128" s="16">
        <f t="shared" si="22"/>
        <v>4</v>
      </c>
      <c r="Z128" s="14">
        <f t="shared" si="17"/>
        <v>-266995.27145180304</v>
      </c>
      <c r="AA128" s="14">
        <f t="shared" si="31"/>
        <v>25443424.508451957</v>
      </c>
      <c r="AB128" s="14">
        <f>'BSFC '!$X$14</f>
        <v>306.74480096579998</v>
      </c>
      <c r="AC128" s="14">
        <f t="shared" si="18"/>
        <v>0.21374171099066497</v>
      </c>
      <c r="AD128" s="14">
        <f t="shared" si="32"/>
        <v>43.587308907410353</v>
      </c>
      <c r="AE128" s="14">
        <f t="shared" si="33"/>
        <v>0.66046188696115471</v>
      </c>
      <c r="AF128" s="14">
        <f>0.5*'Vehicle '!$F$40*'Duty Cycle '!L128^2/1000</f>
        <v>49.026803958551042</v>
      </c>
      <c r="AG128" s="14">
        <f t="shared" si="23"/>
        <v>-266946.24464784446</v>
      </c>
    </row>
    <row r="129" spans="2:33" ht="30" customHeight="1" x14ac:dyDescent="0.25">
      <c r="B129" s="13">
        <f t="shared" si="24"/>
        <v>126</v>
      </c>
      <c r="C129" s="14" t="s">
        <v>63</v>
      </c>
      <c r="D129" s="14">
        <f>SUM($L$3:L129)</f>
        <v>1320.259701404043</v>
      </c>
      <c r="E129" s="14">
        <f t="shared" si="25"/>
        <v>12.288789009112861</v>
      </c>
      <c r="F129" s="15" t="s">
        <v>53</v>
      </c>
      <c r="G129" s="14">
        <v>10.6</v>
      </c>
      <c r="H129" s="14">
        <f t="shared" si="26"/>
        <v>-1</v>
      </c>
      <c r="I129" s="14">
        <f t="shared" si="27"/>
        <v>-4.6521924040056239</v>
      </c>
      <c r="J129" s="14">
        <v>3</v>
      </c>
      <c r="K129" s="14">
        <v>6000</v>
      </c>
      <c r="L129" s="14">
        <v>12.288789009112795</v>
      </c>
      <c r="M129" s="14">
        <f t="shared" si="19"/>
        <v>27.490021013385324</v>
      </c>
      <c r="N129" s="14">
        <f t="shared" si="28"/>
        <v>0</v>
      </c>
      <c r="O129" s="14">
        <f>IF(J129=1,'[1]Gearing '!$C$17*'Duty Cycle '!N129,IF(J129=2,'[1]Gearing '!$C$18*'Duty Cycle '!N129,IF(J129=3,'[1]Gearing '!$C$19*'Duty Cycle '!N129)))</f>
        <v>0</v>
      </c>
      <c r="P129" s="14">
        <f>IF(F129='Track '!$B$60,'Track '!$F$53,IF(F129='Track '!$B$61,'Track '!$F$54,IF(F129='Track '!$B$62,'Track '!$F$55)))</f>
        <v>0.04</v>
      </c>
      <c r="Q129" s="14">
        <f>P129*'Vehicle '!$F$40*9.81</f>
        <v>254.78531999999998</v>
      </c>
      <c r="R129" s="14">
        <f>0.5*'Vehicle '!$F$53*'Vehicle '!$F$25*'Track '!$F$57*'Duty Cycle '!L129^2</f>
        <v>57.70641290871982</v>
      </c>
      <c r="S129" s="14">
        <f>'Vehicle '!$F$40*9.81*SIN(RADIANS('Duty Cycle '!I129))</f>
        <v>-516.62109765348123</v>
      </c>
      <c r="T129" s="18">
        <f t="shared" si="20"/>
        <v>-204.1293647447614</v>
      </c>
      <c r="U129" s="14">
        <f t="shared" si="29"/>
        <v>2.5085026939126012</v>
      </c>
      <c r="V129" s="14">
        <f>'Vehicle '!$F$9-'Duty Cycle '!U129</f>
        <v>10.914316098033709</v>
      </c>
      <c r="W129" s="14">
        <f t="shared" si="21"/>
        <v>2.5085026939126012</v>
      </c>
      <c r="X129" s="16">
        <f t="shared" si="30"/>
        <v>3.9924060349552617</v>
      </c>
      <c r="Y129" s="16">
        <f t="shared" si="22"/>
        <v>4</v>
      </c>
      <c r="Z129" s="14">
        <f t="shared" si="17"/>
        <v>-269503.7741457157</v>
      </c>
      <c r="AA129" s="14">
        <f t="shared" si="31"/>
        <v>25173920.734306242</v>
      </c>
      <c r="AB129" s="14">
        <f>'BSFC '!$X$14</f>
        <v>306.74480096579998</v>
      </c>
      <c r="AC129" s="14">
        <f t="shared" si="18"/>
        <v>0.21374171099066497</v>
      </c>
      <c r="AD129" s="14">
        <f t="shared" si="32"/>
        <v>43.801050618401021</v>
      </c>
      <c r="AE129" s="14">
        <f t="shared" si="33"/>
        <v>0.66046188696115471</v>
      </c>
      <c r="AF129" s="14">
        <f>0.5*'Vehicle '!$F$40*'Duty Cycle '!L129^2/1000</f>
        <v>49.026803958551042</v>
      </c>
      <c r="AG129" s="14">
        <f t="shared" si="23"/>
        <v>-269454.74734175712</v>
      </c>
    </row>
    <row r="130" spans="2:33" ht="30" customHeight="1" x14ac:dyDescent="0.25">
      <c r="B130" s="13">
        <f t="shared" si="24"/>
        <v>127</v>
      </c>
      <c r="C130" s="14" t="s">
        <v>63</v>
      </c>
      <c r="D130" s="14">
        <f>SUM($L$3:L130)</f>
        <v>1333.0605232885355</v>
      </c>
      <c r="E130" s="14">
        <f t="shared" si="25"/>
        <v>12.800821884492507</v>
      </c>
      <c r="F130" s="15" t="s">
        <v>53</v>
      </c>
      <c r="G130" s="14">
        <v>10</v>
      </c>
      <c r="H130" s="14">
        <f t="shared" si="26"/>
        <v>-0.59999999999999964</v>
      </c>
      <c r="I130" s="14">
        <f t="shared" si="27"/>
        <v>-2.6836030979738985</v>
      </c>
      <c r="J130" s="14">
        <v>3</v>
      </c>
      <c r="K130" s="14">
        <v>6250</v>
      </c>
      <c r="L130" s="14">
        <v>12.800821884492496</v>
      </c>
      <c r="M130" s="14">
        <f t="shared" si="19"/>
        <v>28.635438555609714</v>
      </c>
      <c r="N130" s="14">
        <f t="shared" si="28"/>
        <v>0.51203287537970077</v>
      </c>
      <c r="O130" s="14">
        <f>IF(J130=1,'[1]Gearing '!$C$17*'Duty Cycle '!N130,IF(J130=2,'[1]Gearing '!$C$18*'Duty Cycle '!N130,IF(J130=3,'[1]Gearing '!$C$19*'Duty Cycle '!N130)))</f>
        <v>308.3378492657061</v>
      </c>
      <c r="P130" s="14">
        <f>IF(F130='Track '!$B$60,'Track '!$F$53,IF(F130='Track '!$B$61,'Track '!$F$54,IF(F130='Track '!$B$62,'Track '!$F$55)))</f>
        <v>0.04</v>
      </c>
      <c r="Q130" s="14">
        <f>P130*'Vehicle '!$F$40*9.81</f>
        <v>254.78531999999998</v>
      </c>
      <c r="R130" s="14">
        <f>0.5*'Vehicle '!$F$53*'Vehicle '!$F$25*'Track '!$F$57*'Duty Cycle '!L130^2</f>
        <v>62.615465395746334</v>
      </c>
      <c r="S130" s="14">
        <f>'Vehicle '!$F$40*9.81*SIN(RADIANS('Duty Cycle '!I130))</f>
        <v>-298.22995318467412</v>
      </c>
      <c r="T130" s="18">
        <f t="shared" si="20"/>
        <v>19.170832211072195</v>
      </c>
      <c r="U130" s="14">
        <f t="shared" si="29"/>
        <v>0.24540240851142661</v>
      </c>
      <c r="V130" s="14">
        <f>'Vehicle '!$F$9-'Duty Cycle '!U130</f>
        <v>13.177416383434883</v>
      </c>
      <c r="W130" s="14">
        <f t="shared" si="21"/>
        <v>0.24540240851142661</v>
      </c>
      <c r="X130" s="16">
        <f t="shared" si="30"/>
        <v>0.37494726106800152</v>
      </c>
      <c r="Y130" s="16">
        <f t="shared" si="22"/>
        <v>1</v>
      </c>
      <c r="Z130" s="14">
        <f t="shared" si="17"/>
        <v>25555.879619168612</v>
      </c>
      <c r="AA130" s="14">
        <f t="shared" si="31"/>
        <v>25199476.613925412</v>
      </c>
      <c r="AB130" s="14">
        <f>'BSFC '!$X$14</f>
        <v>306.74480096579998</v>
      </c>
      <c r="AC130" s="14">
        <f t="shared" si="18"/>
        <v>2.0909975820934859E-2</v>
      </c>
      <c r="AD130" s="14">
        <f t="shared" si="32"/>
        <v>43.821960594221956</v>
      </c>
      <c r="AE130" s="14">
        <f t="shared" si="33"/>
        <v>6.4611825286688712E-2</v>
      </c>
      <c r="AF130" s="14">
        <f>0.5*'Vehicle '!$F$40*'Duty Cycle '!L130^2/1000</f>
        <v>53.19748693419168</v>
      </c>
      <c r="AG130" s="14">
        <f t="shared" si="23"/>
        <v>25609.077106102803</v>
      </c>
    </row>
    <row r="131" spans="2:33" ht="30" customHeight="1" x14ac:dyDescent="0.25">
      <c r="B131" s="13">
        <f t="shared" si="24"/>
        <v>128</v>
      </c>
      <c r="C131" s="14" t="s">
        <v>63</v>
      </c>
      <c r="D131" s="14">
        <f>SUM($L$3:L131)</f>
        <v>1346.3733780484076</v>
      </c>
      <c r="E131" s="14">
        <f t="shared" si="25"/>
        <v>13.312854759872152</v>
      </c>
      <c r="F131" s="15" t="s">
        <v>53</v>
      </c>
      <c r="G131" s="14">
        <v>10</v>
      </c>
      <c r="H131" s="14">
        <f t="shared" si="26"/>
        <v>0</v>
      </c>
      <c r="I131" s="14">
        <f t="shared" si="27"/>
        <v>0</v>
      </c>
      <c r="J131" s="14">
        <v>3</v>
      </c>
      <c r="K131" s="14">
        <v>6500</v>
      </c>
      <c r="L131" s="14">
        <v>13.312854759872195</v>
      </c>
      <c r="M131" s="14">
        <f t="shared" si="19"/>
        <v>29.780856097834103</v>
      </c>
      <c r="N131" s="14">
        <f t="shared" si="28"/>
        <v>0.51203287537969899</v>
      </c>
      <c r="O131" s="14">
        <f>IF(J131=1,'[1]Gearing '!$C$17*'Duty Cycle '!N131,IF(J131=2,'[1]Gearing '!$C$18*'Duty Cycle '!N131,IF(J131=3,'[1]Gearing '!$C$19*'Duty Cycle '!N131)))</f>
        <v>308.33784926570502</v>
      </c>
      <c r="P131" s="14">
        <f>IF(F131='Track '!$B$60,'Track '!$F$53,IF(F131='Track '!$B$61,'Track '!$F$54,IF(F131='Track '!$B$62,'Track '!$F$55)))</f>
        <v>0.04</v>
      </c>
      <c r="Q131" s="14">
        <f>P131*'Vehicle '!$F$40*9.81</f>
        <v>254.78531999999998</v>
      </c>
      <c r="R131" s="14">
        <f>0.5*'Vehicle '!$F$53*'Vehicle '!$F$25*'Track '!$F$57*'Duty Cycle '!L131^2</f>
        <v>67.724887372039234</v>
      </c>
      <c r="S131" s="14">
        <f>'Vehicle '!$F$40*9.81*SIN(RADIANS('Duty Cycle '!I131))</f>
        <v>0</v>
      </c>
      <c r="T131" s="18">
        <f t="shared" si="20"/>
        <v>322.51020737203919</v>
      </c>
      <c r="U131" s="14">
        <f t="shared" si="29"/>
        <v>4.2935315493202202</v>
      </c>
      <c r="V131" s="14">
        <f>'Vehicle '!$F$9-'Duty Cycle '!U131</f>
        <v>9.1292872426260878</v>
      </c>
      <c r="W131" s="14">
        <f t="shared" si="21"/>
        <v>4.2935315493202202</v>
      </c>
      <c r="X131" s="16">
        <f t="shared" si="30"/>
        <v>6.3077240251875404</v>
      </c>
      <c r="Y131" s="16">
        <f t="shared" si="22"/>
        <v>7</v>
      </c>
      <c r="Z131" s="14">
        <f t="shared" ref="Z131:Z153" si="34">T131*D131</f>
        <v>434219.15735458484</v>
      </c>
      <c r="AA131" s="14">
        <f t="shared" si="31"/>
        <v>25633695.771279998</v>
      </c>
      <c r="AB131" s="14">
        <f>'BSFC '!$X$14</f>
        <v>306.74480096579998</v>
      </c>
      <c r="AC131" s="14">
        <f t="shared" ref="AC131:AC153" si="35">U131*AB131/3600</f>
        <v>0.36583846681572607</v>
      </c>
      <c r="AD131" s="14">
        <f t="shared" si="32"/>
        <v>44.18779906103768</v>
      </c>
      <c r="AE131" s="14">
        <f t="shared" si="33"/>
        <v>1.1304408624605935</v>
      </c>
      <c r="AF131" s="14">
        <f>0.5*'Vehicle '!$F$40*'Duty Cycle '!L131^2/1000</f>
        <v>57.538401868021715</v>
      </c>
      <c r="AG131" s="14">
        <f t="shared" si="23"/>
        <v>434276.69575645286</v>
      </c>
    </row>
    <row r="132" spans="2:33" ht="30" customHeight="1" x14ac:dyDescent="0.25">
      <c r="B132" s="13">
        <f t="shared" si="24"/>
        <v>129</v>
      </c>
      <c r="C132" s="14" t="s">
        <v>78</v>
      </c>
      <c r="D132" s="14">
        <f>SUM($L$3:L132)</f>
        <v>1359.6862328082798</v>
      </c>
      <c r="E132" s="14">
        <f t="shared" si="25"/>
        <v>13.312854759872152</v>
      </c>
      <c r="F132" s="15" t="s">
        <v>53</v>
      </c>
      <c r="G132" s="14">
        <v>10.3</v>
      </c>
      <c r="H132" s="14">
        <f t="shared" si="26"/>
        <v>0.30000000000000071</v>
      </c>
      <c r="I132" s="14">
        <f t="shared" si="27"/>
        <v>1.2909196051976428</v>
      </c>
      <c r="J132" s="14">
        <v>3</v>
      </c>
      <c r="K132" s="14">
        <v>6500</v>
      </c>
      <c r="L132" s="14">
        <v>13.312854759872195</v>
      </c>
      <c r="M132" s="14">
        <f t="shared" ref="M132:M153" si="36">L132*2.237</f>
        <v>29.780856097834103</v>
      </c>
      <c r="N132" s="14">
        <f t="shared" si="28"/>
        <v>0</v>
      </c>
      <c r="O132" s="14">
        <f>IF(J132=1,'[1]Gearing '!$C$17*'Duty Cycle '!N132,IF(J132=2,'[1]Gearing '!$C$18*'Duty Cycle '!N132,IF(J132=3,'[1]Gearing '!$C$19*'Duty Cycle '!N132)))</f>
        <v>0</v>
      </c>
      <c r="P132" s="14">
        <f>IF(F132='Track '!$B$60,'Track '!$F$53,IF(F132='Track '!$B$61,'Track '!$F$54,IF(F132='Track '!$B$62,'Track '!$F$55)))</f>
        <v>0.04</v>
      </c>
      <c r="Q132" s="14">
        <f>P132*'Vehicle '!$F$40*9.81</f>
        <v>254.78531999999998</v>
      </c>
      <c r="R132" s="14">
        <f>0.5*'Vehicle '!$F$53*'Vehicle '!$F$25*'Track '!$F$57*'Duty Cycle '!L132^2</f>
        <v>67.724887372039234</v>
      </c>
      <c r="S132" s="14">
        <f>'Vehicle '!$F$40*9.81*SIN(RADIANS('Duty Cycle '!I132))</f>
        <v>143.50076943864175</v>
      </c>
      <c r="T132" s="18">
        <f t="shared" ref="T132:T153" si="37">Q132+R132+S132</f>
        <v>466.01097681068097</v>
      </c>
      <c r="U132" s="14">
        <f t="shared" si="29"/>
        <v>6.2039364507867649</v>
      </c>
      <c r="V132" s="14">
        <f>'Vehicle '!$F$9-'Duty Cycle '!U132</f>
        <v>7.218882341159544</v>
      </c>
      <c r="W132" s="14">
        <f t="shared" ref="W132:W153" si="38">U132</f>
        <v>6.2039364507867649</v>
      </c>
      <c r="X132" s="16">
        <f t="shared" si="30"/>
        <v>9.1143429486526397</v>
      </c>
      <c r="Y132" s="16">
        <f t="shared" ref="Y132:Y153" si="39">MIN(22,ROUNDUP(X132,0))</f>
        <v>10</v>
      </c>
      <c r="Z132" s="14">
        <f t="shared" si="34"/>
        <v>633628.70950702147</v>
      </c>
      <c r="AA132" s="14">
        <f t="shared" si="31"/>
        <v>26267324.48078702</v>
      </c>
      <c r="AB132" s="14">
        <f>'BSFC '!$X$14</f>
        <v>306.74480096579998</v>
      </c>
      <c r="AC132" s="14">
        <f t="shared" si="35"/>
        <v>0.52861812550029386</v>
      </c>
      <c r="AD132" s="14">
        <f t="shared" si="32"/>
        <v>44.716417186537974</v>
      </c>
      <c r="AE132" s="14">
        <f t="shared" si="33"/>
        <v>1.6334300077959079</v>
      </c>
      <c r="AF132" s="14">
        <f>0.5*'Vehicle '!$F$40*'Duty Cycle '!L132^2/1000</f>
        <v>57.538401868021715</v>
      </c>
      <c r="AG132" s="14">
        <f t="shared" ref="AG132:AG153" si="40">Z132+AF132</f>
        <v>633686.24790888955</v>
      </c>
    </row>
    <row r="133" spans="2:33" ht="30" customHeight="1" x14ac:dyDescent="0.25">
      <c r="B133" s="13">
        <f t="shared" ref="B133:B153" si="41">B132+1</f>
        <v>130</v>
      </c>
      <c r="C133" s="14" t="s">
        <v>78</v>
      </c>
      <c r="D133" s="14">
        <f>SUM($L$3:L133)</f>
        <v>1372.9990875681519</v>
      </c>
      <c r="E133" s="14">
        <f t="shared" ref="E133:E153" si="42">D133-D132</f>
        <v>13.312854759872152</v>
      </c>
      <c r="F133" s="15" t="s">
        <v>53</v>
      </c>
      <c r="G133" s="14">
        <v>11</v>
      </c>
      <c r="H133" s="14">
        <f t="shared" ref="H133:H153" si="43">G133-G132</f>
        <v>0.69999999999999929</v>
      </c>
      <c r="I133" s="14">
        <f t="shared" ref="I133:I147" si="44">DEGREES(ATAN(H133/E133))</f>
        <v>3.0098837383204606</v>
      </c>
      <c r="J133" s="14">
        <v>3</v>
      </c>
      <c r="K133" s="14">
        <v>6500</v>
      </c>
      <c r="L133" s="14">
        <v>13.312854759872195</v>
      </c>
      <c r="M133" s="14">
        <f t="shared" si="36"/>
        <v>29.780856097834103</v>
      </c>
      <c r="N133" s="14">
        <f t="shared" ref="N133:N153" si="45">L133-L132</f>
        <v>0</v>
      </c>
      <c r="O133" s="14">
        <f>IF(J133=1,'[1]Gearing '!$C$17*'Duty Cycle '!N133,IF(J133=2,'[1]Gearing '!$C$18*'Duty Cycle '!N133,IF(J133=3,'[1]Gearing '!$C$19*'Duty Cycle '!N133)))</f>
        <v>0</v>
      </c>
      <c r="P133" s="14">
        <f>IF(F133='Track '!$B$60,'Track '!$F$53,IF(F133='Track '!$B$61,'Track '!$F$54,IF(F133='Track '!$B$62,'Track '!$F$55)))</f>
        <v>0.04</v>
      </c>
      <c r="Q133" s="14">
        <f>P133*'Vehicle '!$F$40*9.81</f>
        <v>254.78531999999998</v>
      </c>
      <c r="R133" s="14">
        <f>0.5*'Vehicle '!$F$53*'Vehicle '!$F$25*'Track '!$F$57*'Duty Cycle '!L133^2</f>
        <v>67.724887372039234</v>
      </c>
      <c r="S133" s="14">
        <f>'Vehicle '!$F$40*9.81*SIN(RADIANS('Duty Cycle '!I133))</f>
        <v>334.45810890334792</v>
      </c>
      <c r="T133" s="18">
        <f t="shared" si="37"/>
        <v>656.96831627538711</v>
      </c>
      <c r="U133" s="14">
        <f t="shared" ref="U133:U153" si="46">ABS(((+T133)*(+L133)/1000))</f>
        <v>8.7461237764120092</v>
      </c>
      <c r="V133" s="14">
        <f>'Vehicle '!$F$9-'Duty Cycle '!U133</f>
        <v>4.6766950155342997</v>
      </c>
      <c r="W133" s="14">
        <f t="shared" si="38"/>
        <v>8.7461237764120092</v>
      </c>
      <c r="X133" s="16">
        <f t="shared" ref="X133:X153" si="47">ABS((W133*1000)/((2*PI()*K133)/60))</f>
        <v>12.849127679164855</v>
      </c>
      <c r="Y133" s="16">
        <f t="shared" si="39"/>
        <v>13</v>
      </c>
      <c r="Z133" s="14">
        <f t="shared" si="34"/>
        <v>902016.89880729152</v>
      </c>
      <c r="AA133" s="14">
        <f t="shared" ref="AA133:AA153" si="48">SUM(AA132,Z133)</f>
        <v>27169341.379594311</v>
      </c>
      <c r="AB133" s="14">
        <f>'BSFC '!$X$14</f>
        <v>306.74480096579998</v>
      </c>
      <c r="AC133" s="14">
        <f t="shared" si="35"/>
        <v>0.74522999917159793</v>
      </c>
      <c r="AD133" s="14">
        <f t="shared" ref="AD133:AD153" si="49">AD132+AC133</f>
        <v>45.461647185709573</v>
      </c>
      <c r="AE133" s="14">
        <f t="shared" si="33"/>
        <v>2.3027606974402377</v>
      </c>
      <c r="AF133" s="14">
        <f>0.5*'Vehicle '!$F$40*'Duty Cycle '!L133^2/1000</f>
        <v>57.538401868021715</v>
      </c>
      <c r="AG133" s="14">
        <f t="shared" si="40"/>
        <v>902074.4372091596</v>
      </c>
    </row>
    <row r="134" spans="2:33" ht="30" customHeight="1" x14ac:dyDescent="0.25">
      <c r="B134" s="13">
        <f t="shared" si="41"/>
        <v>131</v>
      </c>
      <c r="C134" s="14" t="s">
        <v>78</v>
      </c>
      <c r="D134" s="14">
        <f>SUM($L$3:L134)</f>
        <v>1386.3119423280241</v>
      </c>
      <c r="E134" s="14">
        <f t="shared" si="42"/>
        <v>13.312854759872152</v>
      </c>
      <c r="F134" s="15" t="s">
        <v>53</v>
      </c>
      <c r="G134" s="14">
        <v>11.8</v>
      </c>
      <c r="H134" s="14">
        <f t="shared" si="43"/>
        <v>0.80000000000000071</v>
      </c>
      <c r="I134" s="14">
        <f t="shared" si="44"/>
        <v>3.4388994976109069</v>
      </c>
      <c r="J134" s="14">
        <v>3</v>
      </c>
      <c r="K134" s="14">
        <v>6500</v>
      </c>
      <c r="L134" s="14">
        <v>13.312854759872195</v>
      </c>
      <c r="M134" s="14">
        <f t="shared" si="36"/>
        <v>29.780856097834103</v>
      </c>
      <c r="N134" s="14">
        <f t="shared" si="45"/>
        <v>0</v>
      </c>
      <c r="O134" s="14">
        <f>IF(J134=1,'[1]Gearing '!$C$17*'Duty Cycle '!N134,IF(J134=2,'[1]Gearing '!$C$18*'Duty Cycle '!N134,IF(J134=3,'[1]Gearing '!$C$19*'Duty Cycle '!N134)))</f>
        <v>0</v>
      </c>
      <c r="P134" s="14">
        <f>IF(F134='Track '!$B$60,'Track '!$F$53,IF(F134='Track '!$B$61,'Track '!$F$54,IF(F134='Track '!$B$62,'Track '!$F$55)))</f>
        <v>0.04</v>
      </c>
      <c r="Q134" s="14">
        <f>P134*'Vehicle '!$F$40*9.81</f>
        <v>254.78531999999998</v>
      </c>
      <c r="R134" s="14">
        <f>0.5*'Vehicle '!$F$53*'Vehicle '!$F$25*'Track '!$F$57*'Duty Cycle '!L134^2</f>
        <v>67.724887372039234</v>
      </c>
      <c r="S134" s="14">
        <f>'Vehicle '!$F$40*9.81*SIN(RADIANS('Duty Cycle '!I134))</f>
        <v>382.07663367814513</v>
      </c>
      <c r="T134" s="18">
        <f t="shared" si="37"/>
        <v>704.58684105018438</v>
      </c>
      <c r="U134" s="14">
        <f t="shared" si="46"/>
        <v>9.3800622806182599</v>
      </c>
      <c r="V134" s="14">
        <f>'Vehicle '!$F$9-'Duty Cycle '!U134</f>
        <v>4.042756511328049</v>
      </c>
      <c r="W134" s="14">
        <f t="shared" si="38"/>
        <v>9.3800622806182599</v>
      </c>
      <c r="X134" s="16">
        <f t="shared" si="47"/>
        <v>13.780461032032921</v>
      </c>
      <c r="Y134" s="16">
        <f t="shared" si="39"/>
        <v>14</v>
      </c>
      <c r="Z134" s="14">
        <f t="shared" si="34"/>
        <v>976777.15215504786</v>
      </c>
      <c r="AA134" s="14">
        <f t="shared" si="48"/>
        <v>28146118.53174936</v>
      </c>
      <c r="AB134" s="14">
        <f>'BSFC '!$X$14</f>
        <v>306.74480096579998</v>
      </c>
      <c r="AC134" s="14">
        <f t="shared" si="35"/>
        <v>0.79924592703195996</v>
      </c>
      <c r="AD134" s="14">
        <f t="shared" si="49"/>
        <v>46.260893112741535</v>
      </c>
      <c r="AE134" s="14">
        <f t="shared" ref="AE134:AE153" si="50">AC134*3.09</f>
        <v>2.4696699145287559</v>
      </c>
      <c r="AF134" s="14">
        <f>0.5*'Vehicle '!$F$40*'Duty Cycle '!L134^2/1000</f>
        <v>57.538401868021715</v>
      </c>
      <c r="AG134" s="14">
        <f t="shared" si="40"/>
        <v>976834.69055691594</v>
      </c>
    </row>
    <row r="135" spans="2:33" ht="30" customHeight="1" x14ac:dyDescent="0.25">
      <c r="B135" s="13">
        <f t="shared" si="41"/>
        <v>132</v>
      </c>
      <c r="C135" s="14" t="s">
        <v>78</v>
      </c>
      <c r="D135" s="14">
        <f>SUM($L$3:L135)</f>
        <v>1398.6007313371369</v>
      </c>
      <c r="E135" s="14">
        <f t="shared" si="42"/>
        <v>12.288789009112861</v>
      </c>
      <c r="F135" s="15" t="s">
        <v>53</v>
      </c>
      <c r="G135" s="14">
        <v>12.6</v>
      </c>
      <c r="H135" s="14">
        <f t="shared" si="43"/>
        <v>0.79999999999999893</v>
      </c>
      <c r="I135" s="14">
        <f t="shared" si="44"/>
        <v>3.7246986448367649</v>
      </c>
      <c r="J135" s="14">
        <v>3</v>
      </c>
      <c r="K135" s="14">
        <v>6000</v>
      </c>
      <c r="L135" s="14">
        <v>12.288789009112795</v>
      </c>
      <c r="M135" s="14">
        <f t="shared" si="36"/>
        <v>27.490021013385324</v>
      </c>
      <c r="N135" s="14">
        <f t="shared" si="45"/>
        <v>-1.0240657507593998</v>
      </c>
      <c r="O135" s="14">
        <f>IF(J135=1,'[1]Gearing '!$C$17*'Duty Cycle '!N135,IF(J135=2,'[1]Gearing '!$C$18*'Duty Cycle '!N135,IF(J135=3,'[1]Gearing '!$C$19*'Duty Cycle '!N135)))</f>
        <v>-616.67569853141106</v>
      </c>
      <c r="P135" s="14">
        <f>IF(F135='Track '!$B$60,'Track '!$F$53,IF(F135='Track '!$B$61,'Track '!$F$54,IF(F135='Track '!$B$62,'Track '!$F$55)))</f>
        <v>0.04</v>
      </c>
      <c r="Q135" s="14">
        <f>P135*'Vehicle '!$F$40*9.81</f>
        <v>254.78531999999998</v>
      </c>
      <c r="R135" s="14">
        <f>0.5*'Vehicle '!$F$53*'Vehicle '!$F$25*'Track '!$F$57*'Duty Cycle '!L135^2</f>
        <v>57.70641290871982</v>
      </c>
      <c r="S135" s="14">
        <f>'Vehicle '!$F$40*9.81*SIN(RADIANS('Duty Cycle '!I135))</f>
        <v>413.78713342005028</v>
      </c>
      <c r="T135" s="18">
        <f t="shared" si="37"/>
        <v>726.27886632877016</v>
      </c>
      <c r="U135" s="14">
        <f t="shared" si="46"/>
        <v>8.9250877500918921</v>
      </c>
      <c r="V135" s="14">
        <f>'Vehicle '!$F$9-'Duty Cycle '!U135</f>
        <v>4.4977310418544167</v>
      </c>
      <c r="W135" s="14">
        <f t="shared" si="38"/>
        <v>8.9250877500918921</v>
      </c>
      <c r="X135" s="16">
        <f t="shared" si="47"/>
        <v>14.204718329560473</v>
      </c>
      <c r="Y135" s="16">
        <f t="shared" si="39"/>
        <v>15</v>
      </c>
      <c r="Z135" s="14">
        <f t="shared" si="34"/>
        <v>1015774.1536021247</v>
      </c>
      <c r="AA135" s="14">
        <f t="shared" si="48"/>
        <v>29161892.685351484</v>
      </c>
      <c r="AB135" s="14">
        <f>'BSFC '!$X$14</f>
        <v>306.74480096579998</v>
      </c>
      <c r="AC135" s="14">
        <f t="shared" si="35"/>
        <v>0.76047896264006576</v>
      </c>
      <c r="AD135" s="14">
        <f t="shared" si="49"/>
        <v>47.021372075381599</v>
      </c>
      <c r="AE135" s="14">
        <f t="shared" si="50"/>
        <v>2.3498799945578033</v>
      </c>
      <c r="AF135" s="14">
        <f>0.5*'Vehicle '!$F$40*'Duty Cycle '!L135^2/1000</f>
        <v>49.026803958551042</v>
      </c>
      <c r="AG135" s="14">
        <f t="shared" si="40"/>
        <v>1015823.1804060832</v>
      </c>
    </row>
    <row r="136" spans="2:33" ht="30" customHeight="1" x14ac:dyDescent="0.25">
      <c r="B136" s="13">
        <f t="shared" si="41"/>
        <v>133</v>
      </c>
      <c r="C136" s="14" t="s">
        <v>78</v>
      </c>
      <c r="D136" s="14">
        <f>SUM($L$3:L136)</f>
        <v>1409.3534217201106</v>
      </c>
      <c r="E136" s="14">
        <f t="shared" si="42"/>
        <v>10.752690382973697</v>
      </c>
      <c r="F136" s="15" t="s">
        <v>53</v>
      </c>
      <c r="G136" s="14">
        <v>13.4</v>
      </c>
      <c r="H136" s="14">
        <f t="shared" si="43"/>
        <v>0.80000000000000071</v>
      </c>
      <c r="I136" s="14">
        <f t="shared" si="44"/>
        <v>4.2549657553087883</v>
      </c>
      <c r="J136" s="14">
        <v>3</v>
      </c>
      <c r="K136" s="14">
        <v>5250</v>
      </c>
      <c r="L136" s="14">
        <v>10.752690382973697</v>
      </c>
      <c r="M136" s="14">
        <f t="shared" si="36"/>
        <v>24.053768386712161</v>
      </c>
      <c r="N136" s="14">
        <f t="shared" si="45"/>
        <v>-1.5360986261390988</v>
      </c>
      <c r="O136" s="14">
        <f>IF(J136=1,'[1]Gearing '!$C$17*'Duty Cycle '!N136,IF(J136=2,'[1]Gearing '!$C$18*'Duty Cycle '!N136,IF(J136=3,'[1]Gearing '!$C$19*'Duty Cycle '!N136)))</f>
        <v>-925.01354779711619</v>
      </c>
      <c r="P136" s="14">
        <f>IF(F136='Track '!$B$60,'Track '!$F$53,IF(F136='Track '!$B$61,'Track '!$F$54,IF(F136='Track '!$B$62,'Track '!$F$55)))</f>
        <v>0.04</v>
      </c>
      <c r="Q136" s="14">
        <f>P136*'Vehicle '!$F$40*9.81</f>
        <v>254.78531999999998</v>
      </c>
      <c r="R136" s="14">
        <f>0.5*'Vehicle '!$F$53*'Vehicle '!$F$25*'Track '!$F$57*'Duty Cycle '!L136^2</f>
        <v>44.181472383238614</v>
      </c>
      <c r="S136" s="14">
        <f>'Vehicle '!$F$40*9.81*SIN(RADIANS('Duty Cycle '!I136))</f>
        <v>472.59441324560294</v>
      </c>
      <c r="T136" s="18">
        <f t="shared" si="37"/>
        <v>771.56120562884155</v>
      </c>
      <c r="U136" s="14">
        <f t="shared" si="46"/>
        <v>8.2963587556408349</v>
      </c>
      <c r="V136" s="14">
        <f>'Vehicle '!$F$9-'Duty Cycle '!U136</f>
        <v>5.126460036305474</v>
      </c>
      <c r="W136" s="14">
        <f t="shared" si="38"/>
        <v>8.2963587556408349</v>
      </c>
      <c r="X136" s="16">
        <f t="shared" si="47"/>
        <v>15.090360064273884</v>
      </c>
      <c r="Y136" s="16">
        <f t="shared" si="39"/>
        <v>16</v>
      </c>
      <c r="Z136" s="14">
        <f t="shared" si="34"/>
        <v>1087402.4252195018</v>
      </c>
      <c r="AA136" s="14">
        <f t="shared" si="48"/>
        <v>30249295.110570986</v>
      </c>
      <c r="AB136" s="14">
        <f>'BSFC '!$X$14</f>
        <v>306.74480096579998</v>
      </c>
      <c r="AC136" s="14">
        <f t="shared" si="35"/>
        <v>0.70690692089997775</v>
      </c>
      <c r="AD136" s="14">
        <f t="shared" si="49"/>
        <v>47.728278996281574</v>
      </c>
      <c r="AE136" s="14">
        <f t="shared" si="50"/>
        <v>2.1843423855809312</v>
      </c>
      <c r="AF136" s="14">
        <f>0.5*'Vehicle '!$F$40*'Duty Cycle '!L136^2/1000</f>
        <v>37.536146780765641</v>
      </c>
      <c r="AG136" s="14">
        <f t="shared" si="40"/>
        <v>1087439.9613662825</v>
      </c>
    </row>
    <row r="137" spans="2:33" ht="30" customHeight="1" x14ac:dyDescent="0.25">
      <c r="B137" s="13">
        <f t="shared" si="41"/>
        <v>134</v>
      </c>
      <c r="C137" s="14" t="s">
        <v>141</v>
      </c>
      <c r="D137" s="14">
        <f>SUM($L$3:L137)</f>
        <v>1419.0820463523251</v>
      </c>
      <c r="E137" s="14">
        <f t="shared" si="42"/>
        <v>9.7286246322144052</v>
      </c>
      <c r="F137" s="15" t="s">
        <v>52</v>
      </c>
      <c r="G137" s="14">
        <v>14.2</v>
      </c>
      <c r="H137" s="14">
        <f t="shared" si="43"/>
        <v>0.79999999999999893</v>
      </c>
      <c r="I137" s="14">
        <f t="shared" si="44"/>
        <v>4.700944511363069</v>
      </c>
      <c r="J137" s="14">
        <v>3</v>
      </c>
      <c r="K137" s="14">
        <v>4750</v>
      </c>
      <c r="L137" s="14">
        <v>9.7286246322142969</v>
      </c>
      <c r="M137" s="14">
        <f t="shared" si="36"/>
        <v>21.762933302263384</v>
      </c>
      <c r="N137" s="14">
        <f t="shared" si="45"/>
        <v>-1.0240657507593998</v>
      </c>
      <c r="O137" s="14">
        <f>IF(J137=1,'[1]Gearing '!$C$17*'Duty Cycle '!N137,IF(J137=2,'[1]Gearing '!$C$18*'Duty Cycle '!N137,IF(J137=3,'[1]Gearing '!$C$19*'Duty Cycle '!N137)))</f>
        <v>-616.67569853141106</v>
      </c>
      <c r="P137" s="14">
        <f>IF(F137='Track '!$B$60,'Track '!$F$53,IF(F137='Track '!$B$61,'Track '!$F$54,IF(F137='Track '!$B$62,'Track '!$F$55)))</f>
        <v>0.06</v>
      </c>
      <c r="Q137" s="14">
        <f>P137*'Vehicle '!$F$40*9.81</f>
        <v>382.17797999999999</v>
      </c>
      <c r="R137" s="14">
        <f>0.5*'Vehicle '!$F$53*'Vehicle '!$F$25*'Track '!$F$57*'Duty Cycle '!L137^2</f>
        <v>36.166692812583079</v>
      </c>
      <c r="S137" s="14">
        <f>'Vehicle '!$F$40*9.81*SIN(RADIANS('Duty Cycle '!I137))</f>
        <v>522.02287772449529</v>
      </c>
      <c r="T137" s="18">
        <f t="shared" si="37"/>
        <v>940.36755053707839</v>
      </c>
      <c r="U137" s="14">
        <f t="shared" si="46"/>
        <v>9.1484829154900442</v>
      </c>
      <c r="V137" s="14">
        <f>'Vehicle '!$F$9-'Duty Cycle '!U137</f>
        <v>4.2743358764562647</v>
      </c>
      <c r="W137" s="14">
        <f t="shared" si="38"/>
        <v>9.1484829154900442</v>
      </c>
      <c r="X137" s="16">
        <f t="shared" si="47"/>
        <v>18.391910877372563</v>
      </c>
      <c r="Y137" s="16">
        <f t="shared" si="39"/>
        <v>19</v>
      </c>
      <c r="Z137" s="14">
        <f t="shared" si="34"/>
        <v>1334458.7079394807</v>
      </c>
      <c r="AA137" s="14">
        <f t="shared" si="48"/>
        <v>31583753.818510465</v>
      </c>
      <c r="AB137" s="14">
        <f>'BSFC '!$X$14</f>
        <v>306.74480096579998</v>
      </c>
      <c r="AC137" s="14">
        <f t="shared" si="35"/>
        <v>0.77951376973639308</v>
      </c>
      <c r="AD137" s="14">
        <f t="shared" si="49"/>
        <v>48.507792766017964</v>
      </c>
      <c r="AE137" s="14">
        <f t="shared" si="50"/>
        <v>2.4086975484854545</v>
      </c>
      <c r="AF137" s="14">
        <f>0.5*'Vehicle '!$F$40*'Duty Cycle '!L137^2/1000</f>
        <v>30.726868453189113</v>
      </c>
      <c r="AG137" s="14">
        <f t="shared" si="40"/>
        <v>1334489.4348079339</v>
      </c>
    </row>
    <row r="138" spans="2:33" ht="30" customHeight="1" x14ac:dyDescent="0.25">
      <c r="B138" s="13">
        <f t="shared" si="41"/>
        <v>135</v>
      </c>
      <c r="C138" s="14" t="s">
        <v>141</v>
      </c>
      <c r="D138" s="14">
        <f>SUM($L$3:L138)</f>
        <v>1428.8106709845395</v>
      </c>
      <c r="E138" s="14">
        <f t="shared" si="42"/>
        <v>9.7286246322144052</v>
      </c>
      <c r="F138" s="15" t="s">
        <v>52</v>
      </c>
      <c r="G138" s="14">
        <v>15</v>
      </c>
      <c r="H138" s="14">
        <f t="shared" si="43"/>
        <v>0.80000000000000071</v>
      </c>
      <c r="I138" s="14">
        <f t="shared" si="44"/>
        <v>4.7009445113630797</v>
      </c>
      <c r="J138" s="14">
        <v>3</v>
      </c>
      <c r="K138" s="14">
        <v>4750</v>
      </c>
      <c r="L138" s="14">
        <v>9.7286246322142969</v>
      </c>
      <c r="M138" s="14">
        <f t="shared" si="36"/>
        <v>21.762933302263384</v>
      </c>
      <c r="N138" s="14">
        <f t="shared" si="45"/>
        <v>0</v>
      </c>
      <c r="O138" s="14">
        <f>IF(J138=1,'[1]Gearing '!$C$17*'Duty Cycle '!N138,IF(J138=2,'[1]Gearing '!$C$18*'Duty Cycle '!N138,IF(J138=3,'[1]Gearing '!$C$19*'Duty Cycle '!N138)))</f>
        <v>0</v>
      </c>
      <c r="P138" s="14">
        <f>IF(F138='Track '!$B$60,'Track '!$F$53,IF(F138='Track '!$B$61,'Track '!$F$54,IF(F138='Track '!$B$62,'Track '!$F$55)))</f>
        <v>0.06</v>
      </c>
      <c r="Q138" s="14">
        <f>P138*'Vehicle '!$F$40*9.81</f>
        <v>382.17797999999999</v>
      </c>
      <c r="R138" s="14">
        <f>0.5*'Vehicle '!$F$53*'Vehicle '!$F$25*'Track '!$F$57*'Duty Cycle '!L138^2</f>
        <v>36.166692812583079</v>
      </c>
      <c r="S138" s="14">
        <f>'Vehicle '!$F$40*9.81*SIN(RADIANS('Duty Cycle '!I138))</f>
        <v>522.02287772449642</v>
      </c>
      <c r="T138" s="18">
        <f t="shared" si="37"/>
        <v>940.36755053707952</v>
      </c>
      <c r="U138" s="14">
        <f t="shared" si="46"/>
        <v>9.1484829154900549</v>
      </c>
      <c r="V138" s="14">
        <f>'Vehicle '!$F$9-'Duty Cycle '!U138</f>
        <v>4.274335876456254</v>
      </c>
      <c r="W138" s="14">
        <f t="shared" si="38"/>
        <v>9.1484829154900549</v>
      </c>
      <c r="X138" s="16">
        <f t="shared" si="47"/>
        <v>18.391910877372585</v>
      </c>
      <c r="Y138" s="16">
        <f t="shared" si="39"/>
        <v>19</v>
      </c>
      <c r="Z138" s="14">
        <f t="shared" si="34"/>
        <v>1343607.1908549725</v>
      </c>
      <c r="AA138" s="14">
        <f t="shared" si="48"/>
        <v>32927361.009365439</v>
      </c>
      <c r="AB138" s="14">
        <f>'BSFC '!$X$14</f>
        <v>306.74480096579998</v>
      </c>
      <c r="AC138" s="14">
        <f t="shared" si="35"/>
        <v>0.77951376973639397</v>
      </c>
      <c r="AD138" s="14">
        <f t="shared" si="49"/>
        <v>49.287306535754361</v>
      </c>
      <c r="AE138" s="14">
        <f t="shared" si="50"/>
        <v>2.4086975484854571</v>
      </c>
      <c r="AF138" s="14">
        <f>0.5*'Vehicle '!$F$40*'Duty Cycle '!L138^2/1000</f>
        <v>30.726868453189113</v>
      </c>
      <c r="AG138" s="14">
        <f t="shared" si="40"/>
        <v>1343637.9177234257</v>
      </c>
    </row>
    <row r="139" spans="2:33" ht="30" customHeight="1" x14ac:dyDescent="0.25">
      <c r="B139" s="13">
        <f t="shared" si="41"/>
        <v>136</v>
      </c>
      <c r="C139" s="14" t="s">
        <v>141</v>
      </c>
      <c r="D139" s="14">
        <f>SUM($L$3:L139)</f>
        <v>1438.5392956167539</v>
      </c>
      <c r="E139" s="14">
        <f t="shared" si="42"/>
        <v>9.7286246322144052</v>
      </c>
      <c r="F139" s="15" t="s">
        <v>52</v>
      </c>
      <c r="G139" s="14">
        <v>15.8</v>
      </c>
      <c r="H139" s="14">
        <f t="shared" si="43"/>
        <v>0.80000000000000071</v>
      </c>
      <c r="I139" s="14">
        <f t="shared" si="44"/>
        <v>4.7009445113630797</v>
      </c>
      <c r="J139" s="14">
        <v>3</v>
      </c>
      <c r="K139" s="14">
        <v>4750</v>
      </c>
      <c r="L139" s="14">
        <v>9.7286246322142969</v>
      </c>
      <c r="M139" s="14">
        <f t="shared" si="36"/>
        <v>21.762933302263384</v>
      </c>
      <c r="N139" s="14">
        <f t="shared" si="45"/>
        <v>0</v>
      </c>
      <c r="O139" s="14">
        <f>IF(J139=1,'[1]Gearing '!$C$17*'Duty Cycle '!N139,IF(J139=2,'[1]Gearing '!$C$18*'Duty Cycle '!N139,IF(J139=3,'[1]Gearing '!$C$19*'Duty Cycle '!N139)))</f>
        <v>0</v>
      </c>
      <c r="P139" s="14">
        <f>IF(F139='Track '!$B$60,'Track '!$F$53,IF(F139='Track '!$B$61,'Track '!$F$54,IF(F139='Track '!$B$62,'Track '!$F$55)))</f>
        <v>0.06</v>
      </c>
      <c r="Q139" s="14">
        <f>P139*'Vehicle '!$F$40*9.81</f>
        <v>382.17797999999999</v>
      </c>
      <c r="R139" s="14">
        <f>0.5*'Vehicle '!$F$53*'Vehicle '!$F$25*'Track '!$F$57*'Duty Cycle '!L139^2</f>
        <v>36.166692812583079</v>
      </c>
      <c r="S139" s="14">
        <f>'Vehicle '!$F$40*9.81*SIN(RADIANS('Duty Cycle '!I139))</f>
        <v>522.02287772449642</v>
      </c>
      <c r="T139" s="18">
        <f t="shared" si="37"/>
        <v>940.36755053707952</v>
      </c>
      <c r="U139" s="14">
        <f t="shared" si="46"/>
        <v>9.1484829154900549</v>
      </c>
      <c r="V139" s="14">
        <f>'Vehicle '!$F$9-'Duty Cycle '!U139</f>
        <v>4.274335876456254</v>
      </c>
      <c r="W139" s="14">
        <f t="shared" si="38"/>
        <v>9.1484829154900549</v>
      </c>
      <c r="X139" s="16">
        <f t="shared" si="47"/>
        <v>18.391910877372585</v>
      </c>
      <c r="Y139" s="16">
        <f t="shared" si="39"/>
        <v>19</v>
      </c>
      <c r="Z139" s="14">
        <f t="shared" si="34"/>
        <v>1352755.6737704626</v>
      </c>
      <c r="AA139" s="14">
        <f t="shared" si="48"/>
        <v>34280116.683135904</v>
      </c>
      <c r="AB139" s="14">
        <f>'BSFC '!$X$14</f>
        <v>306.74480096579998</v>
      </c>
      <c r="AC139" s="14">
        <f t="shared" si="35"/>
        <v>0.77951376973639397</v>
      </c>
      <c r="AD139" s="14">
        <f t="shared" si="49"/>
        <v>50.066820305490758</v>
      </c>
      <c r="AE139" s="14">
        <f t="shared" si="50"/>
        <v>2.4086975484854571</v>
      </c>
      <c r="AF139" s="14">
        <f>0.5*'Vehicle '!$F$40*'Duty Cycle '!L139^2/1000</f>
        <v>30.726868453189113</v>
      </c>
      <c r="AG139" s="14">
        <f t="shared" si="40"/>
        <v>1352786.4006389158</v>
      </c>
    </row>
    <row r="140" spans="2:33" ht="30" customHeight="1" x14ac:dyDescent="0.25">
      <c r="B140" s="13">
        <f t="shared" si="41"/>
        <v>137</v>
      </c>
      <c r="C140" s="14" t="s">
        <v>141</v>
      </c>
      <c r="D140" s="14">
        <f>SUM($L$3:L140)</f>
        <v>1448.2679202489683</v>
      </c>
      <c r="E140" s="14">
        <f t="shared" si="42"/>
        <v>9.7286246322144052</v>
      </c>
      <c r="F140" s="15" t="s">
        <v>52</v>
      </c>
      <c r="G140" s="14">
        <v>16.600000000000001</v>
      </c>
      <c r="H140" s="14">
        <f t="shared" si="43"/>
        <v>0.80000000000000071</v>
      </c>
      <c r="I140" s="14">
        <f t="shared" si="44"/>
        <v>4.7009445113630797</v>
      </c>
      <c r="J140" s="14">
        <v>3</v>
      </c>
      <c r="K140" s="14">
        <v>4750</v>
      </c>
      <c r="L140" s="14">
        <v>9.7286246322142969</v>
      </c>
      <c r="M140" s="14">
        <f t="shared" si="36"/>
        <v>21.762933302263384</v>
      </c>
      <c r="N140" s="14">
        <f t="shared" si="45"/>
        <v>0</v>
      </c>
      <c r="O140" s="14">
        <f>IF(J140=1,'[1]Gearing '!$C$17*'Duty Cycle '!N140,IF(J140=2,'[1]Gearing '!$C$18*'Duty Cycle '!N140,IF(J140=3,'[1]Gearing '!$C$19*'Duty Cycle '!N140)))</f>
        <v>0</v>
      </c>
      <c r="P140" s="14">
        <f>IF(F140='Track '!$B$60,'Track '!$F$53,IF(F140='Track '!$B$61,'Track '!$F$54,IF(F140='Track '!$B$62,'Track '!$F$55)))</f>
        <v>0.06</v>
      </c>
      <c r="Q140" s="14">
        <f>P140*'Vehicle '!$F$40*9.81</f>
        <v>382.17797999999999</v>
      </c>
      <c r="R140" s="14">
        <f>0.5*'Vehicle '!$F$53*'Vehicle '!$F$25*'Track '!$F$57*'Duty Cycle '!L140^2</f>
        <v>36.166692812583079</v>
      </c>
      <c r="S140" s="14">
        <f>'Vehicle '!$F$40*9.81*SIN(RADIANS('Duty Cycle '!I140))</f>
        <v>522.02287772449642</v>
      </c>
      <c r="T140" s="18">
        <f t="shared" si="37"/>
        <v>940.36755053707952</v>
      </c>
      <c r="U140" s="14">
        <f t="shared" si="46"/>
        <v>9.1484829154900549</v>
      </c>
      <c r="V140" s="14">
        <f>'Vehicle '!$F$9-'Duty Cycle '!U140</f>
        <v>4.274335876456254</v>
      </c>
      <c r="W140" s="14">
        <f t="shared" si="38"/>
        <v>9.1484829154900549</v>
      </c>
      <c r="X140" s="16">
        <f t="shared" si="47"/>
        <v>18.391910877372585</v>
      </c>
      <c r="Y140" s="16">
        <f t="shared" si="39"/>
        <v>19</v>
      </c>
      <c r="Z140" s="14">
        <f t="shared" si="34"/>
        <v>1361904.1566859528</v>
      </c>
      <c r="AA140" s="14">
        <f t="shared" si="48"/>
        <v>35642020.83982186</v>
      </c>
      <c r="AB140" s="14">
        <f>'BSFC '!$X$14</f>
        <v>306.74480096579998</v>
      </c>
      <c r="AC140" s="14">
        <f t="shared" si="35"/>
        <v>0.77951376973639397</v>
      </c>
      <c r="AD140" s="14">
        <f t="shared" si="49"/>
        <v>50.846334075227155</v>
      </c>
      <c r="AE140" s="14">
        <f t="shared" si="50"/>
        <v>2.4086975484854571</v>
      </c>
      <c r="AF140" s="14">
        <f>0.5*'Vehicle '!$F$40*'Duty Cycle '!L140^2/1000</f>
        <v>30.726868453189113</v>
      </c>
      <c r="AG140" s="14">
        <f t="shared" si="40"/>
        <v>1361934.883554406</v>
      </c>
    </row>
    <row r="141" spans="2:33" ht="30" customHeight="1" x14ac:dyDescent="0.25">
      <c r="B141" s="13">
        <f t="shared" si="41"/>
        <v>138</v>
      </c>
      <c r="C141" s="14" t="s">
        <v>141</v>
      </c>
      <c r="D141" s="14">
        <f>SUM($L$3:L141)</f>
        <v>1457.9965448811827</v>
      </c>
      <c r="E141" s="14">
        <f t="shared" si="42"/>
        <v>9.7286246322144052</v>
      </c>
      <c r="F141" s="15" t="s">
        <v>52</v>
      </c>
      <c r="G141" s="14">
        <v>17.2</v>
      </c>
      <c r="H141" s="14">
        <f t="shared" si="43"/>
        <v>0.59999999999999787</v>
      </c>
      <c r="I141" s="14">
        <f t="shared" si="44"/>
        <v>3.529171047805622</v>
      </c>
      <c r="J141" s="14">
        <v>3</v>
      </c>
      <c r="K141" s="14">
        <v>4750</v>
      </c>
      <c r="L141" s="14">
        <v>9.7286246322142969</v>
      </c>
      <c r="M141" s="14">
        <f t="shared" si="36"/>
        <v>21.762933302263384</v>
      </c>
      <c r="N141" s="14">
        <f t="shared" si="45"/>
        <v>0</v>
      </c>
      <c r="O141" s="14">
        <f>IF(J141=1,'[1]Gearing '!$C$17*'Duty Cycle '!N141,IF(J141=2,'[1]Gearing '!$C$18*'Duty Cycle '!N141,IF(J141=3,'[1]Gearing '!$C$19*'Duty Cycle '!N141)))</f>
        <v>0</v>
      </c>
      <c r="P141" s="14">
        <f>IF(F141='Track '!$B$60,'Track '!$F$53,IF(F141='Track '!$B$61,'Track '!$F$54,IF(F141='Track '!$B$62,'Track '!$F$55)))</f>
        <v>0.06</v>
      </c>
      <c r="Q141" s="14">
        <f>P141*'Vehicle '!$F$40*9.81</f>
        <v>382.17797999999999</v>
      </c>
      <c r="R141" s="14">
        <f>0.5*'Vehicle '!$F$53*'Vehicle '!$F$25*'Track '!$F$57*'Duty Cycle '!L141^2</f>
        <v>36.166692812583079</v>
      </c>
      <c r="S141" s="14">
        <f>'Vehicle '!$F$40*9.81*SIN(RADIANS('Duty Cycle '!I141))</f>
        <v>392.09366921867286</v>
      </c>
      <c r="T141" s="18">
        <f t="shared" si="37"/>
        <v>810.43834203125596</v>
      </c>
      <c r="U141" s="14">
        <f t="shared" si="46"/>
        <v>7.8844504171761916</v>
      </c>
      <c r="V141" s="14">
        <f>'Vehicle '!$F$9-'Duty Cycle '!U141</f>
        <v>5.5383683747701173</v>
      </c>
      <c r="W141" s="14">
        <f t="shared" si="38"/>
        <v>7.8844504171761916</v>
      </c>
      <c r="X141" s="16">
        <f t="shared" si="47"/>
        <v>15.850727462609019</v>
      </c>
      <c r="Y141" s="16">
        <f t="shared" si="39"/>
        <v>16</v>
      </c>
      <c r="Z141" s="14">
        <f t="shared" si="34"/>
        <v>1181616.3025208053</v>
      </c>
      <c r="AA141" s="14">
        <f t="shared" si="48"/>
        <v>36823637.142342664</v>
      </c>
      <c r="AB141" s="14">
        <f>'BSFC '!$X$14</f>
        <v>306.74480096579998</v>
      </c>
      <c r="AC141" s="14">
        <f t="shared" si="35"/>
        <v>0.67180949276150814</v>
      </c>
      <c r="AD141" s="14">
        <f t="shared" si="49"/>
        <v>51.518143567988666</v>
      </c>
      <c r="AE141" s="14">
        <f t="shared" si="50"/>
        <v>2.0758913326330601</v>
      </c>
      <c r="AF141" s="14">
        <f>0.5*'Vehicle '!$F$40*'Duty Cycle '!L141^2/1000</f>
        <v>30.726868453189113</v>
      </c>
      <c r="AG141" s="14">
        <f t="shared" si="40"/>
        <v>1181647.0293892585</v>
      </c>
    </row>
    <row r="142" spans="2:33" ht="30" customHeight="1" x14ac:dyDescent="0.25">
      <c r="B142" s="13">
        <f t="shared" si="41"/>
        <v>139</v>
      </c>
      <c r="C142" s="14" t="s">
        <v>141</v>
      </c>
      <c r="D142" s="14">
        <f>SUM($L$3:L142)</f>
        <v>1467.7251695133971</v>
      </c>
      <c r="E142" s="14">
        <f t="shared" si="42"/>
        <v>9.7286246322144052</v>
      </c>
      <c r="F142" s="15" t="s">
        <v>52</v>
      </c>
      <c r="G142" s="14">
        <v>17.5</v>
      </c>
      <c r="H142" s="14">
        <f t="shared" si="43"/>
        <v>0.30000000000000071</v>
      </c>
      <c r="I142" s="14">
        <f t="shared" si="44"/>
        <v>1.7662608327945308</v>
      </c>
      <c r="J142" s="14">
        <v>3</v>
      </c>
      <c r="K142" s="14">
        <v>4750</v>
      </c>
      <c r="L142" s="14">
        <v>9.7286246322142969</v>
      </c>
      <c r="M142" s="14">
        <f t="shared" si="36"/>
        <v>21.762933302263384</v>
      </c>
      <c r="N142" s="14">
        <f t="shared" si="45"/>
        <v>0</v>
      </c>
      <c r="O142" s="14">
        <f>IF(J142=1,'[1]Gearing '!$C$17*'Duty Cycle '!N142,IF(J142=2,'[1]Gearing '!$C$18*'Duty Cycle '!N142,IF(J142=3,'[1]Gearing '!$C$19*'Duty Cycle '!N142)))</f>
        <v>0</v>
      </c>
      <c r="P142" s="14">
        <f>IF(F142='Track '!$B$60,'Track '!$F$53,IF(F142='Track '!$B$61,'Track '!$F$54,IF(F142='Track '!$B$62,'Track '!$F$55)))</f>
        <v>0.06</v>
      </c>
      <c r="Q142" s="14">
        <f>P142*'Vehicle '!$F$40*9.81</f>
        <v>382.17797999999999</v>
      </c>
      <c r="R142" s="14">
        <f>0.5*'Vehicle '!$F$53*'Vehicle '!$F$25*'Track '!$F$57*'Duty Cycle '!L142^2</f>
        <v>36.166692812583079</v>
      </c>
      <c r="S142" s="14">
        <f>'Vehicle '!$F$40*9.81*SIN(RADIANS('Duty Cycle '!I142))</f>
        <v>196.32600465862717</v>
      </c>
      <c r="T142" s="18">
        <f t="shared" si="37"/>
        <v>614.6706774712103</v>
      </c>
      <c r="U142" s="14">
        <f t="shared" si="46"/>
        <v>5.9799002935462662</v>
      </c>
      <c r="V142" s="14">
        <f>'Vehicle '!$F$9-'Duty Cycle '!U142</f>
        <v>7.4429184984000427</v>
      </c>
      <c r="W142" s="14">
        <f t="shared" si="38"/>
        <v>5.9799002935462662</v>
      </c>
      <c r="X142" s="16">
        <f t="shared" si="47"/>
        <v>12.021861358920811</v>
      </c>
      <c r="Y142" s="16">
        <f t="shared" si="39"/>
        <v>13</v>
      </c>
      <c r="Z142" s="14">
        <f t="shared" si="34"/>
        <v>902167.62428634672</v>
      </c>
      <c r="AA142" s="14">
        <f t="shared" si="48"/>
        <v>37725804.76662901</v>
      </c>
      <c r="AB142" s="14">
        <f>'BSFC '!$X$14</f>
        <v>306.74480096579998</v>
      </c>
      <c r="AC142" s="14">
        <f t="shared" si="35"/>
        <v>0.50952870148310514</v>
      </c>
      <c r="AD142" s="14">
        <f t="shared" si="49"/>
        <v>52.027672269471772</v>
      </c>
      <c r="AE142" s="14">
        <f t="shared" si="50"/>
        <v>1.5744436875827947</v>
      </c>
      <c r="AF142" s="14">
        <f>0.5*'Vehicle '!$F$40*'Duty Cycle '!L142^2/1000</f>
        <v>30.726868453189113</v>
      </c>
      <c r="AG142" s="14">
        <f t="shared" si="40"/>
        <v>902198.35115479992</v>
      </c>
    </row>
    <row r="143" spans="2:33" ht="30" customHeight="1" x14ac:dyDescent="0.25">
      <c r="B143" s="13">
        <f t="shared" si="41"/>
        <v>140</v>
      </c>
      <c r="C143" s="14" t="s">
        <v>141</v>
      </c>
      <c r="D143" s="14">
        <f>SUM($L$3:L143)</f>
        <v>1477.4537941456115</v>
      </c>
      <c r="E143" s="14">
        <f t="shared" si="42"/>
        <v>9.7286246322144052</v>
      </c>
      <c r="F143" s="15" t="s">
        <v>52</v>
      </c>
      <c r="G143" s="14">
        <v>17.5</v>
      </c>
      <c r="H143" s="14">
        <f t="shared" si="43"/>
        <v>0</v>
      </c>
      <c r="I143" s="14">
        <f t="shared" si="44"/>
        <v>0</v>
      </c>
      <c r="J143" s="14">
        <v>3</v>
      </c>
      <c r="K143" s="14">
        <v>4750</v>
      </c>
      <c r="L143" s="14">
        <v>9.7286246322142969</v>
      </c>
      <c r="M143" s="14">
        <f t="shared" si="36"/>
        <v>21.762933302263384</v>
      </c>
      <c r="N143" s="14">
        <f t="shared" si="45"/>
        <v>0</v>
      </c>
      <c r="O143" s="14">
        <f>IF(J143=1,'[1]Gearing '!$C$17*'Duty Cycle '!N143,IF(J143=2,'[1]Gearing '!$C$18*'Duty Cycle '!N143,IF(J143=3,'[1]Gearing '!$C$19*'Duty Cycle '!N143)))</f>
        <v>0</v>
      </c>
      <c r="P143" s="14">
        <f>IF(F143='Track '!$B$60,'Track '!$F$53,IF(F143='Track '!$B$61,'Track '!$F$54,IF(F143='Track '!$B$62,'Track '!$F$55)))</f>
        <v>0.06</v>
      </c>
      <c r="Q143" s="14">
        <f>P143*'Vehicle '!$F$40*9.81</f>
        <v>382.17797999999999</v>
      </c>
      <c r="R143" s="14">
        <f>0.5*'Vehicle '!$F$53*'Vehicle '!$F$25*'Track '!$F$57*'Duty Cycle '!L143^2</f>
        <v>36.166692812583079</v>
      </c>
      <c r="S143" s="14">
        <f>'Vehicle '!$F$40*9.81*SIN(RADIANS('Duty Cycle '!I143))</f>
        <v>0</v>
      </c>
      <c r="T143" s="18">
        <f t="shared" si="37"/>
        <v>418.3446728125831</v>
      </c>
      <c r="U143" s="14">
        <f t="shared" si="46"/>
        <v>4.0699182886801264</v>
      </c>
      <c r="V143" s="14">
        <f>'Vehicle '!$F$9-'Duty Cycle '!U143</f>
        <v>9.3529005032661825</v>
      </c>
      <c r="W143" s="14">
        <f t="shared" si="38"/>
        <v>4.0699182886801264</v>
      </c>
      <c r="X143" s="16">
        <f t="shared" si="47"/>
        <v>8.182075119455364</v>
      </c>
      <c r="Y143" s="16">
        <f t="shared" si="39"/>
        <v>9</v>
      </c>
      <c r="Z143" s="14">
        <f t="shared" si="34"/>
        <v>618084.9241075553</v>
      </c>
      <c r="AA143" s="14">
        <f t="shared" si="48"/>
        <v>38343889.690736562</v>
      </c>
      <c r="AB143" s="14">
        <f>'BSFC '!$X$14</f>
        <v>306.74480096579998</v>
      </c>
      <c r="AC143" s="14">
        <f t="shared" si="35"/>
        <v>0.34678507650229295</v>
      </c>
      <c r="AD143" s="14">
        <f t="shared" si="49"/>
        <v>52.374457345974065</v>
      </c>
      <c r="AE143" s="14">
        <f t="shared" si="50"/>
        <v>1.0715658863920852</v>
      </c>
      <c r="AF143" s="14">
        <f>0.5*'Vehicle '!$F$40*'Duty Cycle '!L143^2/1000</f>
        <v>30.726868453189113</v>
      </c>
      <c r="AG143" s="14">
        <f t="shared" si="40"/>
        <v>618115.6509760085</v>
      </c>
    </row>
    <row r="144" spans="2:33" ht="30" customHeight="1" x14ac:dyDescent="0.25">
      <c r="B144" s="13">
        <f t="shared" si="41"/>
        <v>141</v>
      </c>
      <c r="C144" s="14" t="s">
        <v>141</v>
      </c>
      <c r="D144" s="14">
        <f>SUM($L$3:L144)</f>
        <v>1487.1824187778259</v>
      </c>
      <c r="E144" s="14">
        <f t="shared" si="42"/>
        <v>9.7286246322144052</v>
      </c>
      <c r="F144" s="15" t="s">
        <v>52</v>
      </c>
      <c r="G144" s="14">
        <v>17.2</v>
      </c>
      <c r="H144" s="14">
        <f t="shared" si="43"/>
        <v>-0.30000000000000071</v>
      </c>
      <c r="I144" s="14">
        <f t="shared" si="44"/>
        <v>-1.7662608327945308</v>
      </c>
      <c r="J144" s="14">
        <v>3</v>
      </c>
      <c r="K144" s="14">
        <v>4750</v>
      </c>
      <c r="L144" s="14">
        <v>9.7286246322142969</v>
      </c>
      <c r="M144" s="14">
        <f t="shared" si="36"/>
        <v>21.762933302263384</v>
      </c>
      <c r="N144" s="14">
        <f t="shared" si="45"/>
        <v>0</v>
      </c>
      <c r="O144" s="14">
        <f>IF(J144=1,'[1]Gearing '!$C$17*'Duty Cycle '!N144,IF(J144=2,'[1]Gearing '!$C$18*'Duty Cycle '!N144,IF(J144=3,'[1]Gearing '!$C$19*'Duty Cycle '!N144)))</f>
        <v>0</v>
      </c>
      <c r="P144" s="14">
        <f>IF(F144='Track '!$B$60,'Track '!$F$53,IF(F144='Track '!$B$61,'Track '!$F$54,IF(F144='Track '!$B$62,'Track '!$F$55)))</f>
        <v>0.06</v>
      </c>
      <c r="Q144" s="14">
        <f>P144*'Vehicle '!$F$40*9.81</f>
        <v>382.17797999999999</v>
      </c>
      <c r="R144" s="14">
        <f>0.5*'Vehicle '!$F$53*'Vehicle '!$F$25*'Track '!$F$57*'Duty Cycle '!L144^2</f>
        <v>36.166692812583079</v>
      </c>
      <c r="S144" s="14">
        <f>'Vehicle '!$F$40*9.81*SIN(RADIANS('Duty Cycle '!I144))</f>
        <v>-196.32600465862717</v>
      </c>
      <c r="T144" s="18">
        <f t="shared" si="37"/>
        <v>222.01866815395593</v>
      </c>
      <c r="U144" s="14">
        <f t="shared" si="46"/>
        <v>2.1599362838139875</v>
      </c>
      <c r="V144" s="14">
        <f>'Vehicle '!$F$9-'Duty Cycle '!U144</f>
        <v>11.262882508132321</v>
      </c>
      <c r="W144" s="14">
        <f t="shared" si="38"/>
        <v>2.1599362838139875</v>
      </c>
      <c r="X144" s="16">
        <f t="shared" si="47"/>
        <v>4.3422888799899164</v>
      </c>
      <c r="Y144" s="16">
        <f t="shared" si="39"/>
        <v>5</v>
      </c>
      <c r="Z144" s="14">
        <f t="shared" si="34"/>
        <v>330182.25991903164</v>
      </c>
      <c r="AA144" s="14">
        <f t="shared" si="48"/>
        <v>38674071.950655594</v>
      </c>
      <c r="AB144" s="14">
        <f>'BSFC '!$X$14</f>
        <v>306.74480096579998</v>
      </c>
      <c r="AC144" s="14">
        <f t="shared" si="35"/>
        <v>0.18404145152148088</v>
      </c>
      <c r="AD144" s="14">
        <f t="shared" si="49"/>
        <v>52.558498797495545</v>
      </c>
      <c r="AE144" s="14">
        <f t="shared" si="50"/>
        <v>0.56868808520137593</v>
      </c>
      <c r="AF144" s="14">
        <f>0.5*'Vehicle '!$F$40*'Duty Cycle '!L144^2/1000</f>
        <v>30.726868453189113</v>
      </c>
      <c r="AG144" s="14">
        <f t="shared" si="40"/>
        <v>330212.98678748484</v>
      </c>
    </row>
    <row r="145" spans="2:33" ht="30" customHeight="1" x14ac:dyDescent="0.25">
      <c r="B145" s="13">
        <f t="shared" si="41"/>
        <v>142</v>
      </c>
      <c r="C145" s="14" t="s">
        <v>141</v>
      </c>
      <c r="D145" s="14">
        <f>SUM($L$3:L145)</f>
        <v>1496.9110434100403</v>
      </c>
      <c r="E145" s="14">
        <f t="shared" si="42"/>
        <v>9.7286246322144052</v>
      </c>
      <c r="F145" s="15" t="s">
        <v>52</v>
      </c>
      <c r="G145" s="14">
        <v>16.5</v>
      </c>
      <c r="H145" s="14">
        <f t="shared" si="43"/>
        <v>-0.69999999999999929</v>
      </c>
      <c r="I145" s="14">
        <f t="shared" si="44"/>
        <v>-4.1154888377874128</v>
      </c>
      <c r="J145" s="14">
        <v>3</v>
      </c>
      <c r="K145" s="14">
        <v>4750</v>
      </c>
      <c r="L145" s="14">
        <v>9.7286246322142969</v>
      </c>
      <c r="M145" s="14">
        <f t="shared" si="36"/>
        <v>21.762933302263384</v>
      </c>
      <c r="N145" s="14">
        <f t="shared" si="45"/>
        <v>0</v>
      </c>
      <c r="O145" s="14">
        <f>IF(J145=1,'[1]Gearing '!$C$17*'Duty Cycle '!N145,IF(J145=2,'[1]Gearing '!$C$18*'Duty Cycle '!N145,IF(J145=3,'[1]Gearing '!$C$19*'Duty Cycle '!N145)))</f>
        <v>0</v>
      </c>
      <c r="P145" s="14">
        <f>IF(F145='Track '!$B$60,'Track '!$F$53,IF(F145='Track '!$B$61,'Track '!$F$54,IF(F145='Track '!$B$62,'Track '!$F$55)))</f>
        <v>0.06</v>
      </c>
      <c r="Q145" s="14">
        <f>P145*'Vehicle '!$F$40*9.81</f>
        <v>382.17797999999999</v>
      </c>
      <c r="R145" s="14">
        <f>0.5*'Vehicle '!$F$53*'Vehicle '!$F$25*'Track '!$F$57*'Duty Cycle '!L145^2</f>
        <v>36.166692812583079</v>
      </c>
      <c r="S145" s="14">
        <f>'Vehicle '!$F$40*9.81*SIN(RADIANS('Duty Cycle '!I145))</f>
        <v>-457.12996807139302</v>
      </c>
      <c r="T145" s="18">
        <f t="shared" si="37"/>
        <v>-38.785295258809924</v>
      </c>
      <c r="U145" s="14">
        <f t="shared" si="46"/>
        <v>0.37732757882256263</v>
      </c>
      <c r="V145" s="14">
        <f>'Vehicle '!$F$9-'Duty Cycle '!U145</f>
        <v>13.045491213123746</v>
      </c>
      <c r="W145" s="14">
        <f t="shared" si="38"/>
        <v>0.37732757882256263</v>
      </c>
      <c r="X145" s="16">
        <f t="shared" si="47"/>
        <v>0.75857114948851712</v>
      </c>
      <c r="Y145" s="16">
        <f t="shared" si="39"/>
        <v>1</v>
      </c>
      <c r="Z145" s="14">
        <f t="shared" si="34"/>
        <v>-58058.136794831655</v>
      </c>
      <c r="AA145" s="14">
        <f t="shared" si="48"/>
        <v>38616013.813860759</v>
      </c>
      <c r="AB145" s="14">
        <f>'BSFC '!$X$14</f>
        <v>306.74480096579998</v>
      </c>
      <c r="AC145" s="14">
        <f t="shared" si="35"/>
        <v>3.2150909184676162E-2</v>
      </c>
      <c r="AD145" s="14">
        <f t="shared" si="49"/>
        <v>52.590649706680225</v>
      </c>
      <c r="AE145" s="14">
        <f t="shared" si="50"/>
        <v>9.9346309380649339E-2</v>
      </c>
      <c r="AF145" s="14">
        <f>0.5*'Vehicle '!$F$40*'Duty Cycle '!L145^2/1000</f>
        <v>30.726868453189113</v>
      </c>
      <c r="AG145" s="14">
        <f t="shared" si="40"/>
        <v>-58027.409926378466</v>
      </c>
    </row>
    <row r="146" spans="2:33" ht="30" customHeight="1" x14ac:dyDescent="0.25">
      <c r="B146" s="13">
        <f t="shared" si="41"/>
        <v>143</v>
      </c>
      <c r="C146" s="14" t="s">
        <v>141</v>
      </c>
      <c r="D146" s="14">
        <f>SUM($L$3:L146)</f>
        <v>1506.6396680422547</v>
      </c>
      <c r="E146" s="14">
        <f t="shared" si="42"/>
        <v>9.7286246322144052</v>
      </c>
      <c r="F146" s="15" t="s">
        <v>52</v>
      </c>
      <c r="G146" s="14">
        <v>15.5</v>
      </c>
      <c r="H146" s="14">
        <f t="shared" si="43"/>
        <v>-1</v>
      </c>
      <c r="I146" s="14">
        <f t="shared" si="44"/>
        <v>-5.8687904876691928</v>
      </c>
      <c r="J146" s="14">
        <v>3</v>
      </c>
      <c r="K146" s="14">
        <v>4750</v>
      </c>
      <c r="L146" s="14">
        <v>9.7286246322142969</v>
      </c>
      <c r="M146" s="14">
        <f t="shared" si="36"/>
        <v>21.762933302263384</v>
      </c>
      <c r="N146" s="14">
        <f t="shared" si="45"/>
        <v>0</v>
      </c>
      <c r="O146" s="14">
        <f>IF(J146=1,'[1]Gearing '!$C$17*'Duty Cycle '!N146,IF(J146=2,'[1]Gearing '!$C$18*'Duty Cycle '!N146,IF(J146=3,'[1]Gearing '!$C$19*'Duty Cycle '!N146)))</f>
        <v>0</v>
      </c>
      <c r="P146" s="14">
        <f>IF(F146='Track '!$B$60,'Track '!$F$53,IF(F146='Track '!$B$61,'Track '!$F$54,IF(F146='Track '!$B$62,'Track '!$F$55)))</f>
        <v>0.06</v>
      </c>
      <c r="Q146" s="14">
        <f>P146*'Vehicle '!$F$40*9.81</f>
        <v>382.17797999999999</v>
      </c>
      <c r="R146" s="14">
        <f>0.5*'Vehicle '!$F$53*'Vehicle '!$F$25*'Track '!$F$57*'Duty Cycle '!L146^2</f>
        <v>36.166692812583079</v>
      </c>
      <c r="S146" s="14">
        <f>'Vehicle '!$F$40*9.81*SIN(RADIANS('Duty Cycle '!I146))</f>
        <v>-651.29942177056353</v>
      </c>
      <c r="T146" s="18">
        <f t="shared" si="37"/>
        <v>-232.95474895798043</v>
      </c>
      <c r="U146" s="14">
        <f t="shared" si="46"/>
        <v>2.2663293089039063</v>
      </c>
      <c r="V146" s="14">
        <f>'Vehicle '!$F$9-'Duty Cycle '!U146</f>
        <v>11.156489483042403</v>
      </c>
      <c r="W146" s="14">
        <f t="shared" si="38"/>
        <v>2.2663293089039063</v>
      </c>
      <c r="X146" s="16">
        <f t="shared" si="47"/>
        <v>4.556179101298051</v>
      </c>
      <c r="Y146" s="16">
        <f t="shared" si="39"/>
        <v>5</v>
      </c>
      <c r="Z146" s="14">
        <f t="shared" si="34"/>
        <v>-350978.86563891842</v>
      </c>
      <c r="AA146" s="14">
        <f t="shared" si="48"/>
        <v>38265034.94822184</v>
      </c>
      <c r="AB146" s="14">
        <f>'BSFC '!$X$14</f>
        <v>306.74480096579998</v>
      </c>
      <c r="AC146" s="14">
        <f t="shared" si="35"/>
        <v>0.19310687021741327</v>
      </c>
      <c r="AD146" s="14">
        <f t="shared" si="49"/>
        <v>52.783756576897638</v>
      </c>
      <c r="AE146" s="14">
        <f t="shared" si="50"/>
        <v>0.59670022897180697</v>
      </c>
      <c r="AF146" s="14">
        <f>0.5*'Vehicle '!$F$40*'Duty Cycle '!L146^2/1000</f>
        <v>30.726868453189113</v>
      </c>
      <c r="AG146" s="14">
        <f t="shared" si="40"/>
        <v>-350948.13877046522</v>
      </c>
    </row>
    <row r="147" spans="2:33" ht="30" customHeight="1" x14ac:dyDescent="0.25">
      <c r="B147" s="13">
        <f t="shared" si="41"/>
        <v>144</v>
      </c>
      <c r="C147" s="14" t="s">
        <v>141</v>
      </c>
      <c r="D147" s="14">
        <f>SUM($L$3:L147)</f>
        <v>1516.3682926744691</v>
      </c>
      <c r="E147" s="14">
        <f t="shared" si="42"/>
        <v>9.7286246322144052</v>
      </c>
      <c r="F147" s="15" t="s">
        <v>52</v>
      </c>
      <c r="G147" s="14">
        <v>14.5</v>
      </c>
      <c r="H147" s="14">
        <f t="shared" si="43"/>
        <v>-1</v>
      </c>
      <c r="I147" s="14">
        <f t="shared" si="44"/>
        <v>-5.8687904876691928</v>
      </c>
      <c r="J147" s="14">
        <v>3</v>
      </c>
      <c r="K147" s="14">
        <v>4750</v>
      </c>
      <c r="L147" s="14">
        <v>9.7286246322142969</v>
      </c>
      <c r="M147" s="14">
        <f t="shared" si="36"/>
        <v>21.762933302263384</v>
      </c>
      <c r="N147" s="14">
        <f t="shared" si="45"/>
        <v>0</v>
      </c>
      <c r="O147" s="14">
        <f>IF(J147=1,'[1]Gearing '!$C$17*'Duty Cycle '!N147,IF(J147=2,'[1]Gearing '!$C$18*'Duty Cycle '!N147,IF(J147=3,'[1]Gearing '!$C$19*'Duty Cycle '!N147)))</f>
        <v>0</v>
      </c>
      <c r="P147" s="14">
        <f>IF(F147='Track '!$B$60,'Track '!$F$53,IF(F147='Track '!$B$61,'Track '!$F$54,IF(F147='Track '!$B$62,'Track '!$F$55)))</f>
        <v>0.06</v>
      </c>
      <c r="Q147" s="14">
        <f>P147*'Vehicle '!$F$40*9.81</f>
        <v>382.17797999999999</v>
      </c>
      <c r="R147" s="14">
        <f>0.5*'Vehicle '!$F$53*'Vehicle '!$F$25*'Track '!$F$57*'Duty Cycle '!L147^2</f>
        <v>36.166692812583079</v>
      </c>
      <c r="S147" s="14">
        <f>'Vehicle '!$F$40*9.81*SIN(RADIANS('Duty Cycle '!I147))</f>
        <v>-651.29942177056353</v>
      </c>
      <c r="T147" s="18">
        <f t="shared" si="37"/>
        <v>-232.95474895798043</v>
      </c>
      <c r="U147" s="14">
        <f t="shared" si="46"/>
        <v>2.2663293089039063</v>
      </c>
      <c r="V147" s="14">
        <f>'Vehicle '!$F$9-'Duty Cycle '!U147</f>
        <v>11.156489483042403</v>
      </c>
      <c r="W147" s="14">
        <f t="shared" si="38"/>
        <v>2.2663293089039063</v>
      </c>
      <c r="X147" s="16">
        <f t="shared" si="47"/>
        <v>4.556179101298051</v>
      </c>
      <c r="Y147" s="16">
        <f t="shared" si="39"/>
        <v>5</v>
      </c>
      <c r="Z147" s="14">
        <f t="shared" si="34"/>
        <v>-353245.19494782237</v>
      </c>
      <c r="AA147" s="14">
        <f t="shared" si="48"/>
        <v>37911789.753274016</v>
      </c>
      <c r="AB147" s="14">
        <f>'BSFC '!$X$14</f>
        <v>306.74480096579998</v>
      </c>
      <c r="AC147" s="14">
        <f t="shared" si="35"/>
        <v>0.19310687021741327</v>
      </c>
      <c r="AD147" s="14">
        <f t="shared" si="49"/>
        <v>52.976863447115051</v>
      </c>
      <c r="AE147" s="14">
        <f t="shared" si="50"/>
        <v>0.59670022897180697</v>
      </c>
      <c r="AF147" s="14">
        <f>0.5*'Vehicle '!$F$40*'Duty Cycle '!L147^2/1000</f>
        <v>30.726868453189113</v>
      </c>
      <c r="AG147" s="14">
        <f t="shared" si="40"/>
        <v>-353214.46807936917</v>
      </c>
    </row>
    <row r="148" spans="2:33" ht="30" customHeight="1" x14ac:dyDescent="0.25">
      <c r="B148" s="13">
        <f t="shared" si="41"/>
        <v>145</v>
      </c>
      <c r="C148" s="14" t="s">
        <v>141</v>
      </c>
      <c r="D148" s="14">
        <f>SUM($L$3:L148)</f>
        <v>1526.6089501820632</v>
      </c>
      <c r="E148" s="14">
        <f t="shared" si="42"/>
        <v>10.240657507594051</v>
      </c>
      <c r="F148" s="15" t="s">
        <v>52</v>
      </c>
      <c r="G148" s="14">
        <v>13.5</v>
      </c>
      <c r="H148" s="14">
        <f t="shared" si="43"/>
        <v>-1</v>
      </c>
      <c r="I148" s="14">
        <v>0</v>
      </c>
      <c r="J148" s="14">
        <v>3</v>
      </c>
      <c r="K148" s="14">
        <v>5000</v>
      </c>
      <c r="L148" s="14">
        <v>10.240657507593998</v>
      </c>
      <c r="M148" s="14">
        <f t="shared" si="36"/>
        <v>22.908350844487774</v>
      </c>
      <c r="N148" s="14">
        <f t="shared" si="45"/>
        <v>0.51203287537970077</v>
      </c>
      <c r="O148" s="14">
        <f>IF(J148=1,'[1]Gearing '!$C$17*'Duty Cycle '!N148,IF(J148=2,'[1]Gearing '!$C$18*'Duty Cycle '!N148,IF(J148=3,'[1]Gearing '!$C$19*'Duty Cycle '!N148)))</f>
        <v>308.3378492657061</v>
      </c>
      <c r="P148" s="14">
        <f>IF(F148='Track '!$B$60,'Track '!$F$53,IF(F148='Track '!$B$61,'Track '!$F$54,IF(F148='Track '!$B$62,'Track '!$F$55)))</f>
        <v>0.06</v>
      </c>
      <c r="Q148" s="14">
        <f>P148*'Vehicle '!$F$40*9.81</f>
        <v>382.17797999999999</v>
      </c>
      <c r="R148" s="14">
        <f>0.5*'Vehicle '!$F$53*'Vehicle '!$F$25*'Track '!$F$57*'Duty Cycle '!L148^2</f>
        <v>40.073897853277657</v>
      </c>
      <c r="S148" s="14">
        <f>'Vehicle '!$F$40*9.81*SIN(RADIANS('Duty Cycle '!I148))</f>
        <v>0</v>
      </c>
      <c r="T148" s="18">
        <f t="shared" si="37"/>
        <v>422.25187785327762</v>
      </c>
      <c r="U148" s="14">
        <f t="shared" si="46"/>
        <v>4.3241368630338313</v>
      </c>
      <c r="V148" s="14">
        <f>'Vehicle '!$F$9-'Duty Cycle '!U148</f>
        <v>9.0986819289124767</v>
      </c>
      <c r="W148" s="14">
        <f t="shared" si="38"/>
        <v>4.3241368630338313</v>
      </c>
      <c r="X148" s="16">
        <f t="shared" si="47"/>
        <v>8.258493076292595</v>
      </c>
      <c r="Y148" s="16">
        <f t="shared" si="39"/>
        <v>9</v>
      </c>
      <c r="Z148" s="14">
        <f t="shared" si="34"/>
        <v>644613.49596199696</v>
      </c>
      <c r="AA148" s="14">
        <f t="shared" si="48"/>
        <v>38556403.24923601</v>
      </c>
      <c r="AB148" s="14">
        <f>'BSFC '!$X$14</f>
        <v>306.74480096579998</v>
      </c>
      <c r="AC148" s="14">
        <f t="shared" si="35"/>
        <v>0.36844625038894202</v>
      </c>
      <c r="AD148" s="14">
        <f t="shared" si="49"/>
        <v>53.345309697503993</v>
      </c>
      <c r="AE148" s="14">
        <f t="shared" si="50"/>
        <v>1.1384989137018309</v>
      </c>
      <c r="AF148" s="14">
        <f>0.5*'Vehicle '!$F$40*'Duty Cycle '!L148^2/1000</f>
        <v>34.046391637882678</v>
      </c>
      <c r="AG148" s="14">
        <f t="shared" si="40"/>
        <v>644647.54235363484</v>
      </c>
    </row>
    <row r="149" spans="2:33" ht="30" customHeight="1" x14ac:dyDescent="0.25">
      <c r="B149" s="13">
        <f t="shared" si="41"/>
        <v>146</v>
      </c>
      <c r="C149" s="14" t="s">
        <v>141</v>
      </c>
      <c r="D149" s="14">
        <f>SUM($L$3:L149)</f>
        <v>1537.8736734404165</v>
      </c>
      <c r="E149" s="14">
        <f t="shared" si="42"/>
        <v>11.264723258353342</v>
      </c>
      <c r="F149" s="15" t="s">
        <v>52</v>
      </c>
      <c r="G149" s="14">
        <v>12.5</v>
      </c>
      <c r="H149" s="14">
        <f t="shared" si="43"/>
        <v>-1</v>
      </c>
      <c r="I149" s="14">
        <v>0</v>
      </c>
      <c r="J149" s="14">
        <v>3</v>
      </c>
      <c r="K149" s="14">
        <v>5500</v>
      </c>
      <c r="L149" s="14">
        <v>11.264723258353396</v>
      </c>
      <c r="M149" s="14">
        <f t="shared" si="36"/>
        <v>25.199185928936547</v>
      </c>
      <c r="N149" s="14">
        <f t="shared" si="45"/>
        <v>1.024065750759398</v>
      </c>
      <c r="O149" s="14">
        <f>IF(J149=1,'[1]Gearing '!$C$17*'Duty Cycle '!N149,IF(J149=2,'[1]Gearing '!$C$18*'Duty Cycle '!N149,IF(J149=3,'[1]Gearing '!$C$19*'Duty Cycle '!N149)))</f>
        <v>616.67569853141003</v>
      </c>
      <c r="P149" s="14">
        <f>IF(F149='Track '!$B$60,'Track '!$F$53,IF(F149='Track '!$B$61,'Track '!$F$54,IF(F149='Track '!$B$62,'Track '!$F$55)))</f>
        <v>0.06</v>
      </c>
      <c r="Q149" s="14">
        <f>P149*'Vehicle '!$F$40*9.81</f>
        <v>382.17797999999999</v>
      </c>
      <c r="R149" s="14">
        <f>0.5*'Vehicle '!$F$53*'Vehicle '!$F$25*'Track '!$F$57*'Duty Cycle '!L149^2</f>
        <v>48.489416402465956</v>
      </c>
      <c r="S149" s="14">
        <f>'Vehicle '!$F$40*9.81*SIN(RADIANS('Duty Cycle '!I149))</f>
        <v>0</v>
      </c>
      <c r="T149" s="18">
        <f t="shared" si="37"/>
        <v>430.66739640246595</v>
      </c>
      <c r="U149" s="14">
        <f t="shared" si="46"/>
        <v>4.8513490368693599</v>
      </c>
      <c r="V149" s="14">
        <f>'Vehicle '!$F$9-'Duty Cycle '!U149</f>
        <v>8.571469755076949</v>
      </c>
      <c r="W149" s="14">
        <f t="shared" si="38"/>
        <v>4.8513490368693599</v>
      </c>
      <c r="X149" s="16">
        <f t="shared" si="47"/>
        <v>8.4230855987112481</v>
      </c>
      <c r="Y149" s="16">
        <f t="shared" si="39"/>
        <v>9</v>
      </c>
      <c r="Z149" s="14">
        <f t="shared" si="34"/>
        <v>662312.05093648029</v>
      </c>
      <c r="AA149" s="14">
        <f t="shared" si="48"/>
        <v>39218715.300172493</v>
      </c>
      <c r="AB149" s="14">
        <f>'BSFC '!$X$14</f>
        <v>306.74480096579998</v>
      </c>
      <c r="AC149" s="14">
        <f t="shared" si="35"/>
        <v>0.41336835964725482</v>
      </c>
      <c r="AD149" s="14">
        <f t="shared" si="49"/>
        <v>53.758678057151251</v>
      </c>
      <c r="AE149" s="14">
        <f t="shared" si="50"/>
        <v>1.2773082313100173</v>
      </c>
      <c r="AF149" s="14">
        <f>0.5*'Vehicle '!$F$40*'Duty Cycle '!L149^2/1000</f>
        <v>41.19613388183803</v>
      </c>
      <c r="AG149" s="14">
        <f t="shared" si="40"/>
        <v>662353.24707036209</v>
      </c>
    </row>
    <row r="150" spans="2:33" ht="30" customHeight="1" x14ac:dyDescent="0.25">
      <c r="B150" s="13">
        <f t="shared" si="41"/>
        <v>147</v>
      </c>
      <c r="C150" s="14" t="s">
        <v>141</v>
      </c>
      <c r="D150" s="14">
        <f>SUM($L$3:L150)</f>
        <v>1549.6504295741495</v>
      </c>
      <c r="E150" s="14">
        <f t="shared" si="42"/>
        <v>11.776756133732988</v>
      </c>
      <c r="F150" s="15" t="s">
        <v>52</v>
      </c>
      <c r="G150" s="14">
        <v>11.5</v>
      </c>
      <c r="H150" s="14">
        <f t="shared" si="43"/>
        <v>-1</v>
      </c>
      <c r="I150" s="14">
        <v>0</v>
      </c>
      <c r="J150" s="14">
        <v>3</v>
      </c>
      <c r="K150" s="14">
        <v>5750</v>
      </c>
      <c r="L150" s="14">
        <v>11.776756133733098</v>
      </c>
      <c r="M150" s="14">
        <f t="shared" si="36"/>
        <v>26.344603471160941</v>
      </c>
      <c r="N150" s="14">
        <f t="shared" si="45"/>
        <v>0.51203287537970255</v>
      </c>
      <c r="O150" s="14">
        <f>IF(J150=1,'[1]Gearing '!$C$17*'Duty Cycle '!N150,IF(J150=2,'[1]Gearing '!$C$18*'Duty Cycle '!N150,IF(J150=3,'[1]Gearing '!$C$19*'Duty Cycle '!N150)))</f>
        <v>308.33784926570718</v>
      </c>
      <c r="P150" s="14">
        <f>IF(F150='Track '!$B$60,'Track '!$F$53,IF(F150='Track '!$B$61,'Track '!$F$54,IF(F150='Track '!$B$62,'Track '!$F$55)))</f>
        <v>0.06</v>
      </c>
      <c r="Q150" s="14">
        <f>P150*'Vehicle '!$F$40*9.81</f>
        <v>382.17797999999999</v>
      </c>
      <c r="R150" s="14">
        <f>0.5*'Vehicle '!$F$53*'Vehicle '!$F$25*'Track '!$F$57*'Duty Cycle '!L150^2</f>
        <v>52.997729910959706</v>
      </c>
      <c r="S150" s="14">
        <f>'Vehicle '!$F$40*9.81*SIN(RADIANS('Duty Cycle '!I150))</f>
        <v>0</v>
      </c>
      <c r="T150" s="18">
        <f t="shared" si="37"/>
        <v>435.17570991095971</v>
      </c>
      <c r="U150" s="14">
        <f t="shared" si="46"/>
        <v>5.1249582109455503</v>
      </c>
      <c r="V150" s="14">
        <f>'Vehicle '!$F$9-'Duty Cycle '!U150</f>
        <v>8.2978605810007586</v>
      </c>
      <c r="W150" s="14">
        <f t="shared" si="38"/>
        <v>5.1249582109455503</v>
      </c>
      <c r="X150" s="16">
        <f t="shared" si="47"/>
        <v>8.5112601642926684</v>
      </c>
      <c r="Y150" s="16">
        <f t="shared" si="39"/>
        <v>9</v>
      </c>
      <c r="Z150" s="14">
        <f t="shared" si="34"/>
        <v>674370.22580375418</v>
      </c>
      <c r="AA150" s="14">
        <f t="shared" si="48"/>
        <v>39893085.525976248</v>
      </c>
      <c r="AB150" s="14">
        <f>'BSFC '!$X$14</f>
        <v>306.74480096579998</v>
      </c>
      <c r="AC150" s="14">
        <f t="shared" si="35"/>
        <v>0.43668174621514866</v>
      </c>
      <c r="AD150" s="14">
        <f t="shared" si="49"/>
        <v>54.195359803366401</v>
      </c>
      <c r="AE150" s="14">
        <f t="shared" si="50"/>
        <v>1.3493465958048092</v>
      </c>
      <c r="AF150" s="14">
        <f>0.5*'Vehicle '!$F$40*'Duty Cycle '!L150^2/1000</f>
        <v>45.026352941099844</v>
      </c>
      <c r="AG150" s="14">
        <f t="shared" si="40"/>
        <v>674415.25215669523</v>
      </c>
    </row>
    <row r="151" spans="2:33" ht="30" customHeight="1" x14ac:dyDescent="0.25">
      <c r="B151" s="13">
        <f t="shared" si="41"/>
        <v>148</v>
      </c>
      <c r="C151" s="14" t="s">
        <v>141</v>
      </c>
      <c r="D151" s="14">
        <f>SUM($L$3:L151)</f>
        <v>1561.9392185832623</v>
      </c>
      <c r="E151" s="14">
        <f t="shared" si="42"/>
        <v>12.288789009112861</v>
      </c>
      <c r="F151" s="15" t="s">
        <v>52</v>
      </c>
      <c r="G151" s="14">
        <v>10.5</v>
      </c>
      <c r="H151" s="14">
        <f t="shared" si="43"/>
        <v>-1</v>
      </c>
      <c r="I151" s="14">
        <v>0</v>
      </c>
      <c r="J151" s="14">
        <v>3</v>
      </c>
      <c r="K151" s="14">
        <v>6000</v>
      </c>
      <c r="L151" s="14">
        <v>12.288789009112795</v>
      </c>
      <c r="M151" s="14">
        <f t="shared" si="36"/>
        <v>27.490021013385324</v>
      </c>
      <c r="N151" s="14">
        <f t="shared" si="45"/>
        <v>0.51203287537969722</v>
      </c>
      <c r="O151" s="14">
        <f>IF(J151=1,'[1]Gearing '!$C$17*'Duty Cycle '!N151,IF(J151=2,'[1]Gearing '!$C$18*'Duty Cycle '!N151,IF(J151=3,'[1]Gearing '!$C$19*'Duty Cycle '!N151)))</f>
        <v>308.33784926570394</v>
      </c>
      <c r="P151" s="14">
        <f>IF(F151='Track '!$B$60,'Track '!$F$53,IF(F151='Track '!$B$61,'Track '!$F$54,IF(F151='Track '!$B$62,'Track '!$F$55)))</f>
        <v>0.06</v>
      </c>
      <c r="Q151" s="14">
        <f>P151*'Vehicle '!$F$40*9.81</f>
        <v>382.17797999999999</v>
      </c>
      <c r="R151" s="14">
        <f>0.5*'Vehicle '!$F$53*'Vehicle '!$F$25*'Track '!$F$57*'Duty Cycle '!L151^2</f>
        <v>57.70641290871982</v>
      </c>
      <c r="S151" s="14">
        <f>'Vehicle '!$F$40*9.81*SIN(RADIANS('Duty Cycle '!I151))</f>
        <v>0</v>
      </c>
      <c r="T151" s="18">
        <f t="shared" si="37"/>
        <v>439.8843929087198</v>
      </c>
      <c r="U151" s="14">
        <f t="shared" si="46"/>
        <v>5.4056464928569303</v>
      </c>
      <c r="V151" s="14">
        <f>'Vehicle '!$F$9-'Duty Cycle '!U151</f>
        <v>8.0171722990893777</v>
      </c>
      <c r="W151" s="14">
        <f t="shared" si="38"/>
        <v>5.4056464928569303</v>
      </c>
      <c r="X151" s="16">
        <f t="shared" si="47"/>
        <v>8.6033535994554828</v>
      </c>
      <c r="Y151" s="16">
        <f t="shared" si="39"/>
        <v>9</v>
      </c>
      <c r="Z151" s="14">
        <f t="shared" si="34"/>
        <v>687072.68492681859</v>
      </c>
      <c r="AA151" s="14">
        <f t="shared" si="48"/>
        <v>40580158.210903063</v>
      </c>
      <c r="AB151" s="14">
        <f>'BSFC '!$X$14</f>
        <v>306.74480096579998</v>
      </c>
      <c r="AC151" s="14">
        <f t="shared" si="35"/>
        <v>0.46059832153968716</v>
      </c>
      <c r="AD151" s="14">
        <f t="shared" si="49"/>
        <v>54.655958124906086</v>
      </c>
      <c r="AE151" s="14">
        <f t="shared" si="50"/>
        <v>1.4232488135576333</v>
      </c>
      <c r="AF151" s="14">
        <f>0.5*'Vehicle '!$F$40*'Duty Cycle '!L151^2/1000</f>
        <v>49.026803958551042</v>
      </c>
      <c r="AG151" s="14">
        <f t="shared" si="40"/>
        <v>687121.71173077717</v>
      </c>
    </row>
    <row r="152" spans="2:33" ht="30" customHeight="1" x14ac:dyDescent="0.25">
      <c r="B152" s="13">
        <f t="shared" si="41"/>
        <v>149</v>
      </c>
      <c r="C152" s="14" t="s">
        <v>141</v>
      </c>
      <c r="D152" s="14">
        <f>SUM($L$3:L152)</f>
        <v>1574.7400404677549</v>
      </c>
      <c r="E152" s="14">
        <f t="shared" si="42"/>
        <v>12.800821884492507</v>
      </c>
      <c r="F152" s="15" t="s">
        <v>52</v>
      </c>
      <c r="G152" s="14">
        <v>10</v>
      </c>
      <c r="H152" s="14">
        <f t="shared" si="43"/>
        <v>-0.5</v>
      </c>
      <c r="I152" s="14">
        <v>0</v>
      </c>
      <c r="J152" s="14">
        <v>3</v>
      </c>
      <c r="K152" s="14">
        <v>6250</v>
      </c>
      <c r="L152" s="14">
        <v>12.800821884492496</v>
      </c>
      <c r="M152" s="14">
        <f t="shared" si="36"/>
        <v>28.635438555609714</v>
      </c>
      <c r="N152" s="14">
        <f t="shared" si="45"/>
        <v>0.51203287537970077</v>
      </c>
      <c r="O152" s="14">
        <f>IF(J152=1,'[1]Gearing '!$C$17*'Duty Cycle '!N152,IF(J152=2,'[1]Gearing '!$C$18*'Duty Cycle '!N152,IF(J152=3,'[1]Gearing '!$C$19*'Duty Cycle '!N152)))</f>
        <v>308.3378492657061</v>
      </c>
      <c r="P152" s="14">
        <f>IF(F152='Track '!$B$60,'Track '!$F$53,IF(F152='Track '!$B$61,'Track '!$F$54,IF(F152='Track '!$B$62,'Track '!$F$55)))</f>
        <v>0.06</v>
      </c>
      <c r="Q152" s="14">
        <f>P152*'Vehicle '!$F$40*9.81</f>
        <v>382.17797999999999</v>
      </c>
      <c r="R152" s="14">
        <f>0.5*'Vehicle '!$F$53*'Vehicle '!$F$25*'Track '!$F$57*'Duty Cycle '!L152^2</f>
        <v>62.615465395746334</v>
      </c>
      <c r="S152" s="14">
        <f>'Vehicle '!$F$40*9.81*SIN(RADIANS('Duty Cycle '!I152))</f>
        <v>0</v>
      </c>
      <c r="T152" s="18">
        <f t="shared" si="37"/>
        <v>444.79344539574635</v>
      </c>
      <c r="U152" s="14">
        <f t="shared" si="46"/>
        <v>5.6937216699006878</v>
      </c>
      <c r="V152" s="14">
        <f>'Vehicle '!$F$9-'Duty Cycle '!U152</f>
        <v>7.729097122045621</v>
      </c>
      <c r="W152" s="14">
        <f t="shared" si="38"/>
        <v>5.6937216699006878</v>
      </c>
      <c r="X152" s="16">
        <f t="shared" si="47"/>
        <v>8.6993659041996985</v>
      </c>
      <c r="Y152" s="16">
        <f t="shared" si="39"/>
        <v>9</v>
      </c>
      <c r="Z152" s="14">
        <f t="shared" si="34"/>
        <v>700434.04820228973</v>
      </c>
      <c r="AA152" s="14">
        <f t="shared" si="48"/>
        <v>41280592.259105355</v>
      </c>
      <c r="AB152" s="14">
        <f>'BSFC '!$X$14</f>
        <v>306.74480096579998</v>
      </c>
      <c r="AC152" s="14">
        <f t="shared" si="35"/>
        <v>0.48514431121898577</v>
      </c>
      <c r="AD152" s="14">
        <f t="shared" si="49"/>
        <v>55.141102436125074</v>
      </c>
      <c r="AE152" s="14">
        <f t="shared" si="50"/>
        <v>1.4990959216666659</v>
      </c>
      <c r="AF152" s="14">
        <f>0.5*'Vehicle '!$F$40*'Duty Cycle '!L152^2/1000</f>
        <v>53.19748693419168</v>
      </c>
      <c r="AG152" s="14">
        <f t="shared" si="40"/>
        <v>700487.24568922387</v>
      </c>
    </row>
    <row r="153" spans="2:33" ht="30" customHeight="1" x14ac:dyDescent="0.25">
      <c r="B153" s="13">
        <f t="shared" si="41"/>
        <v>150</v>
      </c>
      <c r="C153" s="14" t="s">
        <v>141</v>
      </c>
      <c r="D153" s="14">
        <f>SUM($L$3:L153)</f>
        <v>1587.5408623522474</v>
      </c>
      <c r="E153" s="14">
        <f t="shared" si="42"/>
        <v>12.800821884492507</v>
      </c>
      <c r="F153" s="15" t="s">
        <v>52</v>
      </c>
      <c r="G153" s="14">
        <v>11</v>
      </c>
      <c r="H153" s="14">
        <f t="shared" si="43"/>
        <v>1</v>
      </c>
      <c r="I153" s="14">
        <v>0</v>
      </c>
      <c r="J153" s="14">
        <v>3</v>
      </c>
      <c r="K153" s="14">
        <v>6250</v>
      </c>
      <c r="L153" s="14">
        <v>12.800821884492496</v>
      </c>
      <c r="M153" s="14">
        <f t="shared" si="36"/>
        <v>28.635438555609714</v>
      </c>
      <c r="N153" s="14">
        <f t="shared" si="45"/>
        <v>0</v>
      </c>
      <c r="O153" s="14">
        <f>IF(J153=1,'[1]Gearing '!$C$17*'Duty Cycle '!N153,IF(J153=2,'[1]Gearing '!$C$18*'Duty Cycle '!N153,IF(J153=3,'[1]Gearing '!$C$19*'Duty Cycle '!N153)))</f>
        <v>0</v>
      </c>
      <c r="P153" s="14">
        <f>IF(F153='Track '!$B$60,'Track '!$F$53,IF(F153='Track '!$B$61,'Track '!$F$54,IF(F153='Track '!$B$62,'Track '!$F$55)))</f>
        <v>0.06</v>
      </c>
      <c r="Q153" s="14">
        <f>P153*'Vehicle '!$F$40*9.81</f>
        <v>382.17797999999999</v>
      </c>
      <c r="R153" s="14">
        <f>0.5*'Vehicle '!$F$53*'Vehicle '!$F$25*'Track '!$F$57*'Duty Cycle '!L153^2</f>
        <v>62.615465395746334</v>
      </c>
      <c r="S153" s="14">
        <f>'Vehicle '!$F$40*9.81*SIN(RADIANS('Duty Cycle '!I153))</f>
        <v>0</v>
      </c>
      <c r="T153" s="18">
        <f t="shared" si="37"/>
        <v>444.79344539574635</v>
      </c>
      <c r="U153" s="14">
        <f t="shared" si="46"/>
        <v>5.6937216699006878</v>
      </c>
      <c r="V153" s="14">
        <f>'Vehicle '!$F$9-'Duty Cycle '!U153</f>
        <v>7.729097122045621</v>
      </c>
      <c r="W153" s="14">
        <f t="shared" si="38"/>
        <v>5.6937216699006878</v>
      </c>
      <c r="X153" s="16">
        <f t="shared" si="47"/>
        <v>8.6993659041996985</v>
      </c>
      <c r="Y153" s="16">
        <f t="shared" si="39"/>
        <v>9</v>
      </c>
      <c r="Z153" s="14">
        <f t="shared" si="34"/>
        <v>706127.76987219043</v>
      </c>
      <c r="AA153" s="14">
        <f t="shared" si="48"/>
        <v>41986720.028977543</v>
      </c>
      <c r="AB153" s="14">
        <f>'BSFC '!$X$14</f>
        <v>306.74480096579998</v>
      </c>
      <c r="AC153" s="14">
        <f t="shared" si="35"/>
        <v>0.48514431121898577</v>
      </c>
      <c r="AD153" s="14">
        <f t="shared" si="49"/>
        <v>55.626246747344062</v>
      </c>
      <c r="AE153" s="14">
        <f t="shared" si="50"/>
        <v>1.4990959216666659</v>
      </c>
      <c r="AF153" s="14">
        <f>0.5*'Vehicle '!$F$40*'Duty Cycle '!L153^2/1000</f>
        <v>53.19748693419168</v>
      </c>
      <c r="AG153" s="14">
        <f t="shared" si="40"/>
        <v>706180.96735912457</v>
      </c>
    </row>
  </sheetData>
  <mergeCells count="28">
    <mergeCell ref="A54:A55"/>
    <mergeCell ref="A56:A57"/>
    <mergeCell ref="A38:A39"/>
    <mergeCell ref="A40:A41"/>
    <mergeCell ref="A42:A43"/>
    <mergeCell ref="A44:A45"/>
    <mergeCell ref="A46:A47"/>
    <mergeCell ref="A28:A29"/>
    <mergeCell ref="A30:A31"/>
    <mergeCell ref="A32:A33"/>
    <mergeCell ref="A34:A35"/>
    <mergeCell ref="A36:A37"/>
    <mergeCell ref="A50:A51"/>
    <mergeCell ref="A52:A53"/>
    <mergeCell ref="A24:A25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48:A49"/>
    <mergeCell ref="A26:A27"/>
  </mergeCells>
  <conditionalFormatting sqref="E3:E153"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3:D153">
    <cfRule type="colorScale" priority="2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3:G153">
    <cfRule type="colorScale" priority="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3:H153">
    <cfRule type="colorScale" priority="2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3:I153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3:J153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K3:K153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L3:L153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3:M153">
    <cfRule type="colorScale" priority="2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3:N153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3:O153">
    <cfRule type="colorScale" priority="1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P3:P153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Q3:Q153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R3:R153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S3:S153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T3:T153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U3:U153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V3:V153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W3:W153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Y3:Y153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Z3:Z153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A3:AA153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3:AB153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C3:AD153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E3:AE153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F3:AF153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3:AG153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X3:X153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dataValidations count="1">
    <dataValidation type="list" allowBlank="1" showInputMessage="1" showErrorMessage="1" sqref="J3:J156" xr:uid="{E2C378F5-028F-4B28-B04C-3295336E1B00}">
      <formula1>$AN$3:$AN$5</formula1>
    </dataValidation>
  </dataValidation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194A-F336-40FF-9F55-C36E0EAA4CC0}">
  <dimension ref="A1"/>
  <sheetViews>
    <sheetView tabSelected="1" zoomScale="70" zoomScaleNormal="70" workbookViewId="0">
      <selection activeCell="AA41" sqref="AA4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8191A-D7AC-41DF-915A-5FA97F814AE0}">
  <dimension ref="B2:G21"/>
  <sheetViews>
    <sheetView workbookViewId="0">
      <selection activeCell="B16" sqref="B16:G21"/>
    </sheetView>
  </sheetViews>
  <sheetFormatPr defaultRowHeight="15" x14ac:dyDescent="0.25"/>
  <sheetData>
    <row r="2" spans="2:7" x14ac:dyDescent="0.25">
      <c r="B2" s="31" t="s">
        <v>155</v>
      </c>
      <c r="C2" s="31"/>
      <c r="D2" s="31"/>
      <c r="E2" s="31"/>
      <c r="F2" s="31"/>
      <c r="G2" s="31"/>
    </row>
    <row r="3" spans="2:7" x14ac:dyDescent="0.25">
      <c r="B3" s="31" t="s">
        <v>156</v>
      </c>
      <c r="C3" s="31"/>
      <c r="D3" s="31"/>
      <c r="E3" s="31"/>
      <c r="F3" s="31">
        <v>48</v>
      </c>
      <c r="G3" s="31"/>
    </row>
    <row r="4" spans="2:7" x14ac:dyDescent="0.25">
      <c r="B4" s="31" t="s">
        <v>157</v>
      </c>
      <c r="C4" s="31"/>
      <c r="D4" s="31"/>
      <c r="E4" s="31"/>
      <c r="F4" s="31">
        <v>350</v>
      </c>
      <c r="G4" s="31"/>
    </row>
    <row r="5" spans="2:7" x14ac:dyDescent="0.25">
      <c r="B5" s="31" t="s">
        <v>158</v>
      </c>
      <c r="C5" s="31"/>
      <c r="D5" s="31"/>
      <c r="E5" s="31"/>
      <c r="F5" s="31">
        <v>17.309999999999999</v>
      </c>
      <c r="G5" s="31"/>
    </row>
    <row r="6" spans="2:7" x14ac:dyDescent="0.25">
      <c r="B6" s="31" t="s">
        <v>159</v>
      </c>
      <c r="C6" s="31"/>
      <c r="D6" s="31"/>
      <c r="E6" s="31"/>
      <c r="F6" s="31">
        <v>54.6</v>
      </c>
      <c r="G6" s="31"/>
    </row>
    <row r="8" spans="2:7" x14ac:dyDescent="0.25">
      <c r="B8" s="31" t="s">
        <v>163</v>
      </c>
      <c r="C8" s="31"/>
      <c r="D8" s="31"/>
      <c r="E8" s="31"/>
      <c r="F8" s="31"/>
      <c r="G8" s="31"/>
    </row>
    <row r="9" spans="2:7" x14ac:dyDescent="0.25">
      <c r="B9" s="31" t="s">
        <v>162</v>
      </c>
      <c r="C9" s="31"/>
      <c r="D9" s="31"/>
      <c r="E9" s="31"/>
      <c r="F9" s="31">
        <v>104.32</v>
      </c>
      <c r="G9" s="31"/>
    </row>
    <row r="10" spans="2:7" x14ac:dyDescent="0.25">
      <c r="B10" s="31" t="s">
        <v>161</v>
      </c>
      <c r="C10" s="31"/>
      <c r="D10" s="31"/>
      <c r="E10" s="31"/>
      <c r="F10" s="31">
        <v>55.62</v>
      </c>
      <c r="G10" s="31"/>
    </row>
    <row r="12" spans="2:7" x14ac:dyDescent="0.25">
      <c r="B12" s="31" t="s">
        <v>164</v>
      </c>
      <c r="C12" s="31"/>
      <c r="D12" s="31"/>
      <c r="E12" s="31"/>
      <c r="F12" s="31"/>
      <c r="G12" s="31"/>
    </row>
    <row r="13" spans="2:7" x14ac:dyDescent="0.25">
      <c r="B13" s="31" t="s">
        <v>160</v>
      </c>
      <c r="C13" s="31"/>
      <c r="D13" s="31"/>
      <c r="E13" s="31"/>
      <c r="F13" s="31">
        <v>0.32</v>
      </c>
      <c r="G13" s="31"/>
    </row>
    <row r="14" spans="2:7" x14ac:dyDescent="0.25">
      <c r="B14" s="31" t="s">
        <v>161</v>
      </c>
      <c r="C14" s="31"/>
      <c r="D14" s="31"/>
      <c r="E14" s="31"/>
      <c r="F14" s="31">
        <v>0.17</v>
      </c>
      <c r="G14" s="31"/>
    </row>
    <row r="16" spans="2:7" x14ac:dyDescent="0.25">
      <c r="B16" s="31" t="s">
        <v>169</v>
      </c>
      <c r="C16" s="31"/>
      <c r="D16" s="31"/>
      <c r="E16" s="31"/>
      <c r="F16" s="31"/>
      <c r="G16" s="31"/>
    </row>
    <row r="17" spans="2:7" x14ac:dyDescent="0.25">
      <c r="B17" s="31" t="s">
        <v>165</v>
      </c>
      <c r="C17" s="31"/>
      <c r="D17" s="31"/>
      <c r="E17" s="31"/>
      <c r="F17" s="31">
        <v>3134</v>
      </c>
      <c r="G17" s="31"/>
    </row>
    <row r="18" spans="2:7" x14ac:dyDescent="0.25">
      <c r="B18" s="31" t="s">
        <v>166</v>
      </c>
      <c r="C18" s="31"/>
      <c r="D18" s="31"/>
      <c r="E18" s="31"/>
      <c r="F18" s="31">
        <v>2300</v>
      </c>
      <c r="G18" s="31"/>
    </row>
    <row r="19" spans="2:7" x14ac:dyDescent="0.25">
      <c r="B19" s="31" t="s">
        <v>167</v>
      </c>
      <c r="C19" s="31"/>
      <c r="D19" s="31"/>
      <c r="E19" s="31"/>
      <c r="F19" s="31">
        <v>2566</v>
      </c>
      <c r="G19" s="31"/>
    </row>
    <row r="20" spans="2:7" x14ac:dyDescent="0.25">
      <c r="B20" s="31" t="s">
        <v>168</v>
      </c>
      <c r="C20" s="31"/>
      <c r="D20" s="31"/>
      <c r="E20" s="31"/>
      <c r="F20" s="31">
        <v>1600</v>
      </c>
      <c r="G20" s="31"/>
    </row>
    <row r="21" spans="2:7" x14ac:dyDescent="0.25">
      <c r="B21" s="31" t="s">
        <v>170</v>
      </c>
      <c r="C21" s="31"/>
      <c r="D21" s="31"/>
      <c r="E21" s="31"/>
      <c r="F21" s="31">
        <f>SUM(F17:G20)</f>
        <v>9600</v>
      </c>
      <c r="G21" s="31"/>
    </row>
  </sheetData>
  <mergeCells count="30">
    <mergeCell ref="B21:E21"/>
    <mergeCell ref="F21:G21"/>
    <mergeCell ref="B18:E18"/>
    <mergeCell ref="F18:G18"/>
    <mergeCell ref="B19:E19"/>
    <mergeCell ref="F19:G19"/>
    <mergeCell ref="B20:E20"/>
    <mergeCell ref="F20:G20"/>
    <mergeCell ref="B13:E13"/>
    <mergeCell ref="F13:G13"/>
    <mergeCell ref="B14:E14"/>
    <mergeCell ref="F14:G14"/>
    <mergeCell ref="B16:G16"/>
    <mergeCell ref="B17:E17"/>
    <mergeCell ref="F17:G17"/>
    <mergeCell ref="B8:G8"/>
    <mergeCell ref="B9:E9"/>
    <mergeCell ref="B10:E10"/>
    <mergeCell ref="F9:G9"/>
    <mergeCell ref="F10:G10"/>
    <mergeCell ref="B12:G12"/>
    <mergeCell ref="B2:G2"/>
    <mergeCell ref="B3:E3"/>
    <mergeCell ref="B4:E4"/>
    <mergeCell ref="B5:E5"/>
    <mergeCell ref="B6:E6"/>
    <mergeCell ref="F3:G3"/>
    <mergeCell ref="F4:G4"/>
    <mergeCell ref="F5:G5"/>
    <mergeCell ref="F6:G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Vehicle </vt:lpstr>
      <vt:lpstr>BSFC </vt:lpstr>
      <vt:lpstr>Track </vt:lpstr>
      <vt:lpstr>Forces</vt:lpstr>
      <vt:lpstr>Duty Cycle </vt:lpstr>
      <vt:lpstr>Graphs </vt:lpstr>
      <vt:lpstr>Other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</dc:creator>
  <cp:lastModifiedBy>Jon</cp:lastModifiedBy>
  <dcterms:created xsi:type="dcterms:W3CDTF">2022-04-02T18:51:39Z</dcterms:created>
  <dcterms:modified xsi:type="dcterms:W3CDTF">2022-04-04T01:36:16Z</dcterms:modified>
</cp:coreProperties>
</file>