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alance Sheet" sheetId="1" state="visible" r:id="rId3"/>
    <sheet name="Ratios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<sst xmlns="http://schemas.openxmlformats.org/spreadsheetml/2006/main" count="90" uniqueCount="78">
  <si>
    <t xml:space="preserve">Indian Oil Corporation Limited – Consolidated Balance Sheet</t>
  </si>
  <si>
    <t xml:space="preserve">₹ crore | As at 31 March | FY2021-22 to FY2025-26 (latest restated figures)</t>
  </si>
  <si>
    <t xml:space="preserve">Particulars</t>
  </si>
  <si>
    <t xml:space="preserve">31-Mar-2022</t>
  </si>
  <si>
    <t xml:space="preserve">31-Mar-2023</t>
  </si>
  <si>
    <t xml:space="preserve">31-Mar-2024</t>
  </si>
  <si>
    <t xml:space="preserve">31-Mar-2025</t>
  </si>
  <si>
    <t xml:space="preserve">31-Mar-2026</t>
  </si>
  <si>
    <t xml:space="preserve">Note</t>
  </si>
  <si>
    <t xml:space="preserve">ASSETS</t>
  </si>
  <si>
    <t xml:space="preserve">Non-current Assets</t>
  </si>
  <si>
    <t xml:space="preserve">Property, Plant and Equipment</t>
  </si>
  <si>
    <t xml:space="preserve">Capital Work-in-Progress</t>
  </si>
  <si>
    <t xml:space="preserve">Goodwill on Consolidation</t>
  </si>
  <si>
    <t xml:space="preserve">Intangible Assets</t>
  </si>
  <si>
    <t xml:space="preserve">Intangible Assets Under Development</t>
  </si>
  <si>
    <t xml:space="preserve">Investments in Joint Ventures &amp; Associates (equity method)</t>
  </si>
  <si>
    <t xml:space="preserve">Financial Assets – Investments</t>
  </si>
  <si>
    <t xml:space="preserve">Financial Assets – Loans</t>
  </si>
  <si>
    <t xml:space="preserve">Financial Assets – Other</t>
  </si>
  <si>
    <t xml:space="preserve">Income Tax Assets (Net)</t>
  </si>
  <si>
    <t xml:space="preserve">Other Non-Current Assets</t>
  </si>
  <si>
    <t xml:space="preserve">Total Non-current Assets</t>
  </si>
  <si>
    <t xml:space="preserve">Current Assets</t>
  </si>
  <si>
    <t xml:space="preserve">Inventories</t>
  </si>
  <si>
    <t xml:space="preserve">Financial Assets – Trade Receivables</t>
  </si>
  <si>
    <t xml:space="preserve">Financial Assets – Cash &amp; Cash Equivalents</t>
  </si>
  <si>
    <t xml:space="preserve">Financial Assets – Bank Balances (other)</t>
  </si>
  <si>
    <t xml:space="preserve">Current Tax Assets</t>
  </si>
  <si>
    <t xml:space="preserve">Other Current Assets</t>
  </si>
  <si>
    <t xml:space="preserve">Total Current Assets</t>
  </si>
  <si>
    <t xml:space="preserve">Assets Held for Sale</t>
  </si>
  <si>
    <t xml:space="preserve">TOTAL ASSETS</t>
  </si>
  <si>
    <t xml:space="preserve">EQUITY AND LIABILITIES</t>
  </si>
  <si>
    <t xml:space="preserve">Equity</t>
  </si>
  <si>
    <t xml:space="preserve">Equity Share Capital</t>
  </si>
  <si>
    <t xml:space="preserve">Other Equity</t>
  </si>
  <si>
    <t xml:space="preserve">Non-Controlling Interest</t>
  </si>
  <si>
    <t xml:space="preserve">Total Equity</t>
  </si>
  <si>
    <t xml:space="preserve">Non-current Liabilities</t>
  </si>
  <si>
    <t xml:space="preserve">Financial Liabilities – Borrowings</t>
  </si>
  <si>
    <t xml:space="preserve">Financial Liabilities – Lease Liabilities</t>
  </si>
  <si>
    <t xml:space="preserve">Financial Liabilities – Other</t>
  </si>
  <si>
    <t xml:space="preserve">Provisions</t>
  </si>
  <si>
    <t xml:space="preserve">Deferred Tax Liabilities (Net)</t>
  </si>
  <si>
    <t xml:space="preserve">Other Non-Current Liabilities</t>
  </si>
  <si>
    <t xml:space="preserve">Total Non-current Liabilities</t>
  </si>
  <si>
    <t xml:space="preserve">Current Liabilities</t>
  </si>
  <si>
    <t xml:space="preserve">Trade Payables – Micro &amp; Small Enterprises</t>
  </si>
  <si>
    <t xml:space="preserve">Trade Payables – Others</t>
  </si>
  <si>
    <t xml:space="preserve">Other Current Liabilities</t>
  </si>
  <si>
    <t xml:space="preserve">Current Tax Liabilities</t>
  </si>
  <si>
    <t xml:space="preserve">Total Current Liabilities</t>
  </si>
  <si>
    <t xml:space="preserve">Liabilities directly associated with Assets Held for Sale</t>
  </si>
  <si>
    <t xml:space="preserve">TOTAL EQUITY AND LIABILITIES</t>
  </si>
  <si>
    <t xml:space="preserve">CHECKS (should all be zero)</t>
  </si>
  <si>
    <t xml:space="preserve">Total Assets vs reported</t>
  </si>
  <si>
    <t xml:space="preserve">Total Non-current Assets vs reported</t>
  </si>
  <si>
    <t xml:space="preserve">Total Current Assets vs reported</t>
  </si>
  <si>
    <t xml:space="preserve">Total Equity vs reported</t>
  </si>
  <si>
    <t xml:space="preserve">Total Non-current Liabilities vs reported</t>
  </si>
  <si>
    <t xml:space="preserve">Total Current Liabilities vs reported</t>
  </si>
  <si>
    <t xml:space="preserve">Assets less Equity &amp; Liabilities</t>
  </si>
  <si>
    <t xml:space="preserve">Blue = figures keyed in from the annual reports; black = formulas. Check rows compare computed totals with totals printed in the reports.</t>
  </si>
  <si>
    <t xml:space="preserve">Each year uses the latest restated figure: FY22 from the FY23 report, FY23 from FY24, FY24 from FY25, FY25 and FY26 from the FY26 report.</t>
  </si>
  <si>
    <t xml:space="preserve">Current Tax Assets were shown as a separate line only from the FY24 report onward; for FY22 the amount is included in Other Current Assets (blank here).</t>
  </si>
  <si>
    <t xml:space="preserve">Key balance sheet ratios (calculated from 'Balance Sheet' sheet)</t>
  </si>
  <si>
    <t xml:space="preserve">Metric</t>
  </si>
  <si>
    <t xml:space="preserve">Total borrowings (₹ crore)</t>
  </si>
  <si>
    <t xml:space="preserve">Total borrowings + lease liabilities (₹ crore)</t>
  </si>
  <si>
    <t xml:space="preserve">Total equity (₹ crore)</t>
  </si>
  <si>
    <t xml:space="preserve">Net worth attributable to parent (₹ crore)</t>
  </si>
  <si>
    <t xml:space="preserve">Debt-to-equity (borrowings / total equity)</t>
  </si>
  <si>
    <t xml:space="preserve">Current ratio (current assets / current liabilities)</t>
  </si>
  <si>
    <t xml:space="preserve">Equity ratio (total equity / total assets)</t>
  </si>
  <si>
    <t xml:space="preserve">Inventories as % of total assets</t>
  </si>
  <si>
    <t xml:space="preserve">Capital WIP as % of total assets</t>
  </si>
  <si>
    <t xml:space="preserve">Total assets growth (YoY)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</si>
</sst>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;\(#,##0.00\);\-"/>
    <numFmt numFmtId="166" formatCode="0.00\x"/>
    <numFmt numFmtId="167" formatCode="0.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F2F2F2"/>
      </patternFill>
    </fill>
    <fill>
      <patternFill patternType="solid">
        <fgColor rgb="FFF2F2F2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>
        <color rgb="FF808080"/>
      </top>
      <bottom/>
      <diagonal/>
    </border>
    <border diagonalUp="false" diagonalDown="false">
      <left/>
      <right/>
      <top style="thin">
        <color rgb="FF808080"/>
      </top>
      <bottom style="double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1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7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6" min="2" style="0" width="16"/>
    <col collapsed="false" customWidth="true" hidden="true" outlineLevel="0" max="7" min="7" style="0" width="13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3" t="s">
        <v>8</v>
      </c>
    </row>
    <row r="5" customFormat="false" ht="15" hidden="false" customHeight="false" outlineLevel="0" collapsed="false">
      <c r="A5" s="5" t="s">
        <v>9</v>
      </c>
      <c r="B5" s="6"/>
      <c r="C5" s="6"/>
      <c r="D5" s="6"/>
      <c r="E5" s="6"/>
      <c r="F5" s="6"/>
      <c r="G5" s="6"/>
    </row>
    <row r="6" customFormat="false" ht="15" hidden="false" customHeight="false" outlineLevel="0" collapsed="false">
      <c r="A6" s="5" t="s">
        <v>10</v>
      </c>
      <c r="B6" s="6"/>
      <c r="C6" s="6"/>
      <c r="D6" s="6"/>
      <c r="E6" s="6"/>
      <c r="F6" s="6"/>
      <c r="G6" s="6"/>
    </row>
    <row r="7" customFormat="false" ht="15" hidden="false" customHeight="false" outlineLevel="0" collapsed="false">
      <c r="A7" s="7" t="s">
        <v>11</v>
      </c>
      <c r="B7" s="8" t="n">
        <v>157194.98</v>
      </c>
      <c r="C7" s="8" t="n">
        <v>176532.05</v>
      </c>
      <c r="D7" s="8" t="n">
        <v>192159.52</v>
      </c>
      <c r="E7" s="8" t="n">
        <v>197162.03</v>
      </c>
      <c r="F7" s="8" t="n">
        <v>204472.87</v>
      </c>
    </row>
    <row r="8" customFormat="false" ht="15" hidden="false" customHeight="false" outlineLevel="0" collapsed="false">
      <c r="A8" s="7" t="s">
        <v>12</v>
      </c>
      <c r="B8" s="8" t="n">
        <v>44049.82</v>
      </c>
      <c r="C8" s="8" t="n">
        <v>47550.08</v>
      </c>
      <c r="D8" s="8" t="n">
        <v>57316.86</v>
      </c>
      <c r="E8" s="8" t="n">
        <v>73740.41</v>
      </c>
      <c r="F8" s="8" t="n">
        <v>82896.79</v>
      </c>
    </row>
    <row r="9" customFormat="false" ht="15" hidden="false" customHeight="false" outlineLevel="0" collapsed="false">
      <c r="A9" s="7" t="s">
        <v>13</v>
      </c>
      <c r="B9" s="8" t="n">
        <v>1.04</v>
      </c>
      <c r="C9" s="8" t="n">
        <v>1.04</v>
      </c>
      <c r="D9" s="8" t="n">
        <v>1.04</v>
      </c>
      <c r="E9" s="8" t="n">
        <v>1.04</v>
      </c>
      <c r="F9" s="8" t="n">
        <v>1.04</v>
      </c>
    </row>
    <row r="10" customFormat="false" ht="15" hidden="false" customHeight="false" outlineLevel="0" collapsed="false">
      <c r="A10" s="7" t="s">
        <v>14</v>
      </c>
      <c r="B10" s="8" t="n">
        <v>3318.33</v>
      </c>
      <c r="C10" s="8" t="n">
        <v>3514.48</v>
      </c>
      <c r="D10" s="8" t="n">
        <v>3837.23</v>
      </c>
      <c r="E10" s="8" t="n">
        <v>3979.1</v>
      </c>
      <c r="F10" s="8" t="n">
        <v>4095.37</v>
      </c>
    </row>
    <row r="11" customFormat="false" ht="15" hidden="false" customHeight="false" outlineLevel="0" collapsed="false">
      <c r="A11" s="7" t="s">
        <v>15</v>
      </c>
      <c r="B11" s="8" t="n">
        <v>3419.45</v>
      </c>
      <c r="C11" s="8" t="n">
        <v>3583.39</v>
      </c>
      <c r="D11" s="8" t="n">
        <v>3715.56</v>
      </c>
      <c r="E11" s="8" t="n">
        <v>4180.87</v>
      </c>
      <c r="F11" s="8" t="n">
        <v>3152.66</v>
      </c>
    </row>
    <row r="12" customFormat="false" ht="15" hidden="false" customHeight="false" outlineLevel="0" collapsed="false">
      <c r="A12" s="7" t="s">
        <v>16</v>
      </c>
      <c r="B12" s="8" t="n">
        <v>16335</v>
      </c>
      <c r="C12" s="8" t="n">
        <v>18038.31</v>
      </c>
      <c r="D12" s="8" t="n">
        <v>18097</v>
      </c>
      <c r="E12" s="8" t="n">
        <v>21392.04</v>
      </c>
      <c r="F12" s="8" t="n">
        <v>25009.08</v>
      </c>
    </row>
    <row r="13" customFormat="false" ht="15" hidden="false" customHeight="false" outlineLevel="0" collapsed="false">
      <c r="A13" s="7" t="s">
        <v>17</v>
      </c>
      <c r="B13" s="8" t="n">
        <v>28003.76</v>
      </c>
      <c r="C13" s="8" t="n">
        <v>23715.61</v>
      </c>
      <c r="D13" s="8" t="n">
        <v>37065.04</v>
      </c>
      <c r="E13" s="8" t="n">
        <v>35457.55</v>
      </c>
      <c r="F13" s="8" t="n">
        <v>41151.91</v>
      </c>
    </row>
    <row r="14" customFormat="false" ht="15" hidden="false" customHeight="false" outlineLevel="0" collapsed="false">
      <c r="A14" s="7" t="s">
        <v>18</v>
      </c>
      <c r="B14" s="8" t="n">
        <v>2292.96</v>
      </c>
      <c r="C14" s="8" t="n">
        <v>2270.11</v>
      </c>
      <c r="D14" s="8" t="n">
        <v>2586.98</v>
      </c>
      <c r="E14" s="8" t="n">
        <v>3223.44</v>
      </c>
      <c r="F14" s="8" t="n">
        <v>3357.31</v>
      </c>
    </row>
    <row r="15" customFormat="false" ht="15" hidden="false" customHeight="false" outlineLevel="0" collapsed="false">
      <c r="A15" s="7" t="s">
        <v>19</v>
      </c>
      <c r="B15" s="8" t="n">
        <v>2639.28</v>
      </c>
      <c r="C15" s="8" t="n">
        <v>1748.36</v>
      </c>
      <c r="D15" s="8" t="n">
        <v>2360.8</v>
      </c>
      <c r="E15" s="8" t="n">
        <v>2336.86</v>
      </c>
      <c r="F15" s="8" t="n">
        <v>2572.06</v>
      </c>
    </row>
    <row r="16" customFormat="false" ht="15" hidden="false" customHeight="false" outlineLevel="0" collapsed="false">
      <c r="A16" s="7" t="s">
        <v>20</v>
      </c>
      <c r="B16" s="8" t="n">
        <v>2819.51</v>
      </c>
      <c r="C16" s="8" t="n">
        <v>1857.22</v>
      </c>
      <c r="D16" s="8" t="n">
        <v>1827.98</v>
      </c>
      <c r="E16" s="8" t="n">
        <v>1589.73</v>
      </c>
      <c r="F16" s="8" t="n">
        <v>1364.02</v>
      </c>
    </row>
    <row r="17" customFormat="false" ht="15" hidden="false" customHeight="false" outlineLevel="0" collapsed="false">
      <c r="A17" s="7" t="s">
        <v>21</v>
      </c>
      <c r="B17" s="8" t="n">
        <v>3690.03</v>
      </c>
      <c r="C17" s="8" t="n">
        <v>4070.95</v>
      </c>
      <c r="D17" s="8" t="n">
        <v>4951.37</v>
      </c>
      <c r="E17" s="8" t="n">
        <v>6160.83</v>
      </c>
      <c r="F17" s="8" t="n">
        <v>4071.08</v>
      </c>
    </row>
    <row r="18" customFormat="false" ht="15" hidden="false" customHeight="false" outlineLevel="0" collapsed="false">
      <c r="A18" s="9" t="s">
        <v>22</v>
      </c>
      <c r="B18" s="10" t="n">
        <f aca="false">SUM(B7:B17)</f>
        <v>263764.16</v>
      </c>
      <c r="C18" s="10" t="n">
        <f aca="false">SUM(C7:C17)</f>
        <v>282881.6</v>
      </c>
      <c r="D18" s="10" t="n">
        <f aca="false">SUM(D7:D17)</f>
        <v>323919.38</v>
      </c>
      <c r="E18" s="10" t="n">
        <f aca="false">SUM(E7:E17)</f>
        <v>349223.9</v>
      </c>
      <c r="F18" s="10" t="n">
        <f aca="false">SUM(F7:F17)</f>
        <v>372144.19</v>
      </c>
    </row>
    <row r="19" customFormat="false" ht="15" hidden="false" customHeight="false" outlineLevel="0" collapsed="false">
      <c r="A19" s="5" t="s">
        <v>23</v>
      </c>
      <c r="B19" s="6"/>
      <c r="C19" s="6"/>
      <c r="D19" s="6"/>
      <c r="E19" s="6"/>
      <c r="F19" s="6"/>
      <c r="G19" s="6"/>
    </row>
    <row r="20" customFormat="false" ht="15" hidden="false" customHeight="false" outlineLevel="0" collapsed="false">
      <c r="A20" s="7" t="s">
        <v>24</v>
      </c>
      <c r="B20" s="8" t="n">
        <v>111736.51</v>
      </c>
      <c r="C20" s="8" t="n">
        <v>121107.58</v>
      </c>
      <c r="D20" s="8" t="n">
        <v>121375.83</v>
      </c>
      <c r="E20" s="8" t="n">
        <v>113878.49</v>
      </c>
      <c r="F20" s="8" t="n">
        <v>117132.72</v>
      </c>
    </row>
    <row r="21" customFormat="false" ht="15" hidden="false" customHeight="false" outlineLevel="0" collapsed="false">
      <c r="A21" s="7" t="s">
        <v>17</v>
      </c>
      <c r="B21" s="8" t="n">
        <v>8013.2</v>
      </c>
      <c r="C21" s="8" t="n">
        <v>10436.54</v>
      </c>
      <c r="D21" s="8" t="n">
        <v>10379.86</v>
      </c>
      <c r="E21" s="8" t="n">
        <v>10368.91</v>
      </c>
      <c r="F21" s="8" t="n">
        <v>7136.54</v>
      </c>
    </row>
    <row r="22" customFormat="false" ht="15" hidden="false" customHeight="false" outlineLevel="0" collapsed="false">
      <c r="A22" s="7" t="s">
        <v>25</v>
      </c>
      <c r="B22" s="8" t="n">
        <v>18700.42</v>
      </c>
      <c r="C22" s="8" t="n">
        <v>16398.69</v>
      </c>
      <c r="D22" s="8" t="n">
        <v>13831.45</v>
      </c>
      <c r="E22" s="8" t="n">
        <v>18433.57</v>
      </c>
      <c r="F22" s="8" t="n">
        <v>14634.83</v>
      </c>
    </row>
    <row r="23" customFormat="false" ht="15" hidden="false" customHeight="false" outlineLevel="0" collapsed="false">
      <c r="A23" s="7" t="s">
        <v>26</v>
      </c>
      <c r="B23" s="8" t="n">
        <v>1176.59</v>
      </c>
      <c r="C23" s="8" t="n">
        <v>996.35</v>
      </c>
      <c r="D23" s="8" t="n">
        <v>1246.59</v>
      </c>
      <c r="E23" s="8" t="n">
        <v>636.35</v>
      </c>
      <c r="F23" s="8" t="n">
        <v>1833.08</v>
      </c>
    </row>
    <row r="24" customFormat="false" ht="15" hidden="false" customHeight="false" outlineLevel="0" collapsed="false">
      <c r="A24" s="7" t="s">
        <v>27</v>
      </c>
      <c r="B24" s="8" t="n">
        <v>643.55</v>
      </c>
      <c r="C24" s="8" t="n">
        <v>1100.29</v>
      </c>
      <c r="D24" s="8" t="n">
        <v>1910.46</v>
      </c>
      <c r="E24" s="8" t="n">
        <v>2009.13</v>
      </c>
      <c r="F24" s="8" t="n">
        <v>2581.58</v>
      </c>
    </row>
    <row r="25" customFormat="false" ht="15" hidden="false" customHeight="false" outlineLevel="0" collapsed="false">
      <c r="A25" s="7" t="s">
        <v>18</v>
      </c>
      <c r="B25" s="8" t="n">
        <v>450.92</v>
      </c>
      <c r="C25" s="8" t="n">
        <v>394.73</v>
      </c>
      <c r="D25" s="8" t="n">
        <v>492.94</v>
      </c>
      <c r="E25" s="8" t="n">
        <v>628.76</v>
      </c>
      <c r="F25" s="8" t="n">
        <v>698.58</v>
      </c>
    </row>
    <row r="26" customFormat="false" ht="15" hidden="false" customHeight="false" outlineLevel="0" collapsed="false">
      <c r="A26" s="7" t="s">
        <v>19</v>
      </c>
      <c r="B26" s="8" t="n">
        <v>1537.72</v>
      </c>
      <c r="C26" s="8" t="n">
        <v>2361.13</v>
      </c>
      <c r="D26" s="8" t="n">
        <v>2760.99</v>
      </c>
      <c r="E26" s="8" t="n">
        <v>2918.92</v>
      </c>
      <c r="F26" s="8" t="n">
        <v>4658.46</v>
      </c>
    </row>
    <row r="27" customFormat="false" ht="15" hidden="false" customHeight="false" outlineLevel="0" collapsed="false">
      <c r="A27" s="7" t="s">
        <v>28</v>
      </c>
      <c r="B27" s="8" t="n">
        <v>0</v>
      </c>
      <c r="C27" s="8" t="n">
        <v>11.15</v>
      </c>
      <c r="D27" s="8" t="n">
        <v>0.82</v>
      </c>
      <c r="E27" s="8" t="n">
        <v>725.05</v>
      </c>
      <c r="F27" s="8" t="n">
        <v>4.69</v>
      </c>
    </row>
    <row r="28" customFormat="false" ht="15" hidden="false" customHeight="false" outlineLevel="0" collapsed="false">
      <c r="A28" s="7" t="s">
        <v>29</v>
      </c>
      <c r="B28" s="8" t="n">
        <v>3813.53</v>
      </c>
      <c r="C28" s="8" t="n">
        <v>5046.99</v>
      </c>
      <c r="D28" s="8" t="n">
        <v>5212.25</v>
      </c>
      <c r="E28" s="8" t="n">
        <v>6864.73</v>
      </c>
      <c r="F28" s="8" t="n">
        <v>6494.76</v>
      </c>
    </row>
    <row r="29" customFormat="false" ht="15" hidden="false" customHeight="false" outlineLevel="0" collapsed="false">
      <c r="A29" s="9" t="s">
        <v>30</v>
      </c>
      <c r="B29" s="10" t="n">
        <f aca="false">SUM(B20:B28)</f>
        <v>146072.44</v>
      </c>
      <c r="C29" s="10" t="n">
        <f aca="false">SUM(C20:C28)</f>
        <v>157853.45</v>
      </c>
      <c r="D29" s="10" t="n">
        <f aca="false">SUM(D20:D28)</f>
        <v>157211.19</v>
      </c>
      <c r="E29" s="10" t="n">
        <f aca="false">SUM(E20:E28)</f>
        <v>156463.91</v>
      </c>
      <c r="F29" s="10" t="n">
        <f aca="false">SUM(F20:F28)</f>
        <v>155175.24</v>
      </c>
    </row>
    <row r="30" customFormat="false" ht="15" hidden="false" customHeight="false" outlineLevel="0" collapsed="false">
      <c r="A30" s="11" t="s">
        <v>31</v>
      </c>
      <c r="B30" s="8" t="n">
        <v>788.25</v>
      </c>
      <c r="C30" s="8" t="n">
        <v>983.43</v>
      </c>
      <c r="D30" s="8" t="n">
        <v>1231.43</v>
      </c>
      <c r="E30" s="8" t="n">
        <v>1511.85</v>
      </c>
      <c r="F30" s="8" t="n">
        <v>1635.53</v>
      </c>
    </row>
    <row r="31" customFormat="false" ht="15" hidden="false" customHeight="false" outlineLevel="0" collapsed="false">
      <c r="A31" s="9" t="s">
        <v>32</v>
      </c>
      <c r="B31" s="12" t="n">
        <f aca="false">B18+B29+B30</f>
        <v>410624.85</v>
      </c>
      <c r="C31" s="12" t="n">
        <f aca="false">C18+C29+C30</f>
        <v>441718.48</v>
      </c>
      <c r="D31" s="12" t="n">
        <f aca="false">D18+D29+D30</f>
        <v>482362</v>
      </c>
      <c r="E31" s="12" t="n">
        <f aca="false">E18+E29+E30</f>
        <v>507199.66</v>
      </c>
      <c r="F31" s="12" t="n">
        <f aca="false">F18+F29+F30</f>
        <v>528954.96</v>
      </c>
    </row>
    <row r="33" customFormat="false" ht="15" hidden="false" customHeight="false" outlineLevel="0" collapsed="false">
      <c r="A33" s="5" t="s">
        <v>33</v>
      </c>
      <c r="B33" s="6"/>
      <c r="C33" s="6"/>
      <c r="D33" s="6"/>
      <c r="E33" s="6"/>
      <c r="F33" s="6"/>
      <c r="G33" s="6"/>
    </row>
    <row r="34" customFormat="false" ht="15" hidden="false" customHeight="false" outlineLevel="0" collapsed="false">
      <c r="A34" s="5" t="s">
        <v>34</v>
      </c>
      <c r="B34" s="6"/>
      <c r="C34" s="6"/>
      <c r="D34" s="6"/>
      <c r="E34" s="6"/>
      <c r="F34" s="6"/>
      <c r="G34" s="6"/>
    </row>
    <row r="35" customFormat="false" ht="15" hidden="false" customHeight="false" outlineLevel="0" collapsed="false">
      <c r="A35" s="7" t="s">
        <v>35</v>
      </c>
      <c r="B35" s="8" t="n">
        <v>9181.04</v>
      </c>
      <c r="C35" s="8" t="n">
        <v>13771.56</v>
      </c>
      <c r="D35" s="8" t="n">
        <v>13771.56</v>
      </c>
      <c r="E35" s="8" t="n">
        <v>13771.56</v>
      </c>
      <c r="F35" s="8" t="n">
        <v>13771.56</v>
      </c>
    </row>
    <row r="36" customFormat="false" ht="15" hidden="false" customHeight="false" outlineLevel="0" collapsed="false">
      <c r="A36" s="7" t="s">
        <v>36</v>
      </c>
      <c r="B36" s="8" t="n">
        <v>124354.14</v>
      </c>
      <c r="C36" s="8" t="n">
        <v>125948.68</v>
      </c>
      <c r="D36" s="8" t="n">
        <v>169644.71</v>
      </c>
      <c r="E36" s="8" t="n">
        <v>172715.76</v>
      </c>
      <c r="F36" s="8" t="n">
        <v>205745.99</v>
      </c>
    </row>
    <row r="37" customFormat="false" ht="15" hidden="false" customHeight="false" outlineLevel="0" collapsed="false">
      <c r="A37" s="7" t="s">
        <v>37</v>
      </c>
      <c r="B37" s="8" t="n">
        <v>1591.47</v>
      </c>
      <c r="C37" s="8" t="n">
        <v>3494.1</v>
      </c>
      <c r="D37" s="8" t="n">
        <v>4746.71</v>
      </c>
      <c r="E37" s="8" t="n">
        <v>4537.34</v>
      </c>
      <c r="F37" s="8" t="n">
        <v>6029.56</v>
      </c>
    </row>
    <row r="38" customFormat="false" ht="15" hidden="false" customHeight="false" outlineLevel="0" collapsed="false">
      <c r="A38" s="9" t="s">
        <v>38</v>
      </c>
      <c r="B38" s="10" t="n">
        <f aca="false">SUM(B35:B37)</f>
        <v>135126.65</v>
      </c>
      <c r="C38" s="10" t="n">
        <f aca="false">SUM(C35:C37)</f>
        <v>143214.34</v>
      </c>
      <c r="D38" s="10" t="n">
        <f aca="false">SUM(D35:D37)</f>
        <v>188162.98</v>
      </c>
      <c r="E38" s="10" t="n">
        <f aca="false">SUM(E35:E37)</f>
        <v>191024.66</v>
      </c>
      <c r="F38" s="10" t="n">
        <f aca="false">SUM(F35:F37)</f>
        <v>225547.11</v>
      </c>
    </row>
    <row r="39" customFormat="false" ht="15" hidden="false" customHeight="false" outlineLevel="0" collapsed="false">
      <c r="A39" s="5" t="s">
        <v>39</v>
      </c>
      <c r="B39" s="6"/>
      <c r="C39" s="6"/>
      <c r="D39" s="6"/>
      <c r="E39" s="6"/>
      <c r="F39" s="6"/>
      <c r="G39" s="6"/>
    </row>
    <row r="40" customFormat="false" ht="15" hidden="false" customHeight="false" outlineLevel="0" collapsed="false">
      <c r="A40" s="7" t="s">
        <v>40</v>
      </c>
      <c r="B40" s="8" t="n">
        <v>55944.54</v>
      </c>
      <c r="C40" s="8" t="n">
        <v>63312.94</v>
      </c>
      <c r="D40" s="8" t="n">
        <v>46792.9</v>
      </c>
      <c r="E40" s="8" t="n">
        <v>51755.75</v>
      </c>
      <c r="F40" s="8" t="n">
        <v>55308.99</v>
      </c>
    </row>
    <row r="41" customFormat="false" ht="15" hidden="false" customHeight="false" outlineLevel="0" collapsed="false">
      <c r="A41" s="7" t="s">
        <v>41</v>
      </c>
      <c r="B41" s="8" t="n">
        <v>6363.62</v>
      </c>
      <c r="C41" s="8" t="n">
        <v>6476.91</v>
      </c>
      <c r="D41" s="8" t="n">
        <v>6331.99</v>
      </c>
      <c r="E41" s="8" t="n">
        <v>6578.65</v>
      </c>
      <c r="F41" s="8" t="n">
        <v>8343.11</v>
      </c>
    </row>
    <row r="42" customFormat="false" ht="15" hidden="false" customHeight="false" outlineLevel="0" collapsed="false">
      <c r="A42" s="7" t="s">
        <v>42</v>
      </c>
      <c r="B42" s="8" t="n">
        <v>205.11</v>
      </c>
      <c r="C42" s="8" t="n">
        <v>160.79</v>
      </c>
      <c r="D42" s="8" t="n">
        <v>233.11</v>
      </c>
      <c r="E42" s="8" t="n">
        <v>155.57</v>
      </c>
      <c r="F42" s="8" t="n">
        <v>239.01</v>
      </c>
    </row>
    <row r="43" customFormat="false" ht="15" hidden="false" customHeight="false" outlineLevel="0" collapsed="false">
      <c r="A43" s="7" t="s">
        <v>43</v>
      </c>
      <c r="B43" s="8" t="n">
        <v>1585.35</v>
      </c>
      <c r="C43" s="8" t="n">
        <v>1396.44</v>
      </c>
      <c r="D43" s="8" t="n">
        <v>1414.82</v>
      </c>
      <c r="E43" s="8" t="n">
        <v>1406.63</v>
      </c>
      <c r="F43" s="8" t="n">
        <v>1441.64</v>
      </c>
    </row>
    <row r="44" customFormat="false" ht="15" hidden="false" customHeight="false" outlineLevel="0" collapsed="false">
      <c r="A44" s="7" t="s">
        <v>44</v>
      </c>
      <c r="B44" s="8" t="n">
        <v>15354.37</v>
      </c>
      <c r="C44" s="8" t="n">
        <v>16800.42</v>
      </c>
      <c r="D44" s="8" t="n">
        <v>18960.7</v>
      </c>
      <c r="E44" s="8" t="n">
        <v>20664.96</v>
      </c>
      <c r="F44" s="8" t="n">
        <v>21615.85</v>
      </c>
    </row>
    <row r="45" customFormat="false" ht="15" hidden="false" customHeight="false" outlineLevel="0" collapsed="false">
      <c r="A45" s="7" t="s">
        <v>45</v>
      </c>
      <c r="B45" s="8" t="n">
        <v>3180.59</v>
      </c>
      <c r="C45" s="8" t="n">
        <v>3707.9</v>
      </c>
      <c r="D45" s="8" t="n">
        <v>4061.57</v>
      </c>
      <c r="E45" s="8" t="n">
        <v>4622.56</v>
      </c>
      <c r="F45" s="8" t="n">
        <v>5253.45</v>
      </c>
    </row>
    <row r="46" customFormat="false" ht="15" hidden="false" customHeight="false" outlineLevel="0" collapsed="false">
      <c r="A46" s="9" t="s">
        <v>46</v>
      </c>
      <c r="B46" s="10" t="n">
        <f aca="false">SUM(B40:B45)</f>
        <v>82633.58</v>
      </c>
      <c r="C46" s="10" t="n">
        <f aca="false">SUM(C40:C45)</f>
        <v>91855.4</v>
      </c>
      <c r="D46" s="10" t="n">
        <f aca="false">SUM(D40:D45)</f>
        <v>77795.09</v>
      </c>
      <c r="E46" s="10" t="n">
        <f aca="false">SUM(E40:E45)</f>
        <v>85184.12</v>
      </c>
      <c r="F46" s="10" t="n">
        <f aca="false">SUM(F40:F45)</f>
        <v>92202.05</v>
      </c>
    </row>
    <row r="47" customFormat="false" ht="15" hidden="false" customHeight="false" outlineLevel="0" collapsed="false">
      <c r="A47" s="5" t="s">
        <v>47</v>
      </c>
      <c r="B47" s="6"/>
      <c r="C47" s="6"/>
      <c r="D47" s="6"/>
      <c r="E47" s="6"/>
      <c r="F47" s="6"/>
      <c r="G47" s="6"/>
    </row>
    <row r="48" customFormat="false" ht="15" hidden="false" customHeight="false" outlineLevel="0" collapsed="false">
      <c r="A48" s="7" t="s">
        <v>40</v>
      </c>
      <c r="B48" s="8" t="n">
        <v>67605.56</v>
      </c>
      <c r="C48" s="8" t="n">
        <v>76801.88</v>
      </c>
      <c r="D48" s="8" t="n">
        <v>76660.67</v>
      </c>
      <c r="E48" s="8" t="n">
        <v>90804.15</v>
      </c>
      <c r="F48" s="8" t="n">
        <v>64780.14</v>
      </c>
    </row>
    <row r="49" customFormat="false" ht="15" hidden="false" customHeight="false" outlineLevel="0" collapsed="false">
      <c r="A49" s="7" t="s">
        <v>41</v>
      </c>
      <c r="B49" s="8" t="n">
        <v>2105.87</v>
      </c>
      <c r="C49" s="8" t="n">
        <v>2385.35</v>
      </c>
      <c r="D49" s="8" t="n">
        <v>2842</v>
      </c>
      <c r="E49" s="8" t="n">
        <v>3132.01</v>
      </c>
      <c r="F49" s="8" t="n">
        <v>3390.15</v>
      </c>
    </row>
    <row r="50" customFormat="false" ht="15" hidden="false" customHeight="false" outlineLevel="0" collapsed="false">
      <c r="A50" s="7" t="s">
        <v>48</v>
      </c>
      <c r="B50" s="8" t="n">
        <v>806.63</v>
      </c>
      <c r="C50" s="8" t="n">
        <v>1024.97</v>
      </c>
      <c r="D50" s="8" t="n">
        <v>1423.7</v>
      </c>
      <c r="E50" s="8" t="n">
        <v>1422.49</v>
      </c>
      <c r="F50" s="8" t="n">
        <v>1523.96</v>
      </c>
    </row>
    <row r="51" customFormat="false" ht="15" hidden="false" customHeight="false" outlineLevel="0" collapsed="false">
      <c r="A51" s="7" t="s">
        <v>49</v>
      </c>
      <c r="B51" s="8" t="n">
        <v>48255.22</v>
      </c>
      <c r="C51" s="8" t="n">
        <v>53709.16</v>
      </c>
      <c r="D51" s="8" t="n">
        <v>58030.4</v>
      </c>
      <c r="E51" s="8" t="n">
        <v>59112.45</v>
      </c>
      <c r="F51" s="8" t="n">
        <v>55844.73</v>
      </c>
    </row>
    <row r="52" customFormat="false" ht="15" hidden="false" customHeight="false" outlineLevel="0" collapsed="false">
      <c r="A52" s="7" t="s">
        <v>42</v>
      </c>
      <c r="B52" s="8" t="n">
        <v>44730.46</v>
      </c>
      <c r="C52" s="8" t="n">
        <v>45445.56</v>
      </c>
      <c r="D52" s="8" t="n">
        <v>50604.91</v>
      </c>
      <c r="E52" s="8" t="n">
        <v>51214.46</v>
      </c>
      <c r="F52" s="8" t="n">
        <v>54063.31</v>
      </c>
    </row>
    <row r="53" customFormat="false" ht="15" hidden="false" customHeight="false" outlineLevel="0" collapsed="false">
      <c r="A53" s="7" t="s">
        <v>50</v>
      </c>
      <c r="B53" s="8" t="n">
        <v>18966.68</v>
      </c>
      <c r="C53" s="8" t="n">
        <v>17085.11</v>
      </c>
      <c r="D53" s="8" t="n">
        <v>15240.85</v>
      </c>
      <c r="E53" s="8" t="n">
        <v>15237.63</v>
      </c>
      <c r="F53" s="8" t="n">
        <v>20083.72</v>
      </c>
    </row>
    <row r="54" customFormat="false" ht="15" hidden="false" customHeight="false" outlineLevel="0" collapsed="false">
      <c r="A54" s="7" t="s">
        <v>43</v>
      </c>
      <c r="B54" s="8" t="n">
        <v>9749.83</v>
      </c>
      <c r="C54" s="8" t="n">
        <v>10156.28</v>
      </c>
      <c r="D54" s="8" t="n">
        <v>10628.26</v>
      </c>
      <c r="E54" s="8" t="n">
        <v>10012.74</v>
      </c>
      <c r="F54" s="8" t="n">
        <v>10506.11</v>
      </c>
    </row>
    <row r="55" customFormat="false" ht="15" hidden="false" customHeight="false" outlineLevel="0" collapsed="false">
      <c r="A55" s="7" t="s">
        <v>51</v>
      </c>
      <c r="B55" s="8" t="n">
        <v>619.31</v>
      </c>
      <c r="C55" s="8" t="n">
        <v>29.37</v>
      </c>
      <c r="D55" s="8" t="n">
        <v>954.37</v>
      </c>
      <c r="E55" s="8" t="n">
        <v>39.97</v>
      </c>
      <c r="F55" s="8" t="n">
        <v>978.25</v>
      </c>
    </row>
    <row r="56" customFormat="false" ht="15" hidden="false" customHeight="false" outlineLevel="0" collapsed="false">
      <c r="A56" s="9" t="s">
        <v>52</v>
      </c>
      <c r="B56" s="10" t="n">
        <f aca="false">SUM(B48:B55)</f>
        <v>192839.56</v>
      </c>
      <c r="C56" s="10" t="n">
        <f aca="false">SUM(C48:C55)</f>
        <v>206637.68</v>
      </c>
      <c r="D56" s="10" t="n">
        <f aca="false">SUM(D48:D55)</f>
        <v>216385.16</v>
      </c>
      <c r="E56" s="10" t="n">
        <f aca="false">SUM(E48:E55)</f>
        <v>230975.9</v>
      </c>
      <c r="F56" s="10" t="n">
        <f aca="false">SUM(F48:F55)</f>
        <v>211170.37</v>
      </c>
    </row>
    <row r="57" customFormat="false" ht="15" hidden="false" customHeight="false" outlineLevel="0" collapsed="false">
      <c r="A57" s="11" t="s">
        <v>53</v>
      </c>
      <c r="B57" s="8" t="n">
        <v>25.06</v>
      </c>
      <c r="C57" s="8" t="n">
        <v>11.06</v>
      </c>
      <c r="D57" s="8" t="n">
        <v>18.77</v>
      </c>
      <c r="E57" s="8" t="n">
        <v>14.98</v>
      </c>
      <c r="F57" s="8" t="n">
        <v>35.43</v>
      </c>
    </row>
    <row r="58" customFormat="false" ht="15" hidden="false" customHeight="false" outlineLevel="0" collapsed="false">
      <c r="A58" s="9" t="s">
        <v>54</v>
      </c>
      <c r="B58" s="12" t="n">
        <f aca="false">B38+B46+B56+B57</f>
        <v>410624.85</v>
      </c>
      <c r="C58" s="12" t="n">
        <f aca="false">C38+C46+C56+C57</f>
        <v>441718.48</v>
      </c>
      <c r="D58" s="12" t="n">
        <f aca="false">D38+D46+D56+D57</f>
        <v>482362</v>
      </c>
      <c r="E58" s="12" t="n">
        <f aca="false">E38+E46+E56+E57</f>
        <v>507199.66</v>
      </c>
      <c r="F58" s="12" t="n">
        <f aca="false">F38+F46+F56+F57</f>
        <v>528954.96</v>
      </c>
    </row>
    <row r="60" customFormat="false" ht="15" hidden="false" customHeight="false" outlineLevel="0" collapsed="false">
      <c r="A60" s="5" t="s">
        <v>55</v>
      </c>
      <c r="B60" s="6"/>
      <c r="C60" s="6"/>
      <c r="D60" s="6"/>
      <c r="E60" s="6"/>
      <c r="F60" s="6"/>
      <c r="G60" s="6"/>
    </row>
    <row r="61" customFormat="false" ht="15" hidden="false" customHeight="false" outlineLevel="0" collapsed="false">
      <c r="A61" s="7" t="s">
        <v>56</v>
      </c>
      <c r="B61" s="13" t="n">
        <f aca="false">ROUND(B31-410624.85,2)</f>
        <v>0</v>
      </c>
      <c r="C61" s="13" t="n">
        <f aca="false">ROUND(C31-441718.48,2)</f>
        <v>0</v>
      </c>
      <c r="D61" s="13" t="n">
        <f aca="false">ROUND(D31-482362,2)</f>
        <v>0</v>
      </c>
      <c r="E61" s="13" t="n">
        <f aca="false">ROUND(E31-507199.66,2)</f>
        <v>0</v>
      </c>
      <c r="F61" s="13" t="n">
        <f aca="false">ROUND(F31-528954.96,2)</f>
        <v>0</v>
      </c>
    </row>
    <row r="62" customFormat="false" ht="15" hidden="false" customHeight="false" outlineLevel="0" collapsed="false">
      <c r="A62" s="7" t="s">
        <v>57</v>
      </c>
      <c r="B62" s="13" t="n">
        <f aca="false">ROUND(B18-263764.16,2)</f>
        <v>0</v>
      </c>
      <c r="C62" s="13" t="n">
        <f aca="false">ROUND(C18-282881.6,2)</f>
        <v>0</v>
      </c>
      <c r="D62" s="13" t="n">
        <f aca="false">ROUND(D18-323919.38,2)</f>
        <v>0</v>
      </c>
      <c r="E62" s="13" t="n">
        <f aca="false">ROUND(E18-349223.9,2)</f>
        <v>0</v>
      </c>
      <c r="F62" s="13" t="n">
        <f aca="false">ROUND(F18-372144.19,2)</f>
        <v>0</v>
      </c>
    </row>
    <row r="63" customFormat="false" ht="15" hidden="false" customHeight="false" outlineLevel="0" collapsed="false">
      <c r="A63" s="7" t="s">
        <v>58</v>
      </c>
      <c r="B63" s="13" t="n">
        <f aca="false">ROUND(B29-146072.44,2)</f>
        <v>0</v>
      </c>
      <c r="C63" s="13" t="n">
        <f aca="false">ROUND(C29-157853.45,2)</f>
        <v>0</v>
      </c>
      <c r="D63" s="13" t="n">
        <f aca="false">ROUND(D29-157211.19,2)</f>
        <v>0</v>
      </c>
      <c r="E63" s="13" t="n">
        <f aca="false">ROUND(E29-156463.91,2)</f>
        <v>0</v>
      </c>
      <c r="F63" s="13" t="n">
        <f aca="false">ROUND(F29-155175.24,2)</f>
        <v>0</v>
      </c>
    </row>
    <row r="64" customFormat="false" ht="15" hidden="false" customHeight="false" outlineLevel="0" collapsed="false">
      <c r="A64" s="7" t="s">
        <v>59</v>
      </c>
      <c r="B64" s="13" t="n">
        <f aca="false">ROUND(B38-135126.65,2)</f>
        <v>0</v>
      </c>
      <c r="C64" s="13" t="n">
        <f aca="false">ROUND(C38-143214.34,2)</f>
        <v>0</v>
      </c>
      <c r="D64" s="13" t="n">
        <f aca="false">ROUND(D38-188162.98,2)</f>
        <v>0</v>
      </c>
      <c r="E64" s="13" t="n">
        <f aca="false">ROUND(E38-191024.66,2)</f>
        <v>0</v>
      </c>
      <c r="F64" s="13" t="n">
        <f aca="false">ROUND(F38-225547.11,2)</f>
        <v>0</v>
      </c>
    </row>
    <row r="65" customFormat="false" ht="15" hidden="false" customHeight="false" outlineLevel="0" collapsed="false">
      <c r="A65" s="7" t="s">
        <v>60</v>
      </c>
      <c r="B65" s="13" t="n">
        <f aca="false">ROUND(B46-82633.58,2)</f>
        <v>0</v>
      </c>
      <c r="C65" s="13" t="n">
        <f aca="false">ROUND(C46-91855.4,2)</f>
        <v>0</v>
      </c>
      <c r="D65" s="13" t="n">
        <f aca="false">ROUND(D46-77795.09,2)</f>
        <v>0</v>
      </c>
      <c r="E65" s="13" t="n">
        <f aca="false">ROUND(E46-85184.12,2)</f>
        <v>0</v>
      </c>
      <c r="F65" s="13" t="n">
        <f aca="false">ROUND(F46-92202.05,2)</f>
        <v>0</v>
      </c>
    </row>
    <row r="66" customFormat="false" ht="15" hidden="false" customHeight="false" outlineLevel="0" collapsed="false">
      <c r="A66" s="7" t="s">
        <v>61</v>
      </c>
      <c r="B66" s="13" t="n">
        <f aca="false">ROUND(B56-192839.56,2)</f>
        <v>0</v>
      </c>
      <c r="C66" s="13" t="n">
        <f aca="false">ROUND(C56-206637.68,2)</f>
        <v>0</v>
      </c>
      <c r="D66" s="13" t="n">
        <f aca="false">ROUND(D56-216385.16,2)</f>
        <v>0</v>
      </c>
      <c r="E66" s="13" t="n">
        <f aca="false">ROUND(E56-230975.9,2)</f>
        <v>0</v>
      </c>
      <c r="F66" s="13" t="n">
        <f aca="false">ROUND(F56-211170.37,2)</f>
        <v>0</v>
      </c>
    </row>
    <row r="67" customFormat="false" ht="15" hidden="false" customHeight="false" outlineLevel="0" collapsed="false">
      <c r="A67" s="7" t="s">
        <v>62</v>
      </c>
      <c r="B67" s="13" t="n">
        <f aca="false">ROUND(B31-B58,2)</f>
        <v>0</v>
      </c>
      <c r="C67" s="13" t="n">
        <f aca="false">ROUND(C31-C58,2)</f>
        <v>0</v>
      </c>
      <c r="D67" s="13" t="n">
        <f aca="false">ROUND(D31-D58,2)</f>
        <v>0</v>
      </c>
      <c r="E67" s="13" t="n">
        <f aca="false">ROUND(E31-E58,2)</f>
        <v>0</v>
      </c>
      <c r="F67" s="13" t="n">
        <f aca="false">ROUND(F31-F58,2)</f>
        <v>0</v>
      </c>
    </row>
    <row r="69" customFormat="false" ht="15" hidden="false" customHeight="false" outlineLevel="0" collapsed="false">
      <c r="A69" s="2" t="s">
        <v>63</v>
      </c>
    </row>
    <row r="70" customFormat="false" ht="15" hidden="false" customHeight="false" outlineLevel="0" collapsed="false">
      <c r="A70" s="2" t="s">
        <v>64</v>
      </c>
    </row>
    <row r="71" customFormat="false" ht="15" hidden="false" customHeight="false" outlineLevel="0" collapsed="false">
      <c r="A71" s="2" t="s">
        <v>65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3" topLeftCell="B4" activePane="bottomRight" state="frozen"/>
      <selection pane="topLeft" activeCell="A1" activeCellId="0" sqref="A1"/>
      <selection pane="topRight" activeCell="B1" activeCellId="0" sqref="B1"/>
      <selection pane="bottomLeft" activeCell="A4" activeCellId="0" sqref="A4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6" min="2" style="0" width="16"/>
  </cols>
  <sheetData>
    <row r="1" customFormat="false" ht="17.35" hidden="false" customHeight="false" outlineLevel="0" collapsed="false">
      <c r="A1" s="1" t="s">
        <v>66</v>
      </c>
    </row>
    <row r="3" customFormat="false" ht="15" hidden="false" customHeight="false" outlineLevel="0" collapsed="false">
      <c r="A3" s="3" t="s">
        <v>67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customFormat="false" ht="15" hidden="false" customHeight="false" outlineLevel="0" collapsed="false">
      <c r="A4" s="11" t="s">
        <v>68</v>
      </c>
      <c r="B4" s="13" t="n">
        <f aca="false">'Balance Sheet'!B40+'Balance Sheet'!B48</f>
        <v>123550.1</v>
      </c>
      <c r="C4" s="13" t="n">
        <f aca="false">'Balance Sheet'!C40+'Balance Sheet'!C48</f>
        <v>140114.82</v>
      </c>
      <c r="D4" s="13" t="n">
        <f aca="false">'Balance Sheet'!D40+'Balance Sheet'!D48</f>
        <v>123453.57</v>
      </c>
      <c r="E4" s="13" t="n">
        <f aca="false">'Balance Sheet'!E40+'Balance Sheet'!E48</f>
        <v>142559.9</v>
      </c>
      <c r="F4" s="13" t="n">
        <f aca="false">'Balance Sheet'!F40+'Balance Sheet'!F48</f>
        <v>120089.13</v>
      </c>
    </row>
    <row r="5" customFormat="false" ht="15" hidden="false" customHeight="false" outlineLevel="0" collapsed="false">
      <c r="A5" s="11" t="s">
        <v>69</v>
      </c>
      <c r="B5" s="13" t="n">
        <f aca="false">'Balance Sheet'!B40+'Balance Sheet'!B48+'Balance Sheet'!B41+'Balance Sheet'!B49</f>
        <v>132019.59</v>
      </c>
      <c r="C5" s="13" t="n">
        <f aca="false">'Balance Sheet'!C40+'Balance Sheet'!C48+'Balance Sheet'!C41+'Balance Sheet'!C49</f>
        <v>148977.08</v>
      </c>
      <c r="D5" s="13" t="n">
        <f aca="false">'Balance Sheet'!D40+'Balance Sheet'!D48+'Balance Sheet'!D41+'Balance Sheet'!D49</f>
        <v>132627.56</v>
      </c>
      <c r="E5" s="13" t="n">
        <f aca="false">'Balance Sheet'!E40+'Balance Sheet'!E48+'Balance Sheet'!E41+'Balance Sheet'!E49</f>
        <v>152270.56</v>
      </c>
      <c r="F5" s="13" t="n">
        <f aca="false">'Balance Sheet'!F40+'Balance Sheet'!F48+'Balance Sheet'!F41+'Balance Sheet'!F49</f>
        <v>131822.39</v>
      </c>
    </row>
    <row r="6" customFormat="false" ht="15" hidden="false" customHeight="false" outlineLevel="0" collapsed="false">
      <c r="A6" s="11" t="s">
        <v>70</v>
      </c>
      <c r="B6" s="13" t="n">
        <f aca="false">'Balance Sheet'!B38</f>
        <v>135126.65</v>
      </c>
      <c r="C6" s="13" t="n">
        <f aca="false">'Balance Sheet'!C38</f>
        <v>143214.34</v>
      </c>
      <c r="D6" s="13" t="n">
        <f aca="false">'Balance Sheet'!D38</f>
        <v>188162.98</v>
      </c>
      <c r="E6" s="13" t="n">
        <f aca="false">'Balance Sheet'!E38</f>
        <v>191024.66</v>
      </c>
      <c r="F6" s="13" t="n">
        <f aca="false">'Balance Sheet'!F38</f>
        <v>225547.11</v>
      </c>
    </row>
    <row r="7" customFormat="false" ht="15" hidden="false" customHeight="false" outlineLevel="0" collapsed="false">
      <c r="A7" s="11" t="s">
        <v>71</v>
      </c>
      <c r="B7" s="13" t="n">
        <f aca="false">'Balance Sheet'!B35+'Balance Sheet'!B36</f>
        <v>133535.18</v>
      </c>
      <c r="C7" s="13" t="n">
        <f aca="false">'Balance Sheet'!C35+'Balance Sheet'!C36</f>
        <v>139720.24</v>
      </c>
      <c r="D7" s="13" t="n">
        <f aca="false">'Balance Sheet'!D35+'Balance Sheet'!D36</f>
        <v>183416.27</v>
      </c>
      <c r="E7" s="13" t="n">
        <f aca="false">'Balance Sheet'!E35+'Balance Sheet'!E36</f>
        <v>186487.32</v>
      </c>
      <c r="F7" s="13" t="n">
        <f aca="false">'Balance Sheet'!F35+'Balance Sheet'!F36</f>
        <v>219517.55</v>
      </c>
    </row>
    <row r="8" customFormat="false" ht="15" hidden="false" customHeight="false" outlineLevel="0" collapsed="false">
      <c r="A8" s="11" t="s">
        <v>72</v>
      </c>
      <c r="B8" s="14" t="n">
        <f aca="false">IFERROR(B4/B6,0)</f>
        <v>0.91432815066458</v>
      </c>
      <c r="C8" s="14" t="n">
        <f aca="false">IFERROR(C4/C6,0)</f>
        <v>0.978357474537815</v>
      </c>
      <c r="D8" s="14" t="n">
        <f aca="false">IFERROR(D4/D6,0)</f>
        <v>0.656099143412801</v>
      </c>
      <c r="E8" s="14" t="n">
        <f aca="false">IFERROR(E4/E6,0)</f>
        <v>0.746290557459964</v>
      </c>
      <c r="F8" s="14" t="n">
        <f aca="false">IFERROR(F4/F6,0)</f>
        <v>0.532434798211336</v>
      </c>
    </row>
    <row r="9" customFormat="false" ht="15" hidden="false" customHeight="false" outlineLevel="0" collapsed="false">
      <c r="A9" s="11" t="s">
        <v>73</v>
      </c>
      <c r="B9" s="14" t="n">
        <f aca="false">IFERROR('Balance Sheet'!B29/'Balance Sheet'!B56,0)</f>
        <v>0.75748171174006</v>
      </c>
      <c r="C9" s="14" t="n">
        <f aca="false">IFERROR('Balance Sheet'!C29/'Balance Sheet'!C56,0)</f>
        <v>0.763914161250746</v>
      </c>
      <c r="D9" s="14" t="n">
        <f aca="false">IFERROR('Balance Sheet'!D29/'Balance Sheet'!D56,0)</f>
        <v>0.726534065459942</v>
      </c>
      <c r="E9" s="14" t="n">
        <f aca="false">IFERROR('Balance Sheet'!E29/'Balance Sheet'!E56,0)</f>
        <v>0.677403616567789</v>
      </c>
      <c r="F9" s="14" t="n">
        <f aca="false">IFERROR('Balance Sheet'!F29/'Balance Sheet'!F56,0)</f>
        <v>0.734834342526369</v>
      </c>
    </row>
    <row r="10" customFormat="false" ht="15" hidden="false" customHeight="false" outlineLevel="0" collapsed="false">
      <c r="A10" s="11" t="s">
        <v>74</v>
      </c>
      <c r="B10" s="15" t="n">
        <f aca="false">IFERROR('Balance Sheet'!B38/'Balance Sheet'!B31,0)</f>
        <v>0.329075675765848</v>
      </c>
      <c r="C10" s="15" t="n">
        <f aca="false">IFERROR('Balance Sheet'!C38/'Balance Sheet'!C31,0)</f>
        <v>0.324220847631279</v>
      </c>
      <c r="D10" s="15" t="n">
        <f aca="false">IFERROR('Balance Sheet'!D38/'Balance Sheet'!D31,0)</f>
        <v>0.390086656909126</v>
      </c>
      <c r="E10" s="15" t="n">
        <f aca="false">IFERROR('Balance Sheet'!E38/'Balance Sheet'!E31,0)</f>
        <v>0.37662615941028</v>
      </c>
      <c r="F10" s="15" t="n">
        <f aca="false">IFERROR('Balance Sheet'!F38/'Balance Sheet'!F31,0)</f>
        <v>0.426401351827762</v>
      </c>
    </row>
    <row r="11" customFormat="false" ht="15" hidden="false" customHeight="false" outlineLevel="0" collapsed="false">
      <c r="A11" s="11" t="s">
        <v>75</v>
      </c>
      <c r="B11" s="15" t="n">
        <f aca="false">IFERROR('Balance Sheet'!B20/'Balance Sheet'!B31,0)</f>
        <v>0.272113365764395</v>
      </c>
      <c r="C11" s="15" t="n">
        <f aca="false">IFERROR('Balance Sheet'!C20/'Balance Sheet'!C31,0)</f>
        <v>0.274173677315923</v>
      </c>
      <c r="D11" s="15" t="n">
        <f aca="false">IFERROR('Balance Sheet'!D20/'Balance Sheet'!D31,0)</f>
        <v>0.251628092594359</v>
      </c>
      <c r="E11" s="15" t="n">
        <f aca="false">IFERROR('Balance Sheet'!E20/'Balance Sheet'!E31,0)</f>
        <v>0.224523987259771</v>
      </c>
      <c r="F11" s="15" t="n">
        <f aca="false">IFERROR('Balance Sheet'!F20/'Balance Sheet'!F31,0)</f>
        <v>0.221441765098488</v>
      </c>
    </row>
    <row r="12" customFormat="false" ht="15" hidden="false" customHeight="false" outlineLevel="0" collapsed="false">
      <c r="A12" s="11" t="s">
        <v>76</v>
      </c>
      <c r="B12" s="15" t="n">
        <f aca="false">IFERROR('Balance Sheet'!B8/'Balance Sheet'!B31,0)</f>
        <v>0.10727509550384</v>
      </c>
      <c r="C12" s="15" t="n">
        <f aca="false">IFERROR('Balance Sheet'!C8/'Balance Sheet'!C31,0)</f>
        <v>0.107647929966616</v>
      </c>
      <c r="D12" s="15" t="n">
        <f aca="false">IFERROR('Balance Sheet'!D8/'Balance Sheet'!D31,0)</f>
        <v>0.118825404986297</v>
      </c>
      <c r="E12" s="15" t="n">
        <f aca="false">IFERROR('Balance Sheet'!E8/'Balance Sheet'!E31,0)</f>
        <v>0.14538734115082</v>
      </c>
      <c r="F12" s="15" t="n">
        <f aca="false">IFERROR('Balance Sheet'!F8/'Balance Sheet'!F31,0)</f>
        <v>0.156718050247605</v>
      </c>
    </row>
    <row r="13" customFormat="false" ht="15" hidden="false" customHeight="false" outlineLevel="0" collapsed="false">
      <c r="A13" s="11" t="s">
        <v>77</v>
      </c>
      <c r="C13" s="15" t="n">
        <f aca="false">IFERROR('Balance Sheet'!C31/'Balance Sheet'!B31-1,0)</f>
        <v>0.0757227186810539</v>
      </c>
      <c r="D13" s="15" t="n">
        <f aca="false">IFERROR('Balance Sheet'!D31/'Balance Sheet'!C31-1,0)</f>
        <v>0.0920122698964283</v>
      </c>
      <c r="E13" s="15" t="n">
        <f aca="false">IFERROR('Balance Sheet'!E31/'Balance Sheet'!D31-1,0)</f>
        <v>0.0514917427160515</v>
      </c>
      <c r="F13" s="15" t="n">
        <f aca="false">IFERROR('Balance Sheet'!F31/'Balance Sheet'!E31-1,0)</f>
        <v>0.0428929703935526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2026-10-21T15:47:18Z</dcterms:created>
  <dc:creator>openpyxl</dc:creator>
  <dc:description/>
  <dc:language>en-US</dc:language>
  <cp:lastModifiedBy/>
  <dcterms:modified xsi:type="dcterms:W3CDTF">2026-10-21T15:47:18Z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