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1"/>
  </bookViews>
  <sheets>
    <sheet name="Sheet1" sheetId="1" r:id="rId1"/>
    <sheet name="SAles-Note(A)" sheetId="2" r:id="rId2"/>
    <sheet name="Workings note(G-R)" sheetId="3" r:id="rId3"/>
  </sheets>
  <definedNames>
    <definedName name="_xlnm.Print_Area" localSheetId="1">'SAles-Note(A)'!$A$1:$O$13</definedName>
    <definedName name="_xlnm.Print_Area" localSheetId="0">Sheet1!$A$1:$R$49</definedName>
  </definedNames>
  <calcPr calcId="125725"/>
</workbook>
</file>

<file path=xl/calcChain.xml><?xml version="1.0" encoding="utf-8"?>
<calcChain xmlns="http://schemas.openxmlformats.org/spreadsheetml/2006/main">
  <c r="O32" i="1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2"/>
  <c r="O13"/>
  <c r="G77" i="3"/>
  <c r="D77"/>
  <c r="C77"/>
  <c r="N34" i="1"/>
  <c r="N37"/>
  <c r="N35"/>
  <c r="G76" i="3"/>
  <c r="D76"/>
  <c r="C76"/>
  <c r="M35" i="1"/>
  <c r="M37" s="1"/>
  <c r="M34"/>
  <c r="G75" i="3"/>
  <c r="D75"/>
  <c r="C75"/>
  <c r="L34" i="1"/>
  <c r="L37" s="1"/>
  <c r="L35"/>
  <c r="G74" i="3"/>
  <c r="D74"/>
  <c r="E74" s="1"/>
  <c r="C74"/>
  <c r="E77"/>
  <c r="E75"/>
  <c r="D66"/>
  <c r="C21" i="1"/>
  <c r="D21" s="1"/>
  <c r="M16"/>
  <c r="E16"/>
  <c r="I16" s="1"/>
  <c r="D15"/>
  <c r="E15" s="1"/>
  <c r="D4" i="3"/>
  <c r="C30" i="1"/>
  <c r="G30" s="1"/>
  <c r="J29"/>
  <c r="L29" s="1"/>
  <c r="D62" i="3"/>
  <c r="D57"/>
  <c r="K28" i="1"/>
  <c r="M28" s="1"/>
  <c r="E27"/>
  <c r="I27" s="1"/>
  <c r="D52" i="3"/>
  <c r="C26" i="1"/>
  <c r="E26" s="1"/>
  <c r="G26" s="1"/>
  <c r="D47" i="3"/>
  <c r="D40"/>
  <c r="F23" i="1" s="1"/>
  <c r="E22"/>
  <c r="K22" s="1"/>
  <c r="D36" i="3"/>
  <c r="N22" i="1"/>
  <c r="E32" i="3"/>
  <c r="D20" i="1"/>
  <c r="E20"/>
  <c r="F20"/>
  <c r="G20"/>
  <c r="H20"/>
  <c r="I20"/>
  <c r="J20"/>
  <c r="K20"/>
  <c r="L20"/>
  <c r="M20"/>
  <c r="N20"/>
  <c r="C20"/>
  <c r="E29" i="3"/>
  <c r="E26"/>
  <c r="G19" i="1" s="1"/>
  <c r="J18"/>
  <c r="L18"/>
  <c r="D13"/>
  <c r="G13" s="1"/>
  <c r="J13" s="1"/>
  <c r="M13" s="1"/>
  <c r="G18"/>
  <c r="E22" i="3"/>
  <c r="E21"/>
  <c r="E20"/>
  <c r="G17" i="1"/>
  <c r="C17"/>
  <c r="C16" i="3"/>
  <c r="B16"/>
  <c r="B13"/>
  <c r="M14" i="1"/>
  <c r="J14"/>
  <c r="G14"/>
  <c r="C14"/>
  <c r="F12"/>
  <c r="N5"/>
  <c r="M5"/>
  <c r="L5"/>
  <c r="K5"/>
  <c r="J5"/>
  <c r="I5"/>
  <c r="H5"/>
  <c r="G5"/>
  <c r="F5"/>
  <c r="E5"/>
  <c r="D5"/>
  <c r="C5"/>
  <c r="N6"/>
  <c r="M6"/>
  <c r="L6"/>
  <c r="K6"/>
  <c r="J6"/>
  <c r="I6"/>
  <c r="H6"/>
  <c r="G6"/>
  <c r="F6"/>
  <c r="E6"/>
  <c r="D6"/>
  <c r="C6"/>
  <c r="N11" i="2"/>
  <c r="M11"/>
  <c r="L11"/>
  <c r="K11"/>
  <c r="J11"/>
  <c r="I11"/>
  <c r="H11"/>
  <c r="G11"/>
  <c r="F11"/>
  <c r="E11"/>
  <c r="D11"/>
  <c r="C11"/>
  <c r="N9"/>
  <c r="M9"/>
  <c r="M10" s="1"/>
  <c r="N8"/>
  <c r="M8"/>
  <c r="L9"/>
  <c r="L10" s="1"/>
  <c r="L8"/>
  <c r="K10"/>
  <c r="J10"/>
  <c r="I10"/>
  <c r="H10"/>
  <c r="G10"/>
  <c r="F10"/>
  <c r="E10"/>
  <c r="D10"/>
  <c r="K9"/>
  <c r="K8"/>
  <c r="J9"/>
  <c r="J8"/>
  <c r="I9"/>
  <c r="I8"/>
  <c r="H8"/>
  <c r="H9"/>
  <c r="G8"/>
  <c r="G9"/>
  <c r="F8"/>
  <c r="F9"/>
  <c r="C10"/>
  <c r="E8"/>
  <c r="E9"/>
  <c r="D8"/>
  <c r="N6"/>
  <c r="M6"/>
  <c r="L6"/>
  <c r="K6"/>
  <c r="J6"/>
  <c r="I6"/>
  <c r="H6"/>
  <c r="G6"/>
  <c r="F6"/>
  <c r="E6"/>
  <c r="D6"/>
  <c r="C6"/>
  <c r="E76" i="3" l="1"/>
  <c r="E7" i="1"/>
  <c r="C7"/>
  <c r="K7"/>
  <c r="F7"/>
  <c r="N7"/>
  <c r="L30"/>
  <c r="D30"/>
  <c r="I7"/>
  <c r="M7"/>
  <c r="D7"/>
  <c r="H7"/>
  <c r="L7"/>
  <c r="N30"/>
  <c r="H30"/>
  <c r="G7"/>
  <c r="I30"/>
  <c r="J7"/>
  <c r="M30"/>
  <c r="F30"/>
  <c r="J30"/>
  <c r="E30"/>
  <c r="K30"/>
  <c r="F21"/>
  <c r="J21"/>
  <c r="N21"/>
  <c r="E21"/>
  <c r="M21"/>
  <c r="I21"/>
  <c r="K21"/>
  <c r="G21"/>
  <c r="L21"/>
  <c r="H21"/>
  <c r="F16"/>
  <c r="F15"/>
  <c r="G16"/>
  <c r="N15"/>
  <c r="K16"/>
  <c r="L16" s="1"/>
  <c r="N16" s="1"/>
  <c r="J15"/>
  <c r="J16"/>
  <c r="K15"/>
  <c r="G15"/>
  <c r="L15"/>
  <c r="H15"/>
  <c r="H16"/>
  <c r="M15"/>
  <c r="I15"/>
  <c r="H22"/>
  <c r="M29"/>
  <c r="N28"/>
  <c r="N29"/>
  <c r="K29"/>
  <c r="L28"/>
  <c r="K27"/>
  <c r="O6"/>
  <c r="O5"/>
  <c r="N27"/>
  <c r="J27"/>
  <c r="F27"/>
  <c r="G27"/>
  <c r="L27"/>
  <c r="H27"/>
  <c r="M27"/>
  <c r="J23"/>
  <c r="N23"/>
  <c r="H23"/>
  <c r="G23"/>
  <c r="K23"/>
  <c r="I23"/>
  <c r="M23"/>
  <c r="L23"/>
  <c r="M19"/>
  <c r="I19"/>
  <c r="E19"/>
  <c r="N19"/>
  <c r="J19"/>
  <c r="C19"/>
  <c r="C32" s="1"/>
  <c r="K19"/>
  <c r="L19"/>
  <c r="H19"/>
  <c r="D19"/>
  <c r="F19"/>
  <c r="N10" i="2"/>
  <c r="I32" i="1" l="1"/>
  <c r="E32"/>
  <c r="E33" s="1"/>
  <c r="G32"/>
  <c r="G33" s="1"/>
  <c r="M32"/>
  <c r="M33" s="1"/>
  <c r="F32"/>
  <c r="F33" s="1"/>
  <c r="J32"/>
  <c r="J33" s="1"/>
  <c r="L32"/>
  <c r="L33" s="1"/>
  <c r="H32"/>
  <c r="H33" s="1"/>
  <c r="K32"/>
  <c r="N32"/>
  <c r="N33" s="1"/>
  <c r="C33"/>
  <c r="K33"/>
  <c r="I33"/>
  <c r="O7"/>
  <c r="C66" i="3" l="1"/>
  <c r="E66" s="1"/>
  <c r="C37" i="1"/>
  <c r="D34" s="1"/>
  <c r="D67" i="3" s="1"/>
  <c r="D32" i="1" l="1"/>
  <c r="D33" s="1"/>
  <c r="G66" i="3"/>
  <c r="D35" i="1" s="1"/>
  <c r="C67" i="3" l="1"/>
  <c r="E67" s="1"/>
  <c r="G67" s="1"/>
  <c r="E35" i="1" s="1"/>
  <c r="C68" i="3" s="1"/>
  <c r="D37" i="1"/>
  <c r="E34" s="1"/>
  <c r="D68" i="3" l="1"/>
  <c r="E37" i="1"/>
  <c r="F34" s="1"/>
  <c r="E68" i="3"/>
  <c r="F68" s="1"/>
  <c r="F36" i="1" s="1"/>
  <c r="C69" i="3" s="1"/>
  <c r="D69" l="1"/>
  <c r="E69" s="1"/>
  <c r="F69" s="1"/>
  <c r="G36" i="1" s="1"/>
  <c r="C70" i="3" s="1"/>
  <c r="F37" i="1"/>
  <c r="G34" s="1"/>
  <c r="D70" i="3" l="1"/>
  <c r="E70" s="1"/>
  <c r="G70" s="1"/>
  <c r="H35" i="1" s="1"/>
  <c r="C71" i="3" s="1"/>
  <c r="G37" i="1"/>
  <c r="H34" s="1"/>
  <c r="D71" i="3" l="1"/>
  <c r="E71" s="1"/>
  <c r="G71" s="1"/>
  <c r="I35" i="1" s="1"/>
  <c r="C72" i="3" s="1"/>
  <c r="H37" i="1"/>
  <c r="I34" s="1"/>
  <c r="I37" l="1"/>
  <c r="J34" s="1"/>
  <c r="D72" i="3"/>
  <c r="E72" s="1"/>
  <c r="G72" s="1"/>
  <c r="J35" i="1" s="1"/>
  <c r="C73" i="3" s="1"/>
  <c r="D73" l="1"/>
  <c r="J37" i="1"/>
  <c r="K34" s="1"/>
  <c r="E73" i="3"/>
  <c r="G73" s="1"/>
  <c r="K35" i="1" s="1"/>
  <c r="K37" l="1"/>
</calcChain>
</file>

<file path=xl/sharedStrings.xml><?xml version="1.0" encoding="utf-8"?>
<sst xmlns="http://schemas.openxmlformats.org/spreadsheetml/2006/main" count="156" uniqueCount="124">
  <si>
    <t>Receipts</t>
  </si>
  <si>
    <t>Recived Via Business Account</t>
  </si>
  <si>
    <t>Cash Sales</t>
  </si>
  <si>
    <t>Payments</t>
  </si>
  <si>
    <t xml:space="preserve">Jan </t>
  </si>
  <si>
    <t>Feb</t>
  </si>
  <si>
    <t>March</t>
  </si>
  <si>
    <t>Apr</t>
  </si>
  <si>
    <t>May</t>
  </si>
  <si>
    <t>June</t>
  </si>
  <si>
    <t>Jul</t>
  </si>
  <si>
    <t>Aug</t>
  </si>
  <si>
    <t>Sept</t>
  </si>
  <si>
    <t>Oct</t>
  </si>
  <si>
    <t>Nov</t>
  </si>
  <si>
    <t>Dec</t>
  </si>
  <si>
    <t>Mar</t>
  </si>
  <si>
    <t xml:space="preserve">Feb </t>
  </si>
  <si>
    <t xml:space="preserve">May </t>
  </si>
  <si>
    <t xml:space="preserve">July </t>
  </si>
  <si>
    <t>47 % of with in 2 month of invoice</t>
  </si>
  <si>
    <t>52% with in 1 month of invoice excluding discount</t>
  </si>
  <si>
    <t>-</t>
  </si>
  <si>
    <t>Total sales  (A)</t>
  </si>
  <si>
    <t>Cash 60% Except Sept (B)</t>
  </si>
  <si>
    <t>Credit Part (A-B)</t>
  </si>
  <si>
    <t>Motor Vehciles (30000*2)</t>
  </si>
  <si>
    <t>Laundry services</t>
  </si>
  <si>
    <t>Printing and Stationary Cost</t>
  </si>
  <si>
    <t>Complimentary toiletries</t>
  </si>
  <si>
    <t>Complimentary Beverages</t>
  </si>
  <si>
    <t>Total</t>
  </si>
  <si>
    <t>Land</t>
  </si>
  <si>
    <t>`</t>
  </si>
  <si>
    <t>January</t>
  </si>
  <si>
    <t>(i)</t>
  </si>
  <si>
    <t>(j)</t>
  </si>
  <si>
    <t>Set</t>
  </si>
  <si>
    <t>Price</t>
  </si>
  <si>
    <t>Bedding and kettle</t>
  </si>
  <si>
    <t>oct</t>
  </si>
  <si>
    <t>(K)</t>
  </si>
  <si>
    <t>Salaries</t>
  </si>
  <si>
    <t>Wages</t>
  </si>
  <si>
    <t>Zero-Hour</t>
  </si>
  <si>
    <t>No of Staff</t>
  </si>
  <si>
    <t>10Shift</t>
  </si>
  <si>
    <t>55/shift</t>
  </si>
  <si>
    <t xml:space="preserve">per month </t>
  </si>
  <si>
    <t>Zero-hour staff</t>
  </si>
  <si>
    <t>Bedding Kettle tray set(Bedding payment delayed with 2 month times )</t>
  </si>
  <si>
    <t>Light and Heat</t>
  </si>
  <si>
    <t>M)</t>
  </si>
  <si>
    <t>Light and  Heat</t>
  </si>
  <si>
    <t>Total expense</t>
  </si>
  <si>
    <t>QTR</t>
  </si>
  <si>
    <t>per QTR payment</t>
  </si>
  <si>
    <t>BusinesRates</t>
  </si>
  <si>
    <t>annual</t>
  </si>
  <si>
    <t>Business Rates</t>
  </si>
  <si>
    <t>Marketing cost</t>
  </si>
  <si>
    <t>corporation tax</t>
  </si>
  <si>
    <t>Furniture</t>
  </si>
  <si>
    <t>petrol and desiel</t>
  </si>
  <si>
    <t>maintaince</t>
  </si>
  <si>
    <t>cleaning</t>
  </si>
  <si>
    <t>N)</t>
  </si>
  <si>
    <t xml:space="preserve">Marketing cost </t>
  </si>
  <si>
    <t>Note (N)</t>
  </si>
  <si>
    <t>(P)</t>
  </si>
  <si>
    <t>Assuming Furniture is puchased at the end of the NOV-2019,all the payment is due at the after 2 month times</t>
  </si>
  <si>
    <t>Note (P)</t>
  </si>
  <si>
    <t>Notes/Working</t>
  </si>
  <si>
    <t xml:space="preserve">Petrol and Deisel </t>
  </si>
  <si>
    <t>Assuming marketing Expenses is paid in the same month of occurance</t>
  </si>
  <si>
    <t>Per month</t>
  </si>
  <si>
    <t xml:space="preserve">With reference form note (L), Assuming payment of pertrol is to be made after 2 month of reciepts of goods. </t>
  </si>
  <si>
    <t>Upgradation works-Furniture</t>
  </si>
  <si>
    <t>Q)</t>
  </si>
  <si>
    <t>Assuming payment made on monthly basis</t>
  </si>
  <si>
    <t>Note (Q)</t>
  </si>
  <si>
    <t>Upgradation works-Building</t>
  </si>
  <si>
    <t>Building Cost</t>
  </si>
  <si>
    <t>Interest received-2.6%</t>
  </si>
  <si>
    <t>Total recipts</t>
  </si>
  <si>
    <t>(G)</t>
  </si>
  <si>
    <t>Toiletries</t>
  </si>
  <si>
    <t>(H)</t>
  </si>
  <si>
    <t>Complimentary in Room Beverages</t>
  </si>
  <si>
    <t>Occupancy rate</t>
  </si>
  <si>
    <t>Nomral</t>
  </si>
  <si>
    <t>85% or more</t>
  </si>
  <si>
    <t>Amount</t>
  </si>
  <si>
    <t>Months</t>
  </si>
  <si>
    <t>(January to december) 
Except Sept</t>
  </si>
  <si>
    <t xml:space="preserve">With reference form note (L), Assuming payment of Complimentary in Room Beverages is to be made after 2 month of reciepts of goods. </t>
  </si>
  <si>
    <t xml:space="preserve">With reference form note (L), Assuming payment of Toiletries is to be made after  1 month of reciepts of goods. </t>
  </si>
  <si>
    <t>Further Assuming that Occupancy rate is below 65% except september .</t>
  </si>
  <si>
    <t>Note (J)</t>
  </si>
  <si>
    <t>Note (M)</t>
  </si>
  <si>
    <t>M-2)</t>
  </si>
  <si>
    <t>Note (M-2)</t>
  </si>
  <si>
    <t>Note A</t>
  </si>
  <si>
    <t>Note (G)</t>
  </si>
  <si>
    <t>Note (i)</t>
  </si>
  <si>
    <t>Note (H)</t>
  </si>
  <si>
    <t>Note (k)</t>
  </si>
  <si>
    <t>Total payments</t>
  </si>
  <si>
    <t>Net-Cash flow without Interest</t>
  </si>
  <si>
    <t>opening</t>
  </si>
  <si>
    <t>R)</t>
  </si>
  <si>
    <t>Intrest</t>
  </si>
  <si>
    <t>january</t>
  </si>
  <si>
    <t>B/F balance</t>
  </si>
  <si>
    <t>total</t>
  </si>
  <si>
    <t>Interest charged</t>
  </si>
  <si>
    <t>Interest earned</t>
  </si>
  <si>
    <t>Interest Charged-5.8%</t>
  </si>
  <si>
    <t>Closing</t>
  </si>
  <si>
    <t>feb</t>
  </si>
  <si>
    <t>Net cash flow+Interest</t>
  </si>
  <si>
    <t>July</t>
  </si>
  <si>
    <t>Note (A)</t>
  </si>
  <si>
    <t>Recived in January 2021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</si>
</sst>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72" formatCode="0.0%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3" fontId="0" fillId="0" borderId="0" xfId="1" applyFont="1"/>
    <xf numFmtId="164" fontId="0" fillId="0" borderId="0" xfId="1" applyNumberFormat="1" applyFont="1"/>
    <xf numFmtId="165" fontId="0" fillId="0" borderId="0" xfId="1" applyNumberFormat="1" applyFont="1"/>
    <xf numFmtId="165" fontId="0" fillId="0" borderId="0" xfId="1" applyNumberFormat="1" applyFont="1" applyAlignment="1">
      <alignment horizontal="center"/>
    </xf>
    <xf numFmtId="165" fontId="0" fillId="0" borderId="0" xfId="1" applyNumberFormat="1" applyFont="1" applyAlignment="1">
      <alignment horizontal="center" vertical="center"/>
    </xf>
    <xf numFmtId="0" fontId="2" fillId="0" borderId="0" xfId="0" applyFont="1"/>
    <xf numFmtId="165" fontId="0" fillId="0" borderId="1" xfId="0" applyNumberFormat="1" applyBorder="1"/>
    <xf numFmtId="9" fontId="0" fillId="0" borderId="0" xfId="0" applyNumberFormat="1" applyAlignment="1">
      <alignment horizontal="center" vertical="center"/>
    </xf>
    <xf numFmtId="9" fontId="0" fillId="0" borderId="0" xfId="2" applyFont="1"/>
    <xf numFmtId="9" fontId="0" fillId="0" borderId="0" xfId="0" applyNumberFormat="1" applyAlignment="1">
      <alignment horizontal="left" vertical="top" wrapText="1"/>
    </xf>
    <xf numFmtId="165" fontId="0" fillId="0" borderId="0" xfId="1" applyNumberFormat="1" applyFont="1" applyAlignment="1">
      <alignment vertical="center"/>
    </xf>
    <xf numFmtId="1" fontId="0" fillId="0" borderId="0" xfId="0" applyNumberFormat="1"/>
    <xf numFmtId="165" fontId="0" fillId="0" borderId="2" xfId="0" applyNumberFormat="1" applyBorder="1"/>
    <xf numFmtId="165" fontId="0" fillId="0" borderId="0" xfId="0" applyNumberFormat="1"/>
    <xf numFmtId="43" fontId="0" fillId="0" borderId="0" xfId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5" fontId="2" fillId="0" borderId="0" xfId="1" applyNumberFormat="1" applyFont="1"/>
    <xf numFmtId="165" fontId="2" fillId="0" borderId="2" xfId="0" applyNumberFormat="1" applyFont="1" applyBorder="1"/>
    <xf numFmtId="0" fontId="0" fillId="0" borderId="0" xfId="0" applyFont="1"/>
    <xf numFmtId="0" fontId="2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2" fillId="0" borderId="7" xfId="0" applyFont="1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7" xfId="0" applyBorder="1" applyAlignment="1">
      <alignment horizontal="center" vertical="top"/>
    </xf>
    <xf numFmtId="165" fontId="0" fillId="0" borderId="0" xfId="1" applyNumberFormat="1" applyFont="1" applyAlignment="1">
      <alignment horizontal="center" vertical="top"/>
    </xf>
    <xf numFmtId="165" fontId="0" fillId="0" borderId="8" xfId="1" applyNumberFormat="1" applyFont="1" applyBorder="1" applyAlignment="1">
      <alignment horizontal="center" vertical="top"/>
    </xf>
    <xf numFmtId="0" fontId="3" fillId="0" borderId="0" xfId="0" applyFont="1"/>
    <xf numFmtId="0" fontId="0" fillId="0" borderId="0" xfId="0" applyFill="1" applyAlignment="1"/>
    <xf numFmtId="0" fontId="0" fillId="0" borderId="0" xfId="0" applyBorder="1"/>
    <xf numFmtId="0" fontId="0" fillId="0" borderId="0" xfId="0" applyFill="1" applyBorder="1"/>
    <xf numFmtId="0" fontId="0" fillId="0" borderId="9" xfId="0" applyBorder="1"/>
    <xf numFmtId="0" fontId="0" fillId="0" borderId="0" xfId="0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65" fontId="0" fillId="0" borderId="0" xfId="1" applyNumberFormat="1" applyFont="1" applyBorder="1"/>
    <xf numFmtId="165" fontId="0" fillId="0" borderId="2" xfId="1" applyNumberFormat="1" applyFont="1" applyBorder="1"/>
    <xf numFmtId="172" fontId="0" fillId="0" borderId="0" xfId="0" applyNumberFormat="1" applyAlignment="1">
      <alignment horizontal="center" vertical="center"/>
    </xf>
    <xf numFmtId="165" fontId="0" fillId="0" borderId="4" xfId="1" applyNumberFormat="1" applyFont="1" applyBorder="1"/>
    <xf numFmtId="165" fontId="0" fillId="0" borderId="2" xfId="1" applyNumberFormat="1" applyFont="1" applyBorder="1" applyAlignment="1">
      <alignment horizontal="center" vertical="center"/>
    </xf>
    <xf numFmtId="165" fontId="0" fillId="0" borderId="8" xfId="1" applyNumberFormat="1" applyFont="1" applyBorder="1"/>
    <xf numFmtId="165" fontId="0" fillId="0" borderId="10" xfId="1" applyNumberFormat="1" applyFont="1" applyBorder="1" applyAlignment="1">
      <alignment horizontal="center" vertical="center"/>
    </xf>
    <xf numFmtId="165" fontId="0" fillId="0" borderId="10" xfId="0" applyNumberForma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5</xdr:row>
      <xdr:rowOff>114300</xdr:rowOff>
    </xdr:from>
    <xdr:to>
      <xdr:col>3</xdr:col>
      <xdr:colOff>304800</xdr:colOff>
      <xdr:row>7</xdr:row>
      <xdr:rowOff>85725</xdr:rowOff>
    </xdr:to>
    <xdr:cxnSp macro="">
      <xdr:nvCxnSpPr>
        <xdr:cNvPr id="3" name="Straight Arrow Connector 2"/>
        <xdr:cNvCxnSpPr/>
      </xdr:nvCxnSpPr>
      <xdr:spPr>
        <a:xfrm>
          <a:off x="3095625" y="1066800"/>
          <a:ext cx="49530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5</xdr:row>
      <xdr:rowOff>142875</xdr:rowOff>
    </xdr:from>
    <xdr:to>
      <xdr:col>4</xdr:col>
      <xdr:colOff>361950</xdr:colOff>
      <xdr:row>8</xdr:row>
      <xdr:rowOff>123825</xdr:rowOff>
    </xdr:to>
    <xdr:cxnSp macro="">
      <xdr:nvCxnSpPr>
        <xdr:cNvPr id="4" name="Straight Arrow Connector 3"/>
        <xdr:cNvCxnSpPr/>
      </xdr:nvCxnSpPr>
      <xdr:spPr>
        <a:xfrm>
          <a:off x="2867025" y="1095375"/>
          <a:ext cx="1552575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1047750</xdr:colOff>
      <xdr:row>76</xdr:row>
      <xdr:rowOff>95250</xdr:rowOff>
    </xdr:from>
    <xdr:to>
      <xdr:col>9</xdr:col>
      <xdr:colOff>38100</xdr:colOff>
      <xdr:row>79</xdr:row>
      <xdr:rowOff>171450</xdr:rowOff>
    </xdr:to>
    <xdr:cxnSp macro="">
      <xdr:nvCxnSpPr>
        <xdr:cNvPr id="3" name="Straight Arrow Connector 2"/>
        <xdr:cNvCxnSpPr/>
      </xdr:nvCxnSpPr>
      <xdr:spPr>
        <a:xfrm>
          <a:off x="6991350" y="15163800"/>
          <a:ext cx="1295400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45"/>
  <sheetViews>
    <sheetView view="pageBreakPreview" zoomScale="91" zoomScaleNormal="100" zoomScaleSheetLayoutView="91" workbookViewId="0">
      <pane ySplit="3" topLeftCell="A19" activePane="bottomLeft" state="frozen"/>
      <selection pane="bottomLeft" activeCell="J38" sqref="J38"/>
    </sheetView>
  </sheetViews>
  <sheetFormatPr defaultRowHeight="15"/>
  <cols>
    <col min="1" max="1" width="29" bestFit="1" customWidth="1"/>
    <col min="2" max="2" width="0.85546875" customWidth="1"/>
    <col min="3" max="9" width="12.140625" bestFit="1" customWidth="1"/>
    <col min="10" max="14" width="12.28515625" bestFit="1" customWidth="1"/>
    <col min="15" max="15" width="13.28515625" bestFit="1" customWidth="1"/>
    <col min="16" max="16" width="14.7109375" bestFit="1" customWidth="1"/>
  </cols>
  <sheetData>
    <row r="3" spans="1:18">
      <c r="A3" s="1" t="s">
        <v>0</v>
      </c>
      <c r="C3" s="46" t="s">
        <v>4</v>
      </c>
      <c r="D3" s="46" t="s">
        <v>5</v>
      </c>
      <c r="E3" s="46" t="s">
        <v>16</v>
      </c>
      <c r="F3" s="46" t="s">
        <v>7</v>
      </c>
      <c r="G3" s="46" t="s">
        <v>8</v>
      </c>
      <c r="H3" s="46" t="s">
        <v>9</v>
      </c>
      <c r="I3" s="46" t="s">
        <v>10</v>
      </c>
      <c r="J3" s="46" t="s">
        <v>11</v>
      </c>
      <c r="K3" s="46" t="s">
        <v>12</v>
      </c>
      <c r="L3" s="46" t="s">
        <v>13</v>
      </c>
      <c r="M3" s="46" t="s">
        <v>14</v>
      </c>
      <c r="N3" s="46" t="s">
        <v>15</v>
      </c>
      <c r="O3" s="46" t="s">
        <v>31</v>
      </c>
      <c r="P3" s="31" t="s">
        <v>72</v>
      </c>
    </row>
    <row r="4" spans="1:18" ht="5.0999999999999996" customHeight="1">
      <c r="A4" s="40"/>
      <c r="P4" s="30"/>
    </row>
    <row r="5" spans="1:18">
      <c r="A5" t="s">
        <v>1</v>
      </c>
      <c r="C5" s="19">
        <f>+'SAles-Note(A)'!C10</f>
        <v>0</v>
      </c>
      <c r="D5" s="8">
        <f>+'SAles-Note(A)'!D10</f>
        <v>75565.006399999998</v>
      </c>
      <c r="E5" s="8">
        <f>+'SAles-Note(A)'!E10</f>
        <v>130821.70879999999</v>
      </c>
      <c r="F5" s="8">
        <f>+'SAles-Note(A)'!F10</f>
        <v>113567.572</v>
      </c>
      <c r="G5" s="8">
        <f>+'SAles-Note(A)'!G10</f>
        <v>111046.87359999999</v>
      </c>
      <c r="H5" s="8">
        <f>+'SAles-Note(A)'!H10</f>
        <v>117939.42799999999</v>
      </c>
      <c r="I5" s="8">
        <f>+'SAles-Note(A)'!I10</f>
        <v>136389.72</v>
      </c>
      <c r="J5" s="8">
        <f>+'SAles-Note(A)'!J10</f>
        <v>150683.15999999997</v>
      </c>
      <c r="K5" s="8">
        <f>+'SAles-Note(A)'!K10</f>
        <v>170309</v>
      </c>
      <c r="L5" s="8">
        <f>+'SAles-Note(A)'!L10</f>
        <v>244562.35199999998</v>
      </c>
      <c r="M5" s="8">
        <f>+'SAles-Note(A)'!M10</f>
        <v>225888.83999999997</v>
      </c>
      <c r="N5" s="8">
        <f>+'SAles-Note(A)'!N10</f>
        <v>149466.20799999998</v>
      </c>
      <c r="O5" s="52">
        <f>+SUM(C5:N5)</f>
        <v>1626239.8687999998</v>
      </c>
      <c r="P5" s="30" t="s">
        <v>122</v>
      </c>
    </row>
    <row r="6" spans="1:18">
      <c r="A6" t="s">
        <v>2</v>
      </c>
      <c r="C6" s="8">
        <f>+'SAles-Note(A)'!C5</f>
        <v>229448.4</v>
      </c>
      <c r="D6" s="8">
        <f>+'SAles-Note(A)'!D5</f>
        <v>178930.8</v>
      </c>
      <c r="E6" s="8">
        <f>+'SAles-Note(A)'!E5</f>
        <v>174603</v>
      </c>
      <c r="F6" s="8">
        <f>+'SAles-Note(A)'!F5</f>
        <v>171066.6</v>
      </c>
      <c r="G6" s="8">
        <f>+'SAles-Note(A)'!G5</f>
        <v>195360</v>
      </c>
      <c r="H6" s="8">
        <f>+'SAles-Note(A)'!H5</f>
        <v>228270</v>
      </c>
      <c r="I6" s="8">
        <f>+'SAles-Note(A)'!I5</f>
        <v>240360</v>
      </c>
      <c r="J6" s="8">
        <f>+'SAles-Note(A)'!J5</f>
        <v>288450</v>
      </c>
      <c r="K6" s="8">
        <f>+'SAles-Note(A)'!K5</f>
        <v>208072</v>
      </c>
      <c r="L6" s="8">
        <f>+'SAles-Note(A)'!L5</f>
        <v>240480</v>
      </c>
      <c r="M6" s="8">
        <f>+'SAles-Note(A)'!M5</f>
        <v>225048</v>
      </c>
      <c r="N6" s="8">
        <f>+'SAles-Note(A)'!N5</f>
        <v>204540</v>
      </c>
      <c r="O6" s="52">
        <f>+SUM(C6:N6)</f>
        <v>2584628.7999999998</v>
      </c>
      <c r="P6" s="30" t="s">
        <v>122</v>
      </c>
    </row>
    <row r="7" spans="1:18" ht="15.75" thickBot="1">
      <c r="A7" t="s">
        <v>84</v>
      </c>
      <c r="C7" s="51">
        <f>+SUM(C5:C6)</f>
        <v>229448.4</v>
      </c>
      <c r="D7" s="51">
        <f>+SUM(D5:D6)</f>
        <v>254495.8064</v>
      </c>
      <c r="E7" s="51">
        <f>+SUM(E5:E6)</f>
        <v>305424.70880000002</v>
      </c>
      <c r="F7" s="51">
        <f>+SUM(F5:F6)</f>
        <v>284634.17200000002</v>
      </c>
      <c r="G7" s="51">
        <f>+SUM(G5:G6)</f>
        <v>306406.87359999999</v>
      </c>
      <c r="H7" s="51">
        <f>+SUM(H5:H6)</f>
        <v>346209.42799999996</v>
      </c>
      <c r="I7" s="51">
        <f>+SUM(I5:I6)</f>
        <v>376749.72</v>
      </c>
      <c r="J7" s="51">
        <f>+SUM(J5:J6)</f>
        <v>439133.16</v>
      </c>
      <c r="K7" s="51">
        <f>+SUM(K5:K6)</f>
        <v>378381</v>
      </c>
      <c r="L7" s="51">
        <f>+SUM(L5:L6)</f>
        <v>485042.35199999996</v>
      </c>
      <c r="M7" s="51">
        <f>+SUM(M5:M6)</f>
        <v>450936.83999999997</v>
      </c>
      <c r="N7" s="51">
        <f>+SUM(N5:N6)</f>
        <v>354006.20799999998</v>
      </c>
      <c r="O7" s="53">
        <f>+O5+O6</f>
        <v>4210868.6688000001</v>
      </c>
      <c r="P7" s="30"/>
    </row>
    <row r="8" spans="1:18" s="41" customFormat="1" ht="15.75" thickTop="1">
      <c r="A8"/>
      <c r="B8"/>
      <c r="C8"/>
      <c r="D8"/>
      <c r="E8"/>
      <c r="F8"/>
      <c r="G8"/>
      <c r="H8"/>
      <c r="I8"/>
      <c r="J8"/>
      <c r="K8"/>
      <c r="L8"/>
      <c r="M8"/>
      <c r="N8"/>
      <c r="O8" s="30"/>
      <c r="P8" s="30"/>
      <c r="Q8"/>
      <c r="R8"/>
    </row>
    <row r="9" spans="1:18" s="41" customFormat="1">
      <c r="A9" s="1" t="s">
        <v>3</v>
      </c>
      <c r="B9"/>
      <c r="C9"/>
      <c r="D9"/>
      <c r="E9"/>
      <c r="F9"/>
      <c r="G9"/>
      <c r="H9"/>
      <c r="I9"/>
      <c r="J9"/>
      <c r="K9"/>
      <c r="L9"/>
      <c r="M9"/>
      <c r="N9"/>
      <c r="O9" s="30"/>
      <c r="P9" s="30"/>
      <c r="Q9"/>
      <c r="R9"/>
    </row>
    <row r="10" spans="1:18" ht="5.0999999999999996" customHeight="1">
      <c r="O10" s="30"/>
      <c r="P10" s="30"/>
    </row>
    <row r="11" spans="1:18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30"/>
      <c r="P11" s="30"/>
    </row>
    <row r="12" spans="1:18">
      <c r="A12" s="22" t="s">
        <v>26</v>
      </c>
      <c r="C12" s="6"/>
      <c r="D12" s="6"/>
      <c r="E12" s="6"/>
      <c r="F12" s="8">
        <f>30000*2</f>
        <v>60000</v>
      </c>
      <c r="G12" s="6"/>
      <c r="H12" s="6"/>
      <c r="I12" s="6"/>
      <c r="J12" s="6"/>
      <c r="K12" s="6"/>
      <c r="L12" s="6"/>
      <c r="M12" s="6"/>
      <c r="N12" s="6"/>
      <c r="O12" s="52">
        <f>+SUM(C12:N12)</f>
        <v>60000</v>
      </c>
      <c r="P12" s="30"/>
    </row>
    <row r="13" spans="1:18">
      <c r="A13" s="22" t="s">
        <v>27</v>
      </c>
      <c r="C13" s="6"/>
      <c r="D13" s="7">
        <f>75000/4</f>
        <v>18750</v>
      </c>
      <c r="E13" s="6"/>
      <c r="F13" s="6"/>
      <c r="G13" s="6">
        <f>+D13</f>
        <v>18750</v>
      </c>
      <c r="H13" s="6"/>
      <c r="I13" s="6"/>
      <c r="J13" s="6">
        <f>+G13</f>
        <v>18750</v>
      </c>
      <c r="K13" s="6"/>
      <c r="L13" s="6"/>
      <c r="M13" s="6">
        <f>+J13</f>
        <v>18750</v>
      </c>
      <c r="N13" s="6"/>
      <c r="O13" s="52">
        <f>+SUM(C13:N13)</f>
        <v>75000</v>
      </c>
      <c r="P13" s="30"/>
    </row>
    <row r="14" spans="1:18">
      <c r="A14" s="39" t="s">
        <v>28</v>
      </c>
      <c r="C14" s="6">
        <f>4000*1.45</f>
        <v>5800</v>
      </c>
      <c r="D14" s="6">
        <v>4000</v>
      </c>
      <c r="E14" s="6">
        <v>4000</v>
      </c>
      <c r="F14" s="6">
        <v>4000</v>
      </c>
      <c r="G14" s="6">
        <f>4000*1.45</f>
        <v>5800</v>
      </c>
      <c r="H14" s="6">
        <v>4000</v>
      </c>
      <c r="I14" s="6">
        <v>4000</v>
      </c>
      <c r="J14" s="6">
        <f>4000*1.45</f>
        <v>5800</v>
      </c>
      <c r="K14" s="6">
        <v>4000</v>
      </c>
      <c r="L14" s="6">
        <v>4000</v>
      </c>
      <c r="M14" s="6">
        <f>4000*1.45</f>
        <v>5800</v>
      </c>
      <c r="N14" s="6">
        <v>4000</v>
      </c>
      <c r="O14" s="52">
        <f t="shared" ref="O14:O31" si="0">+SUM(C14:N14)</f>
        <v>55200</v>
      </c>
      <c r="P14" s="30"/>
    </row>
    <row r="15" spans="1:18">
      <c r="A15" s="39" t="s">
        <v>29</v>
      </c>
      <c r="C15" s="6"/>
      <c r="D15" s="6">
        <f>+'Workings note(G-R)'!D4</f>
        <v>8166.666666666667</v>
      </c>
      <c r="E15" s="6">
        <f t="shared" ref="E15:N15" si="1">$D$15</f>
        <v>8166.666666666667</v>
      </c>
      <c r="F15" s="6">
        <f t="shared" si="1"/>
        <v>8166.666666666667</v>
      </c>
      <c r="G15" s="6">
        <f t="shared" si="1"/>
        <v>8166.666666666667</v>
      </c>
      <c r="H15" s="6">
        <f t="shared" si="1"/>
        <v>8166.666666666667</v>
      </c>
      <c r="I15" s="6">
        <f t="shared" si="1"/>
        <v>8166.666666666667</v>
      </c>
      <c r="J15" s="6">
        <f t="shared" si="1"/>
        <v>8166.666666666667</v>
      </c>
      <c r="K15" s="6">
        <f t="shared" si="1"/>
        <v>8166.666666666667</v>
      </c>
      <c r="L15" s="6">
        <f t="shared" si="1"/>
        <v>8166.666666666667</v>
      </c>
      <c r="M15" s="6">
        <f t="shared" si="1"/>
        <v>8166.666666666667</v>
      </c>
      <c r="N15" s="6">
        <f t="shared" si="1"/>
        <v>8166.666666666667</v>
      </c>
      <c r="O15" s="52">
        <f t="shared" si="0"/>
        <v>89833.333333333343</v>
      </c>
      <c r="P15" s="30" t="s">
        <v>103</v>
      </c>
    </row>
    <row r="16" spans="1:18">
      <c r="A16" s="39" t="s">
        <v>30</v>
      </c>
      <c r="C16" s="6"/>
      <c r="D16" s="6"/>
      <c r="E16" s="6">
        <f>+'Workings note(G-R)'!D8</f>
        <v>3000</v>
      </c>
      <c r="F16" s="6">
        <f t="shared" ref="F16:K16" si="2">$E$16</f>
        <v>3000</v>
      </c>
      <c r="G16" s="6">
        <f t="shared" si="2"/>
        <v>3000</v>
      </c>
      <c r="H16" s="6">
        <f t="shared" si="2"/>
        <v>3000</v>
      </c>
      <c r="I16" s="6">
        <f t="shared" si="2"/>
        <v>3000</v>
      </c>
      <c r="J16" s="6">
        <f t="shared" si="2"/>
        <v>3000</v>
      </c>
      <c r="K16" s="6">
        <f t="shared" si="2"/>
        <v>3000</v>
      </c>
      <c r="L16" s="6">
        <f>$K$16</f>
        <v>3000</v>
      </c>
      <c r="M16" s="6">
        <f>+'Workings note(G-R)'!D9</f>
        <v>5000</v>
      </c>
      <c r="N16" s="6">
        <f>$L$16</f>
        <v>3000</v>
      </c>
      <c r="O16" s="52">
        <f t="shared" si="0"/>
        <v>32000</v>
      </c>
      <c r="P16" s="30" t="s">
        <v>105</v>
      </c>
    </row>
    <row r="17" spans="1:16">
      <c r="A17" s="39" t="s">
        <v>32</v>
      </c>
      <c r="B17" t="s">
        <v>33</v>
      </c>
      <c r="C17" s="6">
        <f>+'Workings note(G-R)'!B16</f>
        <v>28000</v>
      </c>
      <c r="D17" s="6"/>
      <c r="E17" s="6"/>
      <c r="F17" s="6"/>
      <c r="G17" s="6">
        <f>+'Workings note(G-R)'!C16</f>
        <v>52000</v>
      </c>
      <c r="H17" s="6"/>
      <c r="I17" s="6"/>
      <c r="J17" s="6"/>
      <c r="K17" s="6"/>
      <c r="L17" s="6"/>
      <c r="M17" s="6"/>
      <c r="N17" s="6"/>
      <c r="O17" s="52">
        <f t="shared" si="0"/>
        <v>80000</v>
      </c>
      <c r="P17" s="30" t="s">
        <v>104</v>
      </c>
    </row>
    <row r="18" spans="1:16">
      <c r="A18" s="39" t="s">
        <v>39</v>
      </c>
      <c r="C18" s="6"/>
      <c r="D18" s="6"/>
      <c r="E18" s="6"/>
      <c r="F18" s="8"/>
      <c r="G18" s="8">
        <f>+'Workings note(G-R)'!E20</f>
        <v>2560</v>
      </c>
      <c r="H18" s="8"/>
      <c r="I18" s="8"/>
      <c r="J18" s="6">
        <f>+'Workings note(G-R)'!E22:E22</f>
        <v>7150</v>
      </c>
      <c r="K18" s="6"/>
      <c r="L18" s="8">
        <f>+'Workings note(G-R)'!E21</f>
        <v>2560</v>
      </c>
      <c r="M18" s="6"/>
      <c r="N18" s="6"/>
      <c r="O18" s="52">
        <f t="shared" si="0"/>
        <v>12270</v>
      </c>
      <c r="P18" s="30" t="s">
        <v>98</v>
      </c>
    </row>
    <row r="19" spans="1:16">
      <c r="A19" s="39" t="s">
        <v>42</v>
      </c>
      <c r="C19" s="6">
        <f>+'Workings note(G-R)'!E26</f>
        <v>26666.666666666668</v>
      </c>
      <c r="D19" s="6">
        <f>'Workings note(G-R)'!$E$26</f>
        <v>26666.666666666668</v>
      </c>
      <c r="E19" s="6">
        <f>'Workings note(G-R)'!$E$26</f>
        <v>26666.666666666668</v>
      </c>
      <c r="F19" s="6">
        <f>'Workings note(G-R)'!$E$26</f>
        <v>26666.666666666668</v>
      </c>
      <c r="G19" s="6">
        <f>'Workings note(G-R)'!$E$26</f>
        <v>26666.666666666668</v>
      </c>
      <c r="H19" s="6">
        <f>'Workings note(G-R)'!$E$26</f>
        <v>26666.666666666668</v>
      </c>
      <c r="I19" s="6">
        <f>'Workings note(G-R)'!$E$26</f>
        <v>26666.666666666668</v>
      </c>
      <c r="J19" s="6">
        <f>'Workings note(G-R)'!$E$26</f>
        <v>26666.666666666668</v>
      </c>
      <c r="K19" s="6">
        <f>'Workings note(G-R)'!$E$26</f>
        <v>26666.666666666668</v>
      </c>
      <c r="L19" s="6">
        <f>'Workings note(G-R)'!$E$26</f>
        <v>26666.666666666668</v>
      </c>
      <c r="M19" s="6">
        <f>'Workings note(G-R)'!$E$26</f>
        <v>26666.666666666668</v>
      </c>
      <c r="N19" s="6">
        <f>'Workings note(G-R)'!$E$26</f>
        <v>26666.666666666668</v>
      </c>
      <c r="O19" s="52">
        <f t="shared" si="0"/>
        <v>320000</v>
      </c>
      <c r="P19" s="30" t="s">
        <v>106</v>
      </c>
    </row>
    <row r="20" spans="1:16">
      <c r="A20" s="39" t="s">
        <v>43</v>
      </c>
      <c r="C20" s="6">
        <f>'Workings note(G-R)'!$E$29</f>
        <v>40000</v>
      </c>
      <c r="D20" s="6">
        <f>'Workings note(G-R)'!$E$29</f>
        <v>40000</v>
      </c>
      <c r="E20" s="6">
        <f>'Workings note(G-R)'!$E$29</f>
        <v>40000</v>
      </c>
      <c r="F20" s="6">
        <f>'Workings note(G-R)'!$E$29</f>
        <v>40000</v>
      </c>
      <c r="G20" s="6">
        <f>'Workings note(G-R)'!$E$29</f>
        <v>40000</v>
      </c>
      <c r="H20" s="6">
        <f>'Workings note(G-R)'!$E$29</f>
        <v>40000</v>
      </c>
      <c r="I20" s="6">
        <f>'Workings note(G-R)'!$E$29</f>
        <v>40000</v>
      </c>
      <c r="J20" s="6">
        <f>'Workings note(G-R)'!$E$29</f>
        <v>40000</v>
      </c>
      <c r="K20" s="6">
        <f>'Workings note(G-R)'!$E$29</f>
        <v>40000</v>
      </c>
      <c r="L20" s="6">
        <f>'Workings note(G-R)'!$E$29</f>
        <v>40000</v>
      </c>
      <c r="M20" s="6">
        <f>'Workings note(G-R)'!$E$29</f>
        <v>40000</v>
      </c>
      <c r="N20" s="6">
        <f>'Workings note(G-R)'!$E$29</f>
        <v>40000</v>
      </c>
      <c r="O20" s="52">
        <f t="shared" si="0"/>
        <v>480000</v>
      </c>
      <c r="P20" s="30" t="s">
        <v>106</v>
      </c>
    </row>
    <row r="21" spans="1:16">
      <c r="A21" s="39" t="s">
        <v>49</v>
      </c>
      <c r="C21" s="6">
        <f>+'Workings note(G-R)'!E32</f>
        <v>5500</v>
      </c>
      <c r="D21" s="6">
        <f t="shared" ref="D21:N21" si="3">$C$21</f>
        <v>5500</v>
      </c>
      <c r="E21" s="6">
        <f t="shared" si="3"/>
        <v>5500</v>
      </c>
      <c r="F21" s="6">
        <f t="shared" si="3"/>
        <v>5500</v>
      </c>
      <c r="G21" s="6">
        <f t="shared" si="3"/>
        <v>5500</v>
      </c>
      <c r="H21" s="6">
        <f t="shared" si="3"/>
        <v>5500</v>
      </c>
      <c r="I21" s="6">
        <f t="shared" si="3"/>
        <v>5500</v>
      </c>
      <c r="J21" s="6">
        <f t="shared" si="3"/>
        <v>5500</v>
      </c>
      <c r="K21" s="6">
        <f t="shared" si="3"/>
        <v>5500</v>
      </c>
      <c r="L21" s="6">
        <f t="shared" si="3"/>
        <v>5500</v>
      </c>
      <c r="M21" s="6">
        <f t="shared" si="3"/>
        <v>5500</v>
      </c>
      <c r="N21" s="6">
        <f t="shared" si="3"/>
        <v>5500</v>
      </c>
      <c r="O21" s="52">
        <f t="shared" si="0"/>
        <v>66000</v>
      </c>
      <c r="P21" s="30" t="s">
        <v>106</v>
      </c>
    </row>
    <row r="22" spans="1:16">
      <c r="A22" s="22" t="s">
        <v>51</v>
      </c>
      <c r="C22" s="6"/>
      <c r="D22" s="6"/>
      <c r="E22" s="6">
        <f>+'Workings note(G-R)'!D36</f>
        <v>30000</v>
      </c>
      <c r="F22" s="6"/>
      <c r="G22" s="6"/>
      <c r="H22" s="6">
        <f>$E$22</f>
        <v>30000</v>
      </c>
      <c r="I22" s="6"/>
      <c r="J22" s="6"/>
      <c r="K22" s="6">
        <f>$E$22</f>
        <v>30000</v>
      </c>
      <c r="L22" s="6"/>
      <c r="M22" s="6"/>
      <c r="N22" s="6">
        <f>120000/4</f>
        <v>30000</v>
      </c>
      <c r="O22" s="52">
        <f t="shared" si="0"/>
        <v>120000</v>
      </c>
      <c r="P22" s="30" t="s">
        <v>99</v>
      </c>
    </row>
    <row r="23" spans="1:16">
      <c r="A23" s="22" t="s">
        <v>59</v>
      </c>
      <c r="C23" s="6"/>
      <c r="D23" s="6"/>
      <c r="E23" s="6"/>
      <c r="F23" s="6">
        <f>+'Workings note(G-R)'!D40</f>
        <v>6250</v>
      </c>
      <c r="G23" s="6">
        <f t="shared" ref="G23:N23" si="4">$F$23</f>
        <v>6250</v>
      </c>
      <c r="H23" s="6">
        <f t="shared" si="4"/>
        <v>6250</v>
      </c>
      <c r="I23" s="6">
        <f t="shared" si="4"/>
        <v>6250</v>
      </c>
      <c r="J23" s="6">
        <f t="shared" si="4"/>
        <v>6250</v>
      </c>
      <c r="K23" s="6">
        <f t="shared" si="4"/>
        <v>6250</v>
      </c>
      <c r="L23" s="6">
        <f t="shared" si="4"/>
        <v>6250</v>
      </c>
      <c r="M23" s="6">
        <f t="shared" si="4"/>
        <v>6250</v>
      </c>
      <c r="N23" s="6">
        <f t="shared" si="4"/>
        <v>6250</v>
      </c>
      <c r="O23" s="52">
        <f t="shared" si="0"/>
        <v>56250</v>
      </c>
      <c r="P23" s="30" t="s">
        <v>101</v>
      </c>
    </row>
    <row r="24" spans="1:16">
      <c r="A24" s="22" t="s">
        <v>60</v>
      </c>
      <c r="C24" s="6"/>
      <c r="D24" s="6"/>
      <c r="E24" s="6">
        <v>25000</v>
      </c>
      <c r="F24" s="6"/>
      <c r="G24" s="6"/>
      <c r="H24" s="6"/>
      <c r="I24" s="6">
        <v>25000</v>
      </c>
      <c r="J24" s="6"/>
      <c r="K24" s="6"/>
      <c r="L24" s="6"/>
      <c r="M24" s="6">
        <v>25000</v>
      </c>
      <c r="N24" s="6"/>
      <c r="O24" s="52">
        <f t="shared" si="0"/>
        <v>75000</v>
      </c>
      <c r="P24" s="30" t="s">
        <v>68</v>
      </c>
    </row>
    <row r="25" spans="1:16">
      <c r="A25" s="22" t="s">
        <v>61</v>
      </c>
      <c r="C25" s="6"/>
      <c r="D25" s="6"/>
      <c r="E25" s="6">
        <v>779000</v>
      </c>
      <c r="F25" s="6"/>
      <c r="G25" s="6"/>
      <c r="H25" s="6"/>
      <c r="I25" s="6"/>
      <c r="J25" s="6"/>
      <c r="K25" s="6"/>
      <c r="L25" s="6"/>
      <c r="M25" s="6"/>
      <c r="N25" s="6"/>
      <c r="O25" s="52">
        <f t="shared" si="0"/>
        <v>779000</v>
      </c>
      <c r="P25" s="32" t="s">
        <v>22</v>
      </c>
    </row>
    <row r="26" spans="1:16">
      <c r="A26" s="22" t="s">
        <v>62</v>
      </c>
      <c r="C26" s="6">
        <f>+'Workings note(G-R)'!D47</f>
        <v>50000</v>
      </c>
      <c r="D26" s="6"/>
      <c r="E26" s="6">
        <f>$C$26</f>
        <v>50000</v>
      </c>
      <c r="F26" s="6"/>
      <c r="G26" s="6">
        <f>$E$26</f>
        <v>50000</v>
      </c>
      <c r="H26" s="6"/>
      <c r="I26" s="6"/>
      <c r="J26" s="6"/>
      <c r="K26" s="6"/>
      <c r="L26" s="6"/>
      <c r="M26" s="6"/>
      <c r="N26" s="6"/>
      <c r="O26" s="52">
        <f t="shared" si="0"/>
        <v>150000</v>
      </c>
      <c r="P26" s="30" t="s">
        <v>71</v>
      </c>
    </row>
    <row r="27" spans="1:16">
      <c r="A27" s="22" t="s">
        <v>63</v>
      </c>
      <c r="C27" s="6"/>
      <c r="D27" s="6"/>
      <c r="E27" s="6">
        <f>+'Workings note(G-R)'!D52</f>
        <v>1100</v>
      </c>
      <c r="F27" s="6">
        <f t="shared" ref="F27:N27" si="5">$E$27</f>
        <v>1100</v>
      </c>
      <c r="G27" s="6">
        <f t="shared" si="5"/>
        <v>1100</v>
      </c>
      <c r="H27" s="6">
        <f t="shared" si="5"/>
        <v>1100</v>
      </c>
      <c r="I27" s="6">
        <f t="shared" si="5"/>
        <v>1100</v>
      </c>
      <c r="J27" s="6">
        <f t="shared" si="5"/>
        <v>1100</v>
      </c>
      <c r="K27" s="6">
        <f t="shared" si="5"/>
        <v>1100</v>
      </c>
      <c r="L27" s="6">
        <f t="shared" si="5"/>
        <v>1100</v>
      </c>
      <c r="M27" s="6">
        <f t="shared" si="5"/>
        <v>1100</v>
      </c>
      <c r="N27" s="6">
        <f t="shared" si="5"/>
        <v>1100</v>
      </c>
      <c r="O27" s="52">
        <f t="shared" si="0"/>
        <v>11000</v>
      </c>
      <c r="P27" s="30" t="s">
        <v>71</v>
      </c>
    </row>
    <row r="28" spans="1:16">
      <c r="A28" s="22" t="s">
        <v>77</v>
      </c>
      <c r="C28" s="6"/>
      <c r="D28" s="6"/>
      <c r="E28" s="6"/>
      <c r="F28" s="6"/>
      <c r="G28" s="6"/>
      <c r="H28" s="6"/>
      <c r="I28" s="6"/>
      <c r="J28" s="6"/>
      <c r="K28" s="6">
        <f>+'Workings note(G-R)'!D57</f>
        <v>37500</v>
      </c>
      <c r="L28" s="6">
        <f t="shared" ref="L28:N28" si="6">$K$28</f>
        <v>37500</v>
      </c>
      <c r="M28" s="6">
        <f t="shared" si="6"/>
        <v>37500</v>
      </c>
      <c r="N28" s="6">
        <f t="shared" si="6"/>
        <v>37500</v>
      </c>
      <c r="O28" s="52">
        <f t="shared" si="0"/>
        <v>150000</v>
      </c>
      <c r="P28" s="30" t="s">
        <v>80</v>
      </c>
    </row>
    <row r="29" spans="1:16">
      <c r="A29" s="22" t="s">
        <v>81</v>
      </c>
      <c r="C29" s="6"/>
      <c r="D29" s="6"/>
      <c r="E29" s="6"/>
      <c r="F29" s="6"/>
      <c r="G29" s="6"/>
      <c r="H29" s="6"/>
      <c r="I29" s="6"/>
      <c r="J29" s="6">
        <f>+'Workings note(G-R)'!D62</f>
        <v>109200</v>
      </c>
      <c r="K29" s="6">
        <f t="shared" ref="K29:N29" si="7">$J$29</f>
        <v>109200</v>
      </c>
      <c r="L29" s="6">
        <f t="shared" si="7"/>
        <v>109200</v>
      </c>
      <c r="M29" s="6">
        <f t="shared" si="7"/>
        <v>109200</v>
      </c>
      <c r="N29" s="6">
        <f t="shared" si="7"/>
        <v>109200</v>
      </c>
      <c r="O29" s="52">
        <f t="shared" si="0"/>
        <v>546000</v>
      </c>
      <c r="P29" s="30" t="s">
        <v>80</v>
      </c>
    </row>
    <row r="30" spans="1:16">
      <c r="A30" s="22" t="s">
        <v>64</v>
      </c>
      <c r="C30" s="6">
        <f>72000/12</f>
        <v>6000</v>
      </c>
      <c r="D30" s="6">
        <f t="shared" ref="D30:N30" si="8">$C$30</f>
        <v>6000</v>
      </c>
      <c r="E30" s="6">
        <f t="shared" si="8"/>
        <v>6000</v>
      </c>
      <c r="F30" s="6">
        <f t="shared" si="8"/>
        <v>6000</v>
      </c>
      <c r="G30" s="6">
        <f t="shared" si="8"/>
        <v>6000</v>
      </c>
      <c r="H30" s="6">
        <f t="shared" si="8"/>
        <v>6000</v>
      </c>
      <c r="I30" s="6">
        <f t="shared" si="8"/>
        <v>6000</v>
      </c>
      <c r="J30" s="6">
        <f t="shared" si="8"/>
        <v>6000</v>
      </c>
      <c r="K30" s="6">
        <f t="shared" si="8"/>
        <v>6000</v>
      </c>
      <c r="L30" s="6">
        <f t="shared" si="8"/>
        <v>6000</v>
      </c>
      <c r="M30" s="6">
        <f t="shared" si="8"/>
        <v>6000</v>
      </c>
      <c r="N30" s="6">
        <f t="shared" si="8"/>
        <v>6000</v>
      </c>
      <c r="O30" s="52">
        <f t="shared" si="0"/>
        <v>72000</v>
      </c>
      <c r="P30" s="32" t="s">
        <v>22</v>
      </c>
    </row>
    <row r="31" spans="1:16">
      <c r="A31" s="22" t="s">
        <v>65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>
        <v>10000</v>
      </c>
      <c r="N31" s="6"/>
      <c r="O31" s="52">
        <f t="shared" si="0"/>
        <v>10000</v>
      </c>
      <c r="P31" s="32" t="s">
        <v>22</v>
      </c>
    </row>
    <row r="32" spans="1:16" ht="15.75" thickBot="1">
      <c r="A32" s="9" t="s">
        <v>107</v>
      </c>
      <c r="C32" s="48">
        <f>+SUM(C12:C31)</f>
        <v>161966.66666666669</v>
      </c>
      <c r="D32" s="48">
        <f>+SUM(D12:D31)</f>
        <v>109083.33333333334</v>
      </c>
      <c r="E32" s="48">
        <f>+SUM(E12:E31)</f>
        <v>978433.33333333337</v>
      </c>
      <c r="F32" s="48">
        <f>+SUM(F12:F31)</f>
        <v>160683.33333333334</v>
      </c>
      <c r="G32" s="48">
        <f>+SUM(G12:G31)</f>
        <v>225793.33333333334</v>
      </c>
      <c r="H32" s="48">
        <f>+SUM(H12:H31)</f>
        <v>130683.33333333334</v>
      </c>
      <c r="I32" s="48">
        <f>+SUM(I12:I31)</f>
        <v>125683.33333333334</v>
      </c>
      <c r="J32" s="48">
        <f>+SUM(J12:J31)</f>
        <v>237583.33333333334</v>
      </c>
      <c r="K32" s="48">
        <f>+SUM(K12:K31)</f>
        <v>277383.33333333337</v>
      </c>
      <c r="L32" s="48">
        <f>+SUM(L12:L31)</f>
        <v>249943.33333333334</v>
      </c>
      <c r="M32" s="48">
        <f>+SUM(M12:M31)</f>
        <v>304933.33333333337</v>
      </c>
      <c r="N32" s="48">
        <f>+SUM(N12:N31)</f>
        <v>277383.33333333337</v>
      </c>
      <c r="O32" s="54">
        <f>+SUM(C32:N32)</f>
        <v>3239553.333333334</v>
      </c>
      <c r="P32" s="30"/>
    </row>
    <row r="33" spans="1:16" ht="15.75" thickTop="1">
      <c r="A33" s="9" t="s">
        <v>108</v>
      </c>
      <c r="C33" s="47">
        <f>+C7-C32</f>
        <v>67481.733333333308</v>
      </c>
      <c r="D33" s="47">
        <f>+D7-D32</f>
        <v>145412.47306666666</v>
      </c>
      <c r="E33" s="47">
        <f>+E7-E32</f>
        <v>-673008.62453333335</v>
      </c>
      <c r="F33" s="47">
        <f>+F7-F32</f>
        <v>123950.83866666668</v>
      </c>
      <c r="G33" s="47">
        <f>+G7-G32</f>
        <v>80613.540266666649</v>
      </c>
      <c r="H33" s="47">
        <f>+H7-H32</f>
        <v>215526.09466666661</v>
      </c>
      <c r="I33" s="47">
        <f>+I7-I32</f>
        <v>251066.38666666663</v>
      </c>
      <c r="J33" s="47">
        <f>+J7-J32</f>
        <v>201549.82666666663</v>
      </c>
      <c r="K33" s="47">
        <f>+K7-K32</f>
        <v>100997.66666666663</v>
      </c>
      <c r="L33" s="47">
        <f>+L7-L32</f>
        <v>235099.01866666661</v>
      </c>
      <c r="M33" s="47">
        <f>+M7-M32</f>
        <v>146003.5066666666</v>
      </c>
      <c r="N33" s="47">
        <f>+N7-N32</f>
        <v>76622.874666666612</v>
      </c>
      <c r="O33" s="30"/>
      <c r="P33" s="30"/>
    </row>
    <row r="34" spans="1:16">
      <c r="A34" s="22" t="s">
        <v>109</v>
      </c>
      <c r="C34" s="47">
        <v>318000</v>
      </c>
      <c r="D34" s="47">
        <f>+C37</f>
        <v>385481.73333333328</v>
      </c>
      <c r="E34" s="47">
        <f>+D37</f>
        <v>531729.41682222218</v>
      </c>
      <c r="F34" s="47">
        <f>+E37</f>
        <v>-140127.12730799636</v>
      </c>
      <c r="G34" s="47">
        <f>+F37</f>
        <v>-16853.569756651661</v>
      </c>
      <c r="H34" s="47">
        <f>+G37</f>
        <v>63678.511589524504</v>
      </c>
      <c r="I34" s="47">
        <f>+H37</f>
        <v>279342.57636463508</v>
      </c>
      <c r="J34" s="47">
        <f>+I37</f>
        <v>531014.20528009173</v>
      </c>
      <c r="K34" s="47">
        <f>+J37</f>
        <v>733714.56272486527</v>
      </c>
      <c r="L34" s="47">
        <f>+K37</f>
        <v>836301.94427743577</v>
      </c>
      <c r="M34" s="47">
        <f>+L37</f>
        <v>1073212.950490037</v>
      </c>
      <c r="N34" s="47">
        <f>+M37</f>
        <v>1221541.7518827652</v>
      </c>
      <c r="O34" s="30"/>
      <c r="P34" s="30"/>
    </row>
    <row r="35" spans="1:16">
      <c r="A35" t="s">
        <v>83</v>
      </c>
      <c r="C35" s="47">
        <v>0</v>
      </c>
      <c r="D35" s="47">
        <f>+'Workings note(G-R)'!G66</f>
        <v>835.21042222222206</v>
      </c>
      <c r="E35" s="47">
        <f>'Workings note(G-R)'!$G$67</f>
        <v>1152.0804031148148</v>
      </c>
      <c r="F35" s="47">
        <v>0</v>
      </c>
      <c r="G35" s="47">
        <v>0</v>
      </c>
      <c r="H35" s="47">
        <f>+'Workings note(G-R)'!G70</f>
        <v>137.97010844396976</v>
      </c>
      <c r="I35" s="47">
        <f>'Workings note(G-R)'!$G$71</f>
        <v>605.24224879004271</v>
      </c>
      <c r="J35" s="47">
        <f>'Workings note(G-R)'!$G$72</f>
        <v>1150.5307781068652</v>
      </c>
      <c r="K35" s="47">
        <f>+'Workings note(G-R)'!G73</f>
        <v>1589.7148859038746</v>
      </c>
      <c r="L35" s="47">
        <f>'Workings note(G-R)'!$G$74</f>
        <v>1811.9875459344441</v>
      </c>
      <c r="M35" s="47">
        <f>+'Workings note(G-R)'!G75</f>
        <v>2325.2947260617461</v>
      </c>
      <c r="N35" s="47">
        <f>'Workings note(G-R)'!$G$76</f>
        <v>2646.6737957459918</v>
      </c>
      <c r="O35" s="30"/>
      <c r="P35" s="30"/>
    </row>
    <row r="36" spans="1:16">
      <c r="A36" t="s">
        <v>117</v>
      </c>
      <c r="C36" s="5">
        <v>0</v>
      </c>
      <c r="D36" s="5">
        <v>0</v>
      </c>
      <c r="E36" s="5">
        <v>0</v>
      </c>
      <c r="F36" s="6">
        <f>'Workings note(G-R)'!$F$68</f>
        <v>-677.28111532198261</v>
      </c>
      <c r="G36" s="6">
        <f>'Workings note(G-R)'!$F$69</f>
        <v>-81.458920490483038</v>
      </c>
      <c r="H36" s="5">
        <v>0</v>
      </c>
      <c r="I36" s="5">
        <v>0</v>
      </c>
      <c r="J36" s="5">
        <v>0</v>
      </c>
      <c r="K36" s="5">
        <v>0</v>
      </c>
      <c r="L36" s="6"/>
      <c r="O36" s="30"/>
      <c r="P36" s="30"/>
    </row>
    <row r="37" spans="1:16" ht="15.75" thickBot="1">
      <c r="A37" t="s">
        <v>118</v>
      </c>
      <c r="C37" s="16">
        <f>+SUM(C33:C36)</f>
        <v>385481.73333333328</v>
      </c>
      <c r="D37" s="16">
        <f>+SUM(D33:D36)</f>
        <v>531729.41682222218</v>
      </c>
      <c r="E37" s="16">
        <f>+SUM(E33:E36)</f>
        <v>-140127.12730799636</v>
      </c>
      <c r="F37" s="16">
        <f>+SUM(F33:F36)</f>
        <v>-16853.569756651661</v>
      </c>
      <c r="G37" s="16">
        <f>+SUM(G33:G36)</f>
        <v>63678.511589524504</v>
      </c>
      <c r="H37" s="16">
        <f>+SUM(H33:H36)</f>
        <v>279342.57636463508</v>
      </c>
      <c r="I37" s="16">
        <f>+SUM(I33:I36)</f>
        <v>531014.20528009173</v>
      </c>
      <c r="J37" s="16">
        <f>+SUM(J33:J36)</f>
        <v>733714.56272486527</v>
      </c>
      <c r="K37" s="16">
        <f>+SUM(K33:K36)</f>
        <v>836301.94427743577</v>
      </c>
      <c r="L37" s="16">
        <f>+SUM(L33:L36)</f>
        <v>1073212.950490037</v>
      </c>
      <c r="M37" s="16">
        <f>+SUM(M33:M36)</f>
        <v>1221541.7518827652</v>
      </c>
      <c r="N37" s="16">
        <f>+SUM(N33:N36)</f>
        <v>1300811.3003451778</v>
      </c>
      <c r="O37" s="30"/>
      <c r="P37" s="30"/>
    </row>
    <row r="38" spans="1:16" ht="15.75" thickTop="1">
      <c r="P38" s="30"/>
    </row>
    <row r="39" spans="1:16">
      <c r="A39">
        <v>1</v>
      </c>
      <c r="P39" s="30"/>
    </row>
    <row r="40" spans="1:16">
      <c r="P40" s="30"/>
    </row>
    <row r="41" spans="1:16">
      <c r="P41" s="30"/>
    </row>
    <row r="42" spans="1:16">
      <c r="P42" s="30"/>
    </row>
    <row r="43" spans="1:16">
      <c r="P43" s="30"/>
    </row>
    <row r="44" spans="1:16">
      <c r="P44" s="30"/>
    </row>
    <row r="45" spans="1:16">
      <c r="P45" s="30"/>
    </row>
  </sheetData>
  <pageMargins left="0.7" right="0.7" top="0.75" bottom="0.75" header="0.3" footer="0.3"/>
  <pageSetup scale="4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N11"/>
  <sheetViews>
    <sheetView tabSelected="1" view="pageBreakPreview" topLeftCell="A2" zoomScaleNormal="100" zoomScaleSheetLayoutView="100" workbookViewId="0">
      <selection activeCell="E15" sqref="E15"/>
    </sheetView>
  </sheetViews>
  <sheetFormatPr defaultRowHeight="15"/>
  <cols>
    <col min="1" max="1" width="28.5703125" bestFit="1" customWidth="1"/>
    <col min="3" max="14" width="11.5703125" bestFit="1" customWidth="1"/>
  </cols>
  <sheetData>
    <row r="2" spans="1:14">
      <c r="A2" s="23" t="s">
        <v>102</v>
      </c>
    </row>
    <row r="3" spans="1:14">
      <c r="C3" s="3" t="s">
        <v>4</v>
      </c>
      <c r="D3" s="3" t="s">
        <v>17</v>
      </c>
      <c r="E3" s="3" t="s">
        <v>16</v>
      </c>
      <c r="F3" s="3" t="s">
        <v>7</v>
      </c>
      <c r="G3" s="3" t="s">
        <v>18</v>
      </c>
      <c r="H3" s="3" t="s">
        <v>9</v>
      </c>
      <c r="I3" s="3" t="s">
        <v>19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</row>
    <row r="4" spans="1:14">
      <c r="A4" t="s">
        <v>23</v>
      </c>
      <c r="C4" s="8">
        <v>382414</v>
      </c>
      <c r="D4" s="8">
        <v>298218</v>
      </c>
      <c r="E4" s="8">
        <v>291005</v>
      </c>
      <c r="F4" s="8">
        <v>285111</v>
      </c>
      <c r="G4" s="8">
        <v>325600</v>
      </c>
      <c r="H4" s="8">
        <v>380450</v>
      </c>
      <c r="I4" s="8">
        <v>400600</v>
      </c>
      <c r="J4" s="8">
        <v>480750</v>
      </c>
      <c r="K4" s="8">
        <v>520180</v>
      </c>
      <c r="L4" s="8">
        <v>400800</v>
      </c>
      <c r="M4" s="8">
        <v>375080</v>
      </c>
      <c r="N4" s="8">
        <v>340900</v>
      </c>
    </row>
    <row r="5" spans="1:14">
      <c r="A5" s="9" t="s">
        <v>24</v>
      </c>
      <c r="C5" s="20">
        <v>229448.4</v>
      </c>
      <c r="D5" s="20">
        <v>178930.8</v>
      </c>
      <c r="E5" s="20">
        <v>174603</v>
      </c>
      <c r="F5" s="20">
        <v>171066.6</v>
      </c>
      <c r="G5" s="20">
        <v>195360</v>
      </c>
      <c r="H5" s="20">
        <v>228270</v>
      </c>
      <c r="I5" s="20">
        <v>240360</v>
      </c>
      <c r="J5" s="20">
        <v>288450</v>
      </c>
      <c r="K5" s="20">
        <v>208072</v>
      </c>
      <c r="L5" s="20">
        <v>240480</v>
      </c>
      <c r="M5" s="20">
        <v>225048</v>
      </c>
      <c r="N5" s="20">
        <v>204540</v>
      </c>
    </row>
    <row r="6" spans="1:14">
      <c r="A6" t="s">
        <v>25</v>
      </c>
      <c r="C6" s="10">
        <f>+C4-C5</f>
        <v>152965.6</v>
      </c>
      <c r="D6" s="10">
        <f t="shared" ref="D6:N6" si="0">+D4-D5</f>
        <v>119287.20000000001</v>
      </c>
      <c r="E6" s="10">
        <f t="shared" si="0"/>
        <v>116402</v>
      </c>
      <c r="F6" s="10">
        <f t="shared" si="0"/>
        <v>114044.4</v>
      </c>
      <c r="G6" s="10">
        <f t="shared" si="0"/>
        <v>130240</v>
      </c>
      <c r="H6" s="10">
        <f t="shared" si="0"/>
        <v>152180</v>
      </c>
      <c r="I6" s="10">
        <f t="shared" si="0"/>
        <v>160240</v>
      </c>
      <c r="J6" s="10">
        <f t="shared" si="0"/>
        <v>192300</v>
      </c>
      <c r="K6" s="10">
        <f t="shared" si="0"/>
        <v>312108</v>
      </c>
      <c r="L6" s="10">
        <f t="shared" si="0"/>
        <v>160320</v>
      </c>
      <c r="M6" s="10">
        <f t="shared" si="0"/>
        <v>150032</v>
      </c>
      <c r="N6" s="10">
        <f t="shared" si="0"/>
        <v>136360</v>
      </c>
    </row>
    <row r="7" spans="1:14" ht="5.0999999999999996" customHeight="1"/>
    <row r="8" spans="1:14" ht="30">
      <c r="A8" s="13" t="s">
        <v>21</v>
      </c>
      <c r="C8" s="18">
        <v>0</v>
      </c>
      <c r="D8" s="14">
        <f>+C6*0.52*0.95</f>
        <v>75565.006399999998</v>
      </c>
      <c r="E8" s="8">
        <f>+D6*0.52*0.95</f>
        <v>58927.876799999998</v>
      </c>
      <c r="F8" s="8">
        <f>+E6*0.52*0.95</f>
        <v>57502.587999999996</v>
      </c>
      <c r="G8" s="8">
        <f>+F6*0.52*0.95</f>
        <v>56337.933599999997</v>
      </c>
      <c r="H8" s="8">
        <f>+G6*0.52*0.95</f>
        <v>64338.559999999998</v>
      </c>
      <c r="I8" s="8">
        <f>+H6*0.52*0.95</f>
        <v>75176.92</v>
      </c>
      <c r="J8" s="8">
        <f>+I6*0.52*0.95</f>
        <v>79158.559999999998</v>
      </c>
      <c r="K8" s="8">
        <f>+J6*0.52*0.95</f>
        <v>94996.2</v>
      </c>
      <c r="L8" s="8">
        <f>+K6*0.52*0.95</f>
        <v>154181.35199999998</v>
      </c>
      <c r="M8" s="8">
        <f>+L6*0.52*0.95</f>
        <v>79198.080000000002</v>
      </c>
      <c r="N8" s="8">
        <f>+M6*0.52*0.95</f>
        <v>74115.80799999999</v>
      </c>
    </row>
    <row r="9" spans="1:14">
      <c r="A9" s="12" t="s">
        <v>20</v>
      </c>
      <c r="C9" s="18">
        <v>0</v>
      </c>
      <c r="D9" s="18">
        <v>0</v>
      </c>
      <c r="E9" s="8">
        <f>+C6*0.47</f>
        <v>71893.831999999995</v>
      </c>
      <c r="F9" s="8">
        <f>+D6*0.47</f>
        <v>56064.984000000004</v>
      </c>
      <c r="G9" s="8">
        <f>+E6*0.47</f>
        <v>54708.939999999995</v>
      </c>
      <c r="H9" s="8">
        <f>+F6*0.47</f>
        <v>53600.867999999995</v>
      </c>
      <c r="I9" s="8">
        <f>+G6*0.47</f>
        <v>61212.799999999996</v>
      </c>
      <c r="J9" s="8">
        <f>+H6*0.47</f>
        <v>71524.599999999991</v>
      </c>
      <c r="K9" s="8">
        <f>+I6*0.47</f>
        <v>75312.800000000003</v>
      </c>
      <c r="L9" s="8">
        <f>+J6*0.47</f>
        <v>90381</v>
      </c>
      <c r="M9" s="8">
        <f>+K6*0.47</f>
        <v>146690.75999999998</v>
      </c>
      <c r="N9" s="8">
        <f>+L6*0.47</f>
        <v>75350.399999999994</v>
      </c>
    </row>
    <row r="10" spans="1:14" ht="15.75" thickBot="1">
      <c r="C10" s="21">
        <f>+C8+C9</f>
        <v>0</v>
      </c>
      <c r="D10" s="21">
        <f t="shared" ref="D10:N10" si="1">+D8+D9</f>
        <v>75565.006399999998</v>
      </c>
      <c r="E10" s="21">
        <f t="shared" si="1"/>
        <v>130821.70879999999</v>
      </c>
      <c r="F10" s="21">
        <f t="shared" si="1"/>
        <v>113567.572</v>
      </c>
      <c r="G10" s="21">
        <f t="shared" si="1"/>
        <v>111046.87359999999</v>
      </c>
      <c r="H10" s="21">
        <f t="shared" si="1"/>
        <v>117939.42799999999</v>
      </c>
      <c r="I10" s="21">
        <f t="shared" si="1"/>
        <v>136389.72</v>
      </c>
      <c r="J10" s="21">
        <f t="shared" si="1"/>
        <v>150683.15999999997</v>
      </c>
      <c r="K10" s="21">
        <f t="shared" si="1"/>
        <v>170309</v>
      </c>
      <c r="L10" s="21">
        <f t="shared" si="1"/>
        <v>244562.35199999998</v>
      </c>
      <c r="M10" s="21">
        <f t="shared" si="1"/>
        <v>225888.83999999997</v>
      </c>
      <c r="N10" s="21">
        <f t="shared" si="1"/>
        <v>149466.20799999998</v>
      </c>
    </row>
    <row r="11" spans="1:14" ht="15.75" thickTop="1">
      <c r="C11" s="17">
        <f>+C5+C10</f>
        <v>229448.4</v>
      </c>
      <c r="D11" s="17">
        <f t="shared" ref="D11:N11" si="2">+D5+D10</f>
        <v>254495.8064</v>
      </c>
      <c r="E11" s="17">
        <f t="shared" si="2"/>
        <v>305424.70880000002</v>
      </c>
      <c r="F11" s="17">
        <f t="shared" si="2"/>
        <v>284634.17200000002</v>
      </c>
      <c r="G11" s="17">
        <f t="shared" si="2"/>
        <v>306406.87359999999</v>
      </c>
      <c r="H11" s="17">
        <f t="shared" si="2"/>
        <v>346209.42799999996</v>
      </c>
      <c r="I11" s="17">
        <f t="shared" si="2"/>
        <v>376749.72</v>
      </c>
      <c r="J11" s="17">
        <f t="shared" si="2"/>
        <v>439133.16</v>
      </c>
      <c r="K11" s="17">
        <f t="shared" si="2"/>
        <v>378381</v>
      </c>
      <c r="L11" s="17">
        <f t="shared" si="2"/>
        <v>485042.35199999996</v>
      </c>
      <c r="M11" s="17">
        <f t="shared" si="2"/>
        <v>450936.83999999997</v>
      </c>
      <c r="N11" s="17">
        <f t="shared" si="2"/>
        <v>354006.20799999998</v>
      </c>
    </row>
  </sheetData>
  <pageMargins left="0.7" right="0.7" top="0.75" bottom="0.75" header="0.3" footer="0.3"/>
  <pageSetup scale="46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J81"/>
  <sheetViews>
    <sheetView workbookViewId="0">
      <selection activeCell="L81" sqref="L81"/>
    </sheetView>
  </sheetViews>
  <sheetFormatPr defaultRowHeight="15"/>
  <cols>
    <col min="2" max="2" width="14.140625" bestFit="1" customWidth="1"/>
    <col min="3" max="3" width="20.7109375" customWidth="1"/>
    <col min="4" max="4" width="16.5703125" bestFit="1" customWidth="1"/>
    <col min="5" max="5" width="11.5703125" bestFit="1" customWidth="1"/>
    <col min="6" max="6" width="17" bestFit="1" customWidth="1"/>
    <col min="7" max="7" width="16.28515625" bestFit="1" customWidth="1"/>
  </cols>
  <sheetData>
    <row r="2" spans="1:4">
      <c r="A2" t="s">
        <v>85</v>
      </c>
      <c r="B2" s="23" t="s">
        <v>86</v>
      </c>
    </row>
    <row r="3" spans="1:4">
      <c r="B3" t="s">
        <v>96</v>
      </c>
    </row>
    <row r="4" spans="1:4">
      <c r="B4">
        <v>98000</v>
      </c>
      <c r="C4">
        <v>12</v>
      </c>
      <c r="D4" s="6">
        <f>+B4/C4</f>
        <v>8166.666666666667</v>
      </c>
    </row>
    <row r="6" spans="1:4">
      <c r="A6" t="s">
        <v>87</v>
      </c>
      <c r="B6" s="23" t="s">
        <v>88</v>
      </c>
      <c r="C6" s="24"/>
    </row>
    <row r="7" spans="1:4">
      <c r="B7" s="43" t="s">
        <v>89</v>
      </c>
      <c r="C7" t="s">
        <v>93</v>
      </c>
      <c r="D7" t="s">
        <v>92</v>
      </c>
    </row>
    <row r="8" spans="1:4" ht="60">
      <c r="B8" s="45" t="s">
        <v>90</v>
      </c>
      <c r="C8" s="44" t="s">
        <v>94</v>
      </c>
      <c r="D8" s="3">
        <v>3000</v>
      </c>
    </row>
    <row r="9" spans="1:4">
      <c r="B9" s="42" t="s">
        <v>91</v>
      </c>
      <c r="C9" s="3" t="s">
        <v>12</v>
      </c>
      <c r="D9" s="3">
        <v>5000</v>
      </c>
    </row>
    <row r="10" spans="1:4">
      <c r="B10" t="s">
        <v>95</v>
      </c>
    </row>
    <row r="11" spans="1:4">
      <c r="B11" t="s">
        <v>97</v>
      </c>
    </row>
    <row r="13" spans="1:4">
      <c r="A13" t="s">
        <v>35</v>
      </c>
      <c r="B13" s="23" t="str">
        <f>+Sheet1!A17</f>
        <v>Land</v>
      </c>
      <c r="C13" s="25">
        <v>80000</v>
      </c>
    </row>
    <row r="14" spans="1:4">
      <c r="B14" s="3" t="s">
        <v>34</v>
      </c>
      <c r="C14" s="3" t="s">
        <v>8</v>
      </c>
    </row>
    <row r="15" spans="1:4">
      <c r="B15" s="11">
        <v>0.35</v>
      </c>
      <c r="C15" s="11">
        <v>0.65</v>
      </c>
    </row>
    <row r="16" spans="1:4" ht="15.75" thickBot="1">
      <c r="B16" s="26">
        <f>+B15*C13</f>
        <v>28000</v>
      </c>
      <c r="C16" s="26">
        <f>+C15*C13</f>
        <v>52000</v>
      </c>
    </row>
    <row r="17" spans="1:5" ht="15.75" thickTop="1"/>
    <row r="18" spans="1:5">
      <c r="A18" t="s">
        <v>36</v>
      </c>
      <c r="B18" s="23" t="s">
        <v>50</v>
      </c>
      <c r="C18" s="24"/>
    </row>
    <row r="19" spans="1:5">
      <c r="C19" s="2" t="s">
        <v>37</v>
      </c>
      <c r="D19" s="2" t="s">
        <v>38</v>
      </c>
    </row>
    <row r="20" spans="1:5">
      <c r="B20" s="2" t="s">
        <v>8</v>
      </c>
      <c r="C20" s="3">
        <v>80</v>
      </c>
      <c r="D20" s="3">
        <v>32</v>
      </c>
      <c r="E20">
        <f>+C20*D20</f>
        <v>2560</v>
      </c>
    </row>
    <row r="21" spans="1:5">
      <c r="B21" s="27" t="s">
        <v>40</v>
      </c>
      <c r="C21" s="3">
        <v>80</v>
      </c>
      <c r="D21" s="3">
        <v>32</v>
      </c>
      <c r="E21" s="28">
        <f>+C21*D21</f>
        <v>2560</v>
      </c>
    </row>
    <row r="22" spans="1:5">
      <c r="B22" s="27"/>
      <c r="C22" s="3">
        <v>130</v>
      </c>
      <c r="D22" s="3">
        <v>55</v>
      </c>
      <c r="E22" s="29">
        <f>+C22*D22</f>
        <v>7150</v>
      </c>
    </row>
    <row r="24" spans="1:5">
      <c r="A24" t="s">
        <v>41</v>
      </c>
      <c r="B24" s="23" t="s">
        <v>42</v>
      </c>
    </row>
    <row r="25" spans="1:5">
      <c r="B25" s="9"/>
      <c r="C25" s="33" t="s">
        <v>45</v>
      </c>
      <c r="D25" s="34"/>
      <c r="E25" s="35" t="s">
        <v>48</v>
      </c>
    </row>
    <row r="26" spans="1:5">
      <c r="C26" s="36">
        <v>12</v>
      </c>
      <c r="D26" s="38">
        <v>320000</v>
      </c>
      <c r="E26" s="37">
        <f>+D26/12</f>
        <v>26666.666666666668</v>
      </c>
    </row>
    <row r="27" spans="1:5">
      <c r="C27" s="36"/>
      <c r="D27" s="38"/>
      <c r="E27" s="35"/>
    </row>
    <row r="28" spans="1:5">
      <c r="B28" s="23" t="s">
        <v>43</v>
      </c>
      <c r="C28" s="36"/>
      <c r="D28" s="38"/>
      <c r="E28" s="35"/>
    </row>
    <row r="29" spans="1:5">
      <c r="C29" s="36">
        <v>50</v>
      </c>
      <c r="D29" s="38">
        <v>480000</v>
      </c>
      <c r="E29" s="37">
        <f>+D29/12</f>
        <v>40000</v>
      </c>
    </row>
    <row r="30" spans="1:5">
      <c r="C30" s="36"/>
      <c r="D30" s="38"/>
      <c r="E30" s="35"/>
    </row>
    <row r="31" spans="1:5">
      <c r="B31" s="23" t="s">
        <v>44</v>
      </c>
      <c r="C31" s="36"/>
      <c r="D31" s="38"/>
      <c r="E31" s="35"/>
    </row>
    <row r="32" spans="1:5">
      <c r="C32" s="36" t="s">
        <v>46</v>
      </c>
      <c r="D32" s="34" t="s">
        <v>47</v>
      </c>
      <c r="E32" s="35">
        <f>10*55*10</f>
        <v>5500</v>
      </c>
    </row>
    <row r="34" spans="1:4">
      <c r="A34" t="s">
        <v>52</v>
      </c>
      <c r="B34" s="23" t="s">
        <v>53</v>
      </c>
    </row>
    <row r="35" spans="1:4">
      <c r="B35" s="3" t="s">
        <v>54</v>
      </c>
      <c r="C35" s="2" t="s">
        <v>55</v>
      </c>
      <c r="D35" t="s">
        <v>56</v>
      </c>
    </row>
    <row r="36" spans="1:4">
      <c r="B36" s="3">
        <v>120000</v>
      </c>
      <c r="C36" s="2">
        <v>4</v>
      </c>
      <c r="D36" s="14">
        <f>+B36/C36</f>
        <v>30000</v>
      </c>
    </row>
    <row r="38" spans="1:4">
      <c r="A38" t="s">
        <v>100</v>
      </c>
      <c r="B38" s="24" t="s">
        <v>57</v>
      </c>
    </row>
    <row r="39" spans="1:4">
      <c r="B39" s="3" t="s">
        <v>54</v>
      </c>
      <c r="C39" t="s">
        <v>58</v>
      </c>
    </row>
    <row r="40" spans="1:4">
      <c r="B40" s="3">
        <v>75000</v>
      </c>
      <c r="C40">
        <v>12</v>
      </c>
      <c r="D40" s="15">
        <f>+B40/C40</f>
        <v>6250</v>
      </c>
    </row>
    <row r="42" spans="1:4">
      <c r="A42" t="s">
        <v>66</v>
      </c>
      <c r="B42" s="24" t="s">
        <v>67</v>
      </c>
    </row>
    <row r="43" spans="1:4">
      <c r="B43" s="42" t="s">
        <v>74</v>
      </c>
    </row>
    <row r="45" spans="1:4">
      <c r="A45" t="s">
        <v>69</v>
      </c>
      <c r="B45" s="24" t="s">
        <v>62</v>
      </c>
    </row>
    <row r="47" spans="1:4">
      <c r="B47" s="3">
        <v>150000</v>
      </c>
      <c r="C47" s="3">
        <v>3</v>
      </c>
      <c r="D47" s="8">
        <f>+B47/C47</f>
        <v>50000</v>
      </c>
    </row>
    <row r="48" spans="1:4">
      <c r="B48" t="s">
        <v>70</v>
      </c>
    </row>
    <row r="50" spans="1:7">
      <c r="B50" s="24" t="s">
        <v>73</v>
      </c>
    </row>
    <row r="51" spans="1:7">
      <c r="D51" t="s">
        <v>75</v>
      </c>
    </row>
    <row r="52" spans="1:7">
      <c r="B52">
        <v>13200</v>
      </c>
      <c r="C52">
        <v>12</v>
      </c>
      <c r="D52">
        <f>+B52/C52</f>
        <v>1100</v>
      </c>
    </row>
    <row r="53" spans="1:7">
      <c r="B53" t="s">
        <v>76</v>
      </c>
    </row>
    <row r="55" spans="1:7">
      <c r="A55" t="s">
        <v>78</v>
      </c>
      <c r="B55" s="24" t="s">
        <v>62</v>
      </c>
    </row>
    <row r="57" spans="1:7">
      <c r="B57" s="6">
        <v>150000</v>
      </c>
      <c r="C57">
        <v>4</v>
      </c>
      <c r="D57" s="6">
        <f>+B57/C57</f>
        <v>37500</v>
      </c>
    </row>
    <row r="58" spans="1:7">
      <c r="B58" t="s">
        <v>79</v>
      </c>
    </row>
    <row r="60" spans="1:7">
      <c r="B60" s="24" t="s">
        <v>82</v>
      </c>
    </row>
    <row r="62" spans="1:7">
      <c r="B62" s="6">
        <v>546000</v>
      </c>
      <c r="C62">
        <v>5</v>
      </c>
      <c r="D62" s="6">
        <f>+B62/C62</f>
        <v>109200</v>
      </c>
    </row>
    <row r="64" spans="1:7">
      <c r="A64" t="s">
        <v>110</v>
      </c>
      <c r="B64" s="24" t="s">
        <v>111</v>
      </c>
      <c r="F64" s="49">
        <v>5.8000000000000003E-2</v>
      </c>
      <c r="G64" s="49">
        <v>2.5999999999999999E-2</v>
      </c>
    </row>
    <row r="65" spans="2:8">
      <c r="B65" s="8"/>
      <c r="C65" s="8" t="s">
        <v>120</v>
      </c>
      <c r="D65" s="8" t="s">
        <v>113</v>
      </c>
      <c r="E65" s="8" t="s">
        <v>114</v>
      </c>
      <c r="F65" s="8" t="s">
        <v>115</v>
      </c>
      <c r="G65" s="8" t="s">
        <v>116</v>
      </c>
    </row>
    <row r="66" spans="2:8">
      <c r="B66" s="8" t="s">
        <v>112</v>
      </c>
      <c r="C66" s="8">
        <f>+Sheet1!C33</f>
        <v>67481.733333333308</v>
      </c>
      <c r="D66" s="8">
        <f>+Sheet1!C34</f>
        <v>318000</v>
      </c>
      <c r="E66" s="8">
        <f>+C66+D66</f>
        <v>385481.73333333328</v>
      </c>
      <c r="G66" s="6">
        <f>+(E66*G64)/12</f>
        <v>835.21042222222206</v>
      </c>
    </row>
    <row r="67" spans="2:8">
      <c r="B67" s="2" t="s">
        <v>119</v>
      </c>
      <c r="C67" s="6">
        <f>+Sheet1!D33+Sheet1!D35</f>
        <v>146247.68348888887</v>
      </c>
      <c r="D67" s="6">
        <f>+Sheet1!D34</f>
        <v>385481.73333333328</v>
      </c>
      <c r="E67" s="17">
        <f>+C67+D67</f>
        <v>531729.41682222218</v>
      </c>
      <c r="G67" s="6">
        <f>+(E67*G64)/12</f>
        <v>1152.0804031148148</v>
      </c>
    </row>
    <row r="68" spans="2:8">
      <c r="B68" t="s">
        <v>6</v>
      </c>
      <c r="C68" s="6">
        <f>+Sheet1!E33+Sheet1!E35</f>
        <v>-671856.54413021856</v>
      </c>
      <c r="D68" s="6">
        <f>+Sheet1!E34</f>
        <v>531729.41682222218</v>
      </c>
      <c r="E68" s="17">
        <f>+C68+D68</f>
        <v>-140127.12730799639</v>
      </c>
      <c r="F68" s="6">
        <f>+E68*F64/12</f>
        <v>-677.28111532198261</v>
      </c>
    </row>
    <row r="69" spans="2:8">
      <c r="B69" t="s">
        <v>7</v>
      </c>
      <c r="C69" s="6">
        <f>+Sheet1!F33+Sheet1!F36</f>
        <v>123273.5575513447</v>
      </c>
      <c r="D69" s="6">
        <f>+Sheet1!F34</f>
        <v>-140127.12730799636</v>
      </c>
      <c r="E69" s="17">
        <f t="shared" ref="E69:E77" si="0">+C69+D69</f>
        <v>-16853.569756651661</v>
      </c>
      <c r="F69" s="6">
        <f>+E69*F64/12</f>
        <v>-81.458920490483038</v>
      </c>
    </row>
    <row r="70" spans="2:8">
      <c r="B70" t="s">
        <v>8</v>
      </c>
      <c r="C70" s="6">
        <f>+Sheet1!G33+Sheet1!G36</f>
        <v>80532.081346176172</v>
      </c>
      <c r="D70" s="6">
        <f>+Sheet1!G34</f>
        <v>-16853.569756651661</v>
      </c>
      <c r="E70" s="17">
        <f t="shared" si="0"/>
        <v>63678.511589524511</v>
      </c>
      <c r="G70" s="6">
        <f>+E70*G64/12</f>
        <v>137.97010844396976</v>
      </c>
    </row>
    <row r="71" spans="2:8">
      <c r="B71" t="s">
        <v>9</v>
      </c>
      <c r="C71" s="6">
        <f>+Sheet1!H33+Sheet1!H35</f>
        <v>215664.06477511057</v>
      </c>
      <c r="D71" s="6">
        <f>+Sheet1!H34</f>
        <v>63678.511589524504</v>
      </c>
      <c r="E71" s="17">
        <f t="shared" si="0"/>
        <v>279342.57636463508</v>
      </c>
      <c r="G71" s="6">
        <f>+E71*G64/12</f>
        <v>605.24224879004271</v>
      </c>
    </row>
    <row r="72" spans="2:8">
      <c r="B72" t="s">
        <v>121</v>
      </c>
      <c r="C72" s="6">
        <f>+Sheet1!I33+Sheet1!I35</f>
        <v>251671.62891545668</v>
      </c>
      <c r="D72" s="6">
        <f>+Sheet1!I34</f>
        <v>279342.57636463508</v>
      </c>
      <c r="E72" s="17">
        <f t="shared" si="0"/>
        <v>531014.20528009173</v>
      </c>
      <c r="G72" s="6">
        <f>+E72*G64/12</f>
        <v>1150.5307781068652</v>
      </c>
    </row>
    <row r="73" spans="2:8">
      <c r="B73" t="s">
        <v>11</v>
      </c>
      <c r="C73" s="6">
        <f>+Sheet1!J33+Sheet1!J35</f>
        <v>202700.35744477349</v>
      </c>
      <c r="D73" s="6">
        <f>+Sheet1!J34</f>
        <v>531014.20528009173</v>
      </c>
      <c r="E73" s="17">
        <f t="shared" si="0"/>
        <v>733714.56272486527</v>
      </c>
      <c r="G73" s="6">
        <f>+E73*G64/12</f>
        <v>1589.7148859038746</v>
      </c>
    </row>
    <row r="74" spans="2:8">
      <c r="B74" t="s">
        <v>12</v>
      </c>
      <c r="C74" s="6">
        <f>+Sheet1!K33+Sheet1!K35</f>
        <v>102587.3815525705</v>
      </c>
      <c r="D74">
        <f>+Sheet1!K34</f>
        <v>733714.56272486527</v>
      </c>
      <c r="E74" s="17">
        <f t="shared" si="0"/>
        <v>836301.94427743577</v>
      </c>
      <c r="G74" s="6">
        <f>+E74*G64/12</f>
        <v>1811.9875459344441</v>
      </c>
    </row>
    <row r="75" spans="2:8">
      <c r="B75" t="s">
        <v>13</v>
      </c>
      <c r="C75" s="6">
        <f>+Sheet1!L33+Sheet1!L35</f>
        <v>236911.00621260106</v>
      </c>
      <c r="D75" s="6">
        <f>+Sheet1!L34</f>
        <v>836301.94427743577</v>
      </c>
      <c r="E75" s="17">
        <f t="shared" si="0"/>
        <v>1073212.9504900367</v>
      </c>
      <c r="G75" s="6">
        <f>+E75*G64/12</f>
        <v>2325.2947260617461</v>
      </c>
    </row>
    <row r="76" spans="2:8">
      <c r="B76" t="s">
        <v>14</v>
      </c>
      <c r="C76" s="6">
        <f>+Sheet1!M33+Sheet1!M35</f>
        <v>148328.80139272835</v>
      </c>
      <c r="D76" s="6">
        <f>+Sheet1!M34</f>
        <v>1073212.950490037</v>
      </c>
      <c r="E76" s="17">
        <f t="shared" si="0"/>
        <v>1221541.7518827654</v>
      </c>
      <c r="G76" s="6">
        <f>+E76*G64/12</f>
        <v>2646.6737957459918</v>
      </c>
    </row>
    <row r="77" spans="2:8">
      <c r="B77" t="s">
        <v>15</v>
      </c>
      <c r="C77" s="6">
        <f>+Sheet1!N33+Sheet1!N35</f>
        <v>79269.548462412611</v>
      </c>
      <c r="D77" s="6">
        <f>+Sheet1!N34</f>
        <v>1221541.7518827652</v>
      </c>
      <c r="E77" s="17">
        <f t="shared" si="0"/>
        <v>1300811.3003451778</v>
      </c>
      <c r="G77" s="50">
        <f>+E77*G64/12</f>
        <v>2818.4244840812185</v>
      </c>
      <c r="H77" s="4"/>
    </row>
    <row r="81" spans="10:10">
      <c r="J81" s="9" t="s">
        <v>123</v>
      </c>
    </row>
  </sheetData>
  <mergeCells count="1">
    <mergeCell ref="B21:B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SAles-Note(A)</vt:lpstr>
      <vt:lpstr>Workings note(G-R)</vt:lpstr>
      <vt:lpstr>'SAles-Note(A)'!Print_Area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2019-12-16T05:44:26Z</dcterms:modified>
</cp:coreProperties>
</file>