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WTSD\Desktop\OneDrive_1_3-20-2022\"/>
    </mc:Choice>
  </mc:AlternateContent>
  <bookViews>
    <workbookView xWindow="0" yWindow="0" windowWidth="23040" windowHeight="9192" tabRatio="875" activeTab="1"/>
  </bookViews>
  <sheets>
    <sheet name="Specification &amp; Data" sheetId="1" r:id="rId1"/>
    <sheet name="Simulation" sheetId="8" r:id="rId2"/>
    <sheet name="Results" sheetId="9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9" l="1"/>
  <c r="W2" i="8"/>
  <c r="C8" i="9"/>
  <c r="AA278" i="8"/>
  <c r="AB278" i="8"/>
  <c r="O2" i="8"/>
  <c r="M278" i="8"/>
  <c r="O278" i="8" s="1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3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H267" i="8"/>
  <c r="I267" i="8" s="1"/>
  <c r="H203" i="8"/>
  <c r="I203" i="8" s="1"/>
  <c r="H204" i="8"/>
  <c r="I204" i="8" s="1"/>
  <c r="H216" i="8"/>
  <c r="I216" i="8" s="1"/>
  <c r="H223" i="8"/>
  <c r="I223" i="8" s="1"/>
  <c r="H227" i="8"/>
  <c r="I227" i="8" s="1"/>
  <c r="H249" i="8"/>
  <c r="I249" i="8" s="1"/>
  <c r="F6" i="8"/>
  <c r="F7" i="8"/>
  <c r="F8" i="8"/>
  <c r="E8" i="8" s="1"/>
  <c r="F9" i="8"/>
  <c r="E9" i="8" s="1"/>
  <c r="F10" i="8"/>
  <c r="F11" i="8"/>
  <c r="F12" i="8"/>
  <c r="E12" i="8" s="1"/>
  <c r="F13" i="8"/>
  <c r="F14" i="8"/>
  <c r="F15" i="8"/>
  <c r="F16" i="8"/>
  <c r="F17" i="8"/>
  <c r="E17" i="8" s="1"/>
  <c r="F18" i="8"/>
  <c r="F19" i="8"/>
  <c r="F20" i="8"/>
  <c r="F21" i="8"/>
  <c r="E21" i="8" s="1"/>
  <c r="F22" i="8"/>
  <c r="F23" i="8"/>
  <c r="F24" i="8"/>
  <c r="F25" i="8"/>
  <c r="F26" i="8"/>
  <c r="F27" i="8"/>
  <c r="F28" i="8"/>
  <c r="F29" i="8"/>
  <c r="F30" i="8"/>
  <c r="F31" i="8"/>
  <c r="F32" i="8"/>
  <c r="F33" i="8"/>
  <c r="E33" i="8" s="1"/>
  <c r="F34" i="8"/>
  <c r="F35" i="8"/>
  <c r="F36" i="8"/>
  <c r="F37" i="8"/>
  <c r="E37" i="8" s="1"/>
  <c r="F38" i="8"/>
  <c r="F39" i="8"/>
  <c r="F40" i="8"/>
  <c r="F41" i="8"/>
  <c r="E41" i="8" s="1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E93" i="8" s="1"/>
  <c r="F94" i="8"/>
  <c r="F95" i="8"/>
  <c r="E95" i="8" s="1"/>
  <c r="F96" i="8"/>
  <c r="E96" i="8" s="1"/>
  <c r="F97" i="8"/>
  <c r="E97" i="8" s="1"/>
  <c r="F98" i="8"/>
  <c r="E98" i="8" s="1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E145" i="8" s="1"/>
  <c r="F146" i="8"/>
  <c r="F147" i="8"/>
  <c r="F148" i="8"/>
  <c r="F149" i="8"/>
  <c r="E149" i="8" s="1"/>
  <c r="F150" i="8"/>
  <c r="F151" i="8"/>
  <c r="F152" i="8"/>
  <c r="F153" i="8"/>
  <c r="E153" i="8" s="1"/>
  <c r="F154" i="8"/>
  <c r="F155" i="8"/>
  <c r="F156" i="8"/>
  <c r="F157" i="8"/>
  <c r="H157" i="8" s="1"/>
  <c r="I157" i="8" s="1"/>
  <c r="F158" i="8"/>
  <c r="F159" i="8"/>
  <c r="F160" i="8"/>
  <c r="F161" i="8"/>
  <c r="E161" i="8" s="1"/>
  <c r="F162" i="8"/>
  <c r="F163" i="8"/>
  <c r="F164" i="8"/>
  <c r="E164" i="8" s="1"/>
  <c r="F165" i="8"/>
  <c r="E165" i="8" s="1"/>
  <c r="F166" i="8"/>
  <c r="F167" i="8"/>
  <c r="F168" i="8"/>
  <c r="E168" i="8" s="1"/>
  <c r="F169" i="8"/>
  <c r="E169" i="8" s="1"/>
  <c r="F170" i="8"/>
  <c r="F171" i="8"/>
  <c r="F172" i="8"/>
  <c r="E172" i="8" s="1"/>
  <c r="F173" i="8"/>
  <c r="E173" i="8" s="1"/>
  <c r="F174" i="8"/>
  <c r="F175" i="8"/>
  <c r="F176" i="8"/>
  <c r="E176" i="8" s="1"/>
  <c r="F177" i="8"/>
  <c r="F178" i="8"/>
  <c r="F179" i="8"/>
  <c r="F180" i="8"/>
  <c r="E180" i="8" s="1"/>
  <c r="F181" i="8"/>
  <c r="E181" i="8" s="1"/>
  <c r="F182" i="8"/>
  <c r="F183" i="8"/>
  <c r="F184" i="8"/>
  <c r="E184" i="8" s="1"/>
  <c r="F185" i="8"/>
  <c r="E185" i="8" s="1"/>
  <c r="F186" i="8"/>
  <c r="F187" i="8"/>
  <c r="F188" i="8"/>
  <c r="E188" i="8" s="1"/>
  <c r="F189" i="8"/>
  <c r="E189" i="8" s="1"/>
  <c r="F190" i="8"/>
  <c r="F191" i="8"/>
  <c r="F192" i="8"/>
  <c r="E192" i="8" s="1"/>
  <c r="F193" i="8"/>
  <c r="F194" i="8"/>
  <c r="F195" i="8"/>
  <c r="E94" i="8"/>
  <c r="E42" i="8"/>
  <c r="E43" i="8"/>
  <c r="F4" i="8"/>
  <c r="E4" i="8" s="1"/>
  <c r="F5" i="8"/>
  <c r="E5" i="8" s="1"/>
  <c r="H27" i="8"/>
  <c r="I27" i="8" s="1"/>
  <c r="H30" i="8"/>
  <c r="I30" i="8" s="1"/>
  <c r="H51" i="8"/>
  <c r="I51" i="8" s="1"/>
  <c r="H61" i="8"/>
  <c r="I61" i="8" s="1"/>
  <c r="H64" i="8"/>
  <c r="I64" i="8" s="1"/>
  <c r="H87" i="8"/>
  <c r="I87" i="8" s="1"/>
  <c r="H90" i="8"/>
  <c r="I90" i="8" s="1"/>
  <c r="H91" i="8"/>
  <c r="I91" i="8" s="1"/>
  <c r="H95" i="8"/>
  <c r="I95" i="8" s="1"/>
  <c r="H98" i="8"/>
  <c r="I98" i="8" s="1"/>
  <c r="H99" i="8"/>
  <c r="I99" i="8" s="1"/>
  <c r="H103" i="8"/>
  <c r="I103" i="8" s="1"/>
  <c r="H106" i="8"/>
  <c r="I106" i="8" s="1"/>
  <c r="H107" i="8"/>
  <c r="I107" i="8" s="1"/>
  <c r="H111" i="8"/>
  <c r="I111" i="8" s="1"/>
  <c r="H114" i="8"/>
  <c r="I114" i="8" s="1"/>
  <c r="H115" i="8"/>
  <c r="I115" i="8" s="1"/>
  <c r="H119" i="8"/>
  <c r="I119" i="8" s="1"/>
  <c r="H122" i="8"/>
  <c r="I122" i="8" s="1"/>
  <c r="H123" i="8"/>
  <c r="I123" i="8" s="1"/>
  <c r="H127" i="8"/>
  <c r="I127" i="8" s="1"/>
  <c r="H130" i="8"/>
  <c r="I130" i="8" s="1"/>
  <c r="H131" i="8"/>
  <c r="I131" i="8" s="1"/>
  <c r="H135" i="8"/>
  <c r="I135" i="8" s="1"/>
  <c r="H139" i="8"/>
  <c r="I139" i="8" s="1"/>
  <c r="H143" i="8"/>
  <c r="I143" i="8" s="1"/>
  <c r="H147" i="8"/>
  <c r="I147" i="8" s="1"/>
  <c r="H148" i="8"/>
  <c r="I148" i="8" s="1"/>
  <c r="H151" i="8"/>
  <c r="I151" i="8" s="1"/>
  <c r="H155" i="8"/>
  <c r="I155" i="8" s="1"/>
  <c r="H159" i="8"/>
  <c r="I159" i="8" s="1"/>
  <c r="H163" i="8"/>
  <c r="I163" i="8" s="1"/>
  <c r="H167" i="8"/>
  <c r="I167" i="8" s="1"/>
  <c r="H168" i="8"/>
  <c r="I168" i="8" s="1"/>
  <c r="H171" i="8"/>
  <c r="I171" i="8" s="1"/>
  <c r="H175" i="8"/>
  <c r="I175" i="8" s="1"/>
  <c r="H176" i="8"/>
  <c r="I176" i="8" s="1"/>
  <c r="H179" i="8"/>
  <c r="I179" i="8" s="1"/>
  <c r="H183" i="8"/>
  <c r="I183" i="8" s="1"/>
  <c r="H187" i="8"/>
  <c r="I187" i="8" s="1"/>
  <c r="H191" i="8"/>
  <c r="I191" i="8" s="1"/>
  <c r="H192" i="8"/>
  <c r="I192" i="8" s="1"/>
  <c r="H195" i="8"/>
  <c r="I195" i="8" s="1"/>
  <c r="F196" i="8"/>
  <c r="F197" i="8"/>
  <c r="F198" i="8"/>
  <c r="F199" i="8"/>
  <c r="F200" i="8"/>
  <c r="F3" i="8"/>
  <c r="E6" i="8"/>
  <c r="E7" i="8"/>
  <c r="E10" i="8"/>
  <c r="E11" i="8"/>
  <c r="E14" i="8"/>
  <c r="E15" i="8"/>
  <c r="E16" i="8"/>
  <c r="E18" i="8"/>
  <c r="E19" i="8"/>
  <c r="E20" i="8"/>
  <c r="E22" i="8"/>
  <c r="E23" i="8"/>
  <c r="E24" i="8"/>
  <c r="E26" i="8"/>
  <c r="E27" i="8"/>
  <c r="E28" i="8"/>
  <c r="E30" i="8"/>
  <c r="E31" i="8"/>
  <c r="E32" i="8"/>
  <c r="E34" i="8"/>
  <c r="E35" i="8"/>
  <c r="E36" i="8"/>
  <c r="E38" i="8"/>
  <c r="E39" i="8"/>
  <c r="E40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9" i="8"/>
  <c r="E100" i="8"/>
  <c r="E102" i="8"/>
  <c r="E103" i="8"/>
  <c r="E104" i="8"/>
  <c r="E106" i="8"/>
  <c r="E107" i="8"/>
  <c r="E108" i="8"/>
  <c r="E110" i="8"/>
  <c r="E111" i="8"/>
  <c r="E112" i="8"/>
  <c r="E114" i="8"/>
  <c r="E115" i="8"/>
  <c r="E116" i="8"/>
  <c r="E118" i="8"/>
  <c r="E119" i="8"/>
  <c r="E120" i="8"/>
  <c r="E122" i="8"/>
  <c r="E123" i="8"/>
  <c r="E124" i="8"/>
  <c r="E126" i="8"/>
  <c r="E127" i="8"/>
  <c r="E128" i="8"/>
  <c r="E130" i="8"/>
  <c r="E131" i="8"/>
  <c r="E132" i="8"/>
  <c r="E134" i="8"/>
  <c r="E135" i="8"/>
  <c r="E136" i="8"/>
  <c r="E138" i="8"/>
  <c r="E139" i="8"/>
  <c r="E140" i="8"/>
  <c r="E142" i="8"/>
  <c r="E143" i="8"/>
  <c r="E146" i="8"/>
  <c r="E147" i="8"/>
  <c r="E148" i="8"/>
  <c r="E150" i="8"/>
  <c r="E151" i="8"/>
  <c r="E152" i="8"/>
  <c r="E154" i="8"/>
  <c r="E155" i="8"/>
  <c r="E156" i="8"/>
  <c r="E158" i="8"/>
  <c r="E159" i="8"/>
  <c r="E163" i="8"/>
  <c r="E166" i="8"/>
  <c r="E167" i="8"/>
  <c r="E170" i="8"/>
  <c r="E171" i="8"/>
  <c r="E174" i="8"/>
  <c r="E175" i="8"/>
  <c r="E177" i="8"/>
  <c r="E178" i="8"/>
  <c r="E179" i="8"/>
  <c r="E182" i="8"/>
  <c r="E183" i="8"/>
  <c r="E186" i="8"/>
  <c r="E187" i="8"/>
  <c r="E190" i="8"/>
  <c r="E191" i="8"/>
  <c r="E193" i="8"/>
  <c r="E194" i="8"/>
  <c r="E195" i="8"/>
  <c r="E199" i="8"/>
  <c r="F2" i="8"/>
  <c r="V2" i="8" s="1"/>
  <c r="C3" i="8"/>
  <c r="C4" i="8" s="1"/>
  <c r="C5" i="8" s="1"/>
  <c r="C6" i="8" s="1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C85" i="8" s="1"/>
  <c r="C86" i="8" s="1"/>
  <c r="C87" i="8" s="1"/>
  <c r="C88" i="8" s="1"/>
  <c r="C89" i="8" s="1"/>
  <c r="C90" i="8" s="1"/>
  <c r="C91" i="8" s="1"/>
  <c r="C92" i="8" s="1"/>
  <c r="C93" i="8" s="1"/>
  <c r="C94" i="8" s="1"/>
  <c r="C95" i="8" s="1"/>
  <c r="C96" i="8" s="1"/>
  <c r="C97" i="8" s="1"/>
  <c r="C98" i="8" s="1"/>
  <c r="C99" i="8" s="1"/>
  <c r="C100" i="8" s="1"/>
  <c r="C101" i="8" s="1"/>
  <c r="C102" i="8" s="1"/>
  <c r="C103" i="8" s="1"/>
  <c r="C104" i="8" s="1"/>
  <c r="C105" i="8" s="1"/>
  <c r="C106" i="8" s="1"/>
  <c r="C107" i="8" s="1"/>
  <c r="C108" i="8" s="1"/>
  <c r="C109" i="8" s="1"/>
  <c r="C110" i="8" s="1"/>
  <c r="C111" i="8" s="1"/>
  <c r="C112" i="8" s="1"/>
  <c r="C113" i="8" s="1"/>
  <c r="C114" i="8" s="1"/>
  <c r="C115" i="8" s="1"/>
  <c r="C116" i="8" s="1"/>
  <c r="C117" i="8" s="1"/>
  <c r="C118" i="8" s="1"/>
  <c r="C119" i="8" s="1"/>
  <c r="C120" i="8" s="1"/>
  <c r="C121" i="8" s="1"/>
  <c r="C122" i="8" s="1"/>
  <c r="C123" i="8" s="1"/>
  <c r="C124" i="8" s="1"/>
  <c r="C125" i="8" s="1"/>
  <c r="C126" i="8" s="1"/>
  <c r="C127" i="8" s="1"/>
  <c r="C128" i="8" s="1"/>
  <c r="C129" i="8" s="1"/>
  <c r="C130" i="8" s="1"/>
  <c r="C131" i="8" s="1"/>
  <c r="C132" i="8" s="1"/>
  <c r="C133" i="8" s="1"/>
  <c r="C134" i="8" s="1"/>
  <c r="C135" i="8" s="1"/>
  <c r="C136" i="8" s="1"/>
  <c r="C137" i="8" s="1"/>
  <c r="C138" i="8" s="1"/>
  <c r="C139" i="8" s="1"/>
  <c r="C140" i="8" s="1"/>
  <c r="C141" i="8" s="1"/>
  <c r="C142" i="8" s="1"/>
  <c r="C143" i="8" s="1"/>
  <c r="C144" i="8" s="1"/>
  <c r="C145" i="8" s="1"/>
  <c r="C146" i="8" s="1"/>
  <c r="C147" i="8" s="1"/>
  <c r="C148" i="8" s="1"/>
  <c r="C149" i="8" s="1"/>
  <c r="C150" i="8" s="1"/>
  <c r="C151" i="8" s="1"/>
  <c r="C152" i="8" s="1"/>
  <c r="C153" i="8" s="1"/>
  <c r="C154" i="8" s="1"/>
  <c r="C155" i="8" s="1"/>
  <c r="C156" i="8" s="1"/>
  <c r="C157" i="8" s="1"/>
  <c r="C158" i="8" s="1"/>
  <c r="C159" i="8" s="1"/>
  <c r="C160" i="8" s="1"/>
  <c r="C161" i="8" s="1"/>
  <c r="C162" i="8" s="1"/>
  <c r="C163" i="8" s="1"/>
  <c r="C164" i="8" s="1"/>
  <c r="C165" i="8" s="1"/>
  <c r="C166" i="8" s="1"/>
  <c r="C167" i="8" s="1"/>
  <c r="C168" i="8" s="1"/>
  <c r="C169" i="8" s="1"/>
  <c r="C170" i="8" s="1"/>
  <c r="C171" i="8" s="1"/>
  <c r="C172" i="8" s="1"/>
  <c r="C173" i="8" s="1"/>
  <c r="C174" i="8" s="1"/>
  <c r="C175" i="8" s="1"/>
  <c r="C176" i="8" s="1"/>
  <c r="C177" i="8" s="1"/>
  <c r="C178" i="8" s="1"/>
  <c r="C179" i="8" s="1"/>
  <c r="C180" i="8" s="1"/>
  <c r="C181" i="8" s="1"/>
  <c r="C182" i="8" s="1"/>
  <c r="C183" i="8" s="1"/>
  <c r="C184" i="8" s="1"/>
  <c r="C185" i="8" s="1"/>
  <c r="C186" i="8" s="1"/>
  <c r="C187" i="8" s="1"/>
  <c r="C188" i="8" s="1"/>
  <c r="C189" i="8" s="1"/>
  <c r="C190" i="8" s="1"/>
  <c r="C191" i="8" s="1"/>
  <c r="C192" i="8" s="1"/>
  <c r="C193" i="8" s="1"/>
  <c r="C194" i="8" s="1"/>
  <c r="C195" i="8" s="1"/>
  <c r="C196" i="8" s="1"/>
  <c r="C197" i="8" s="1"/>
  <c r="C198" i="8" s="1"/>
  <c r="C199" i="8" s="1"/>
  <c r="C200" i="8" s="1"/>
  <c r="C201" i="8" s="1"/>
  <c r="C202" i="8" s="1"/>
  <c r="C203" i="8" s="1"/>
  <c r="C204" i="8" s="1"/>
  <c r="C205" i="8" s="1"/>
  <c r="C206" i="8" s="1"/>
  <c r="C207" i="8" s="1"/>
  <c r="C208" i="8" s="1"/>
  <c r="C209" i="8" s="1"/>
  <c r="C210" i="8" s="1"/>
  <c r="C211" i="8" s="1"/>
  <c r="C212" i="8" s="1"/>
  <c r="C213" i="8" s="1"/>
  <c r="C214" i="8" s="1"/>
  <c r="C215" i="8" s="1"/>
  <c r="C216" i="8" s="1"/>
  <c r="C217" i="8" s="1"/>
  <c r="C218" i="8" s="1"/>
  <c r="C219" i="8" s="1"/>
  <c r="C220" i="8" s="1"/>
  <c r="C221" i="8" s="1"/>
  <c r="C222" i="8" s="1"/>
  <c r="C223" i="8" s="1"/>
  <c r="C224" i="8" s="1"/>
  <c r="C225" i="8" s="1"/>
  <c r="C226" i="8" s="1"/>
  <c r="C227" i="8" s="1"/>
  <c r="C228" i="8" s="1"/>
  <c r="C229" i="8" s="1"/>
  <c r="C230" i="8" s="1"/>
  <c r="C231" i="8" s="1"/>
  <c r="C232" i="8" s="1"/>
  <c r="C233" i="8" s="1"/>
  <c r="C234" i="8" s="1"/>
  <c r="C235" i="8" s="1"/>
  <c r="C236" i="8" s="1"/>
  <c r="C237" i="8" s="1"/>
  <c r="C238" i="8" s="1"/>
  <c r="C239" i="8" s="1"/>
  <c r="C240" i="8" s="1"/>
  <c r="C241" i="8" s="1"/>
  <c r="C242" i="8" s="1"/>
  <c r="C243" i="8" s="1"/>
  <c r="C244" i="8" s="1"/>
  <c r="C245" i="8" s="1"/>
  <c r="C246" i="8" s="1"/>
  <c r="C247" i="8" s="1"/>
  <c r="C248" i="8" s="1"/>
  <c r="C249" i="8" s="1"/>
  <c r="C250" i="8" s="1"/>
  <c r="C251" i="8" s="1"/>
  <c r="C252" i="8" s="1"/>
  <c r="C253" i="8" s="1"/>
  <c r="C254" i="8" s="1"/>
  <c r="C255" i="8" s="1"/>
  <c r="C256" i="8" s="1"/>
  <c r="C257" i="8" s="1"/>
  <c r="C258" i="8" s="1"/>
  <c r="C259" i="8" s="1"/>
  <c r="C260" i="8" s="1"/>
  <c r="C261" i="8" s="1"/>
  <c r="C262" i="8" s="1"/>
  <c r="C263" i="8" s="1"/>
  <c r="C264" i="8" s="1"/>
  <c r="C265" i="8" s="1"/>
  <c r="C266" i="8" s="1"/>
  <c r="C267" i="8" s="1"/>
  <c r="C268" i="8" s="1"/>
  <c r="C269" i="8" s="1"/>
  <c r="C270" i="8" s="1"/>
  <c r="C271" i="8" s="1"/>
  <c r="C272" i="8" s="1"/>
  <c r="C273" i="8" s="1"/>
  <c r="C274" i="8" s="1"/>
  <c r="C275" i="8" s="1"/>
  <c r="C276" i="8" s="1"/>
  <c r="C277" i="8" s="1"/>
  <c r="C278" i="8" s="1"/>
  <c r="B14" i="1"/>
  <c r="B13" i="1"/>
  <c r="H194" i="8" l="1"/>
  <c r="I194" i="8" s="1"/>
  <c r="H138" i="8"/>
  <c r="I138" i="8" s="1"/>
  <c r="H126" i="8"/>
  <c r="I126" i="8" s="1"/>
  <c r="H118" i="8"/>
  <c r="I118" i="8" s="1"/>
  <c r="H110" i="8"/>
  <c r="I110" i="8" s="1"/>
  <c r="H102" i="8"/>
  <c r="I102" i="8" s="1"/>
  <c r="H86" i="8"/>
  <c r="I86" i="8" s="1"/>
  <c r="H58" i="8"/>
  <c r="I58" i="8" s="1"/>
  <c r="H54" i="8"/>
  <c r="I54" i="8" s="1"/>
  <c r="H46" i="8"/>
  <c r="I46" i="8" s="1"/>
  <c r="H26" i="8"/>
  <c r="I26" i="8" s="1"/>
  <c r="H42" i="8"/>
  <c r="I42" i="8" s="1"/>
  <c r="H225" i="8"/>
  <c r="I225" i="8" s="1"/>
  <c r="E157" i="8"/>
  <c r="H94" i="8"/>
  <c r="I94" i="8" s="1"/>
  <c r="H57" i="8"/>
  <c r="I57" i="8" s="1"/>
  <c r="H45" i="8"/>
  <c r="I45" i="8" s="1"/>
  <c r="H217" i="8"/>
  <c r="I217" i="8" s="1"/>
  <c r="H245" i="8"/>
  <c r="I245" i="8" s="1"/>
  <c r="H221" i="8"/>
  <c r="I221" i="8" s="1"/>
  <c r="H156" i="8"/>
  <c r="I156" i="8" s="1"/>
  <c r="H152" i="8"/>
  <c r="I152" i="8" s="1"/>
  <c r="H140" i="8"/>
  <c r="I140" i="8" s="1"/>
  <c r="H136" i="8"/>
  <c r="I136" i="8" s="1"/>
  <c r="H132" i="8"/>
  <c r="I132" i="8" s="1"/>
  <c r="H128" i="8"/>
  <c r="I128" i="8" s="1"/>
  <c r="H124" i="8"/>
  <c r="I124" i="8" s="1"/>
  <c r="H120" i="8"/>
  <c r="I120" i="8" s="1"/>
  <c r="H116" i="8"/>
  <c r="I116" i="8" s="1"/>
  <c r="H112" i="8"/>
  <c r="I112" i="8" s="1"/>
  <c r="H108" i="8"/>
  <c r="I108" i="8" s="1"/>
  <c r="H104" i="8"/>
  <c r="I104" i="8" s="1"/>
  <c r="H100" i="8"/>
  <c r="I100" i="8" s="1"/>
  <c r="H92" i="8"/>
  <c r="I92" i="8" s="1"/>
  <c r="H88" i="8"/>
  <c r="I88" i="8" s="1"/>
  <c r="H60" i="8"/>
  <c r="I60" i="8" s="1"/>
  <c r="H56" i="8"/>
  <c r="I56" i="8" s="1"/>
  <c r="H44" i="8"/>
  <c r="I44" i="8" s="1"/>
  <c r="H28" i="8"/>
  <c r="I28" i="8" s="1"/>
  <c r="H24" i="8"/>
  <c r="I24" i="8" s="1"/>
  <c r="H190" i="8"/>
  <c r="I190" i="8" s="1"/>
  <c r="H186" i="8"/>
  <c r="I186" i="8" s="1"/>
  <c r="H182" i="8"/>
  <c r="I182" i="8" s="1"/>
  <c r="H178" i="8"/>
  <c r="I178" i="8" s="1"/>
  <c r="H174" i="8"/>
  <c r="I174" i="8" s="1"/>
  <c r="H170" i="8"/>
  <c r="I170" i="8" s="1"/>
  <c r="H166" i="8"/>
  <c r="I166" i="8" s="1"/>
  <c r="H162" i="8"/>
  <c r="I162" i="8" s="1"/>
  <c r="H158" i="8"/>
  <c r="I158" i="8" s="1"/>
  <c r="H154" i="8"/>
  <c r="I154" i="8" s="1"/>
  <c r="H150" i="8"/>
  <c r="I150" i="8" s="1"/>
  <c r="H146" i="8"/>
  <c r="I146" i="8" s="1"/>
  <c r="H50" i="8"/>
  <c r="I50" i="8" s="1"/>
  <c r="H189" i="8"/>
  <c r="I189" i="8" s="1"/>
  <c r="H160" i="8"/>
  <c r="I160" i="8" s="1"/>
  <c r="H180" i="8"/>
  <c r="I180" i="8" s="1"/>
  <c r="H173" i="8"/>
  <c r="I173" i="8" s="1"/>
  <c r="H141" i="8"/>
  <c r="I141" i="8" s="1"/>
  <c r="H137" i="8"/>
  <c r="I137" i="8" s="1"/>
  <c r="H133" i="8"/>
  <c r="I133" i="8" s="1"/>
  <c r="H129" i="8"/>
  <c r="I129" i="8" s="1"/>
  <c r="H125" i="8"/>
  <c r="I125" i="8" s="1"/>
  <c r="H121" i="8"/>
  <c r="I121" i="8" s="1"/>
  <c r="H117" i="8"/>
  <c r="I117" i="8" s="1"/>
  <c r="H113" i="8"/>
  <c r="I113" i="8" s="1"/>
  <c r="H109" i="8"/>
  <c r="I109" i="8" s="1"/>
  <c r="H105" i="8"/>
  <c r="I105" i="8" s="1"/>
  <c r="H101" i="8"/>
  <c r="I101" i="8" s="1"/>
  <c r="H97" i="8"/>
  <c r="I97" i="8" s="1"/>
  <c r="H93" i="8"/>
  <c r="I93" i="8" s="1"/>
  <c r="H89" i="8"/>
  <c r="I89" i="8" s="1"/>
  <c r="H81" i="8"/>
  <c r="I81" i="8" s="1"/>
  <c r="H29" i="8"/>
  <c r="I29" i="8" s="1"/>
  <c r="H25" i="8"/>
  <c r="I25" i="8" s="1"/>
  <c r="H250" i="8"/>
  <c r="I250" i="8" s="1"/>
  <c r="H188" i="8"/>
  <c r="I188" i="8" s="1"/>
  <c r="H193" i="8"/>
  <c r="I193" i="8" s="1"/>
  <c r="H161" i="8"/>
  <c r="I161" i="8" s="1"/>
  <c r="H260" i="8"/>
  <c r="I260" i="8" s="1"/>
  <c r="H184" i="8"/>
  <c r="I184" i="8" s="1"/>
  <c r="H177" i="8"/>
  <c r="I177" i="8" s="1"/>
  <c r="H172" i="8"/>
  <c r="I172" i="8" s="1"/>
  <c r="H164" i="8"/>
  <c r="I164" i="8" s="1"/>
  <c r="H134" i="8"/>
  <c r="I134" i="8" s="1"/>
  <c r="P2" i="8"/>
  <c r="T2" i="8" s="1"/>
  <c r="H185" i="8"/>
  <c r="I185" i="8" s="1"/>
  <c r="H169" i="8"/>
  <c r="I169" i="8" s="1"/>
  <c r="H153" i="8"/>
  <c r="I153" i="8" s="1"/>
  <c r="H67" i="8"/>
  <c r="I67" i="8" s="1"/>
  <c r="H59" i="8"/>
  <c r="I59" i="8" s="1"/>
  <c r="H55" i="8"/>
  <c r="I55" i="8" s="1"/>
  <c r="H47" i="8"/>
  <c r="I47" i="8" s="1"/>
  <c r="H43" i="8"/>
  <c r="I43" i="8" s="1"/>
  <c r="H246" i="8"/>
  <c r="I246" i="8" s="1"/>
  <c r="H224" i="8"/>
  <c r="I224" i="8" s="1"/>
  <c r="H219" i="8"/>
  <c r="I219" i="8" s="1"/>
  <c r="H268" i="8"/>
  <c r="I268" i="8" s="1"/>
  <c r="P278" i="8"/>
  <c r="T278" i="8" s="1"/>
  <c r="E198" i="8"/>
  <c r="H181" i="8"/>
  <c r="I181" i="8" s="1"/>
  <c r="H165" i="8"/>
  <c r="I165" i="8" s="1"/>
  <c r="H149" i="8"/>
  <c r="I149" i="8" s="1"/>
  <c r="H142" i="8"/>
  <c r="I142" i="8" s="1"/>
  <c r="H220" i="8"/>
  <c r="I220" i="8" s="1"/>
  <c r="H215" i="8"/>
  <c r="I215" i="8" s="1"/>
  <c r="H259" i="8"/>
  <c r="I259" i="8" s="1"/>
  <c r="E200" i="8"/>
  <c r="E196" i="8"/>
  <c r="E141" i="8"/>
  <c r="E137" i="8"/>
  <c r="E133" i="8"/>
  <c r="E129" i="8"/>
  <c r="E125" i="8"/>
  <c r="E121" i="8"/>
  <c r="E117" i="8"/>
  <c r="E113" i="8"/>
  <c r="E109" i="8"/>
  <c r="E105" i="8"/>
  <c r="E101" i="8"/>
  <c r="E29" i="8"/>
  <c r="E25" i="8"/>
  <c r="H96" i="8"/>
  <c r="I96" i="8" s="1"/>
  <c r="H247" i="8"/>
  <c r="I247" i="8" s="1"/>
  <c r="H226" i="8"/>
  <c r="I226" i="8" s="1"/>
  <c r="H222" i="8"/>
  <c r="I222" i="8" s="1"/>
  <c r="H218" i="8"/>
  <c r="I218" i="8" s="1"/>
  <c r="H205" i="8"/>
  <c r="I205" i="8" s="1"/>
  <c r="H261" i="8"/>
  <c r="I261" i="8" s="1"/>
  <c r="H251" i="8"/>
  <c r="I251" i="8" s="1"/>
  <c r="E197" i="8"/>
  <c r="H248" i="8"/>
  <c r="I248" i="8" s="1"/>
  <c r="H202" i="8"/>
  <c r="I202" i="8" s="1"/>
  <c r="H253" i="8"/>
  <c r="I253" i="8" s="1"/>
  <c r="H266" i="8"/>
  <c r="I266" i="8" s="1"/>
  <c r="X278" i="8"/>
  <c r="AC278" i="8" s="1"/>
  <c r="X2" i="8"/>
  <c r="AC2" i="8" s="1"/>
  <c r="AJ2" i="8" s="1"/>
  <c r="E2" i="8"/>
  <c r="L3" i="8"/>
  <c r="V3" i="8" s="1"/>
  <c r="L5" i="8"/>
  <c r="L4" i="8"/>
  <c r="L195" i="8"/>
  <c r="L194" i="8"/>
  <c r="L193" i="8"/>
  <c r="L192" i="8"/>
  <c r="L191" i="8"/>
  <c r="L190" i="8"/>
  <c r="L189" i="8"/>
  <c r="L188" i="8"/>
  <c r="L187" i="8"/>
  <c r="L186" i="8"/>
  <c r="L185" i="8"/>
  <c r="L184" i="8"/>
  <c r="L183" i="8"/>
  <c r="L182" i="8"/>
  <c r="L181" i="8"/>
  <c r="L180" i="8"/>
  <c r="L179" i="8"/>
  <c r="L178" i="8"/>
  <c r="L177" i="8"/>
  <c r="L176" i="8"/>
  <c r="L175" i="8"/>
  <c r="L174" i="8"/>
  <c r="L173" i="8"/>
  <c r="L172" i="8"/>
  <c r="L171" i="8"/>
  <c r="L170" i="8"/>
  <c r="L169" i="8"/>
  <c r="L168" i="8"/>
  <c r="L167" i="8"/>
  <c r="L166" i="8"/>
  <c r="L165" i="8"/>
  <c r="L164" i="8"/>
  <c r="L163" i="8"/>
  <c r="L161" i="8"/>
  <c r="L159" i="8"/>
  <c r="L158" i="8"/>
  <c r="L157" i="8"/>
  <c r="L156" i="8"/>
  <c r="L155" i="8"/>
  <c r="L154" i="8"/>
  <c r="L153" i="8"/>
  <c r="L152" i="8"/>
  <c r="L151" i="8"/>
  <c r="L150" i="8"/>
  <c r="L149" i="8"/>
  <c r="L148" i="8"/>
  <c r="L147" i="8"/>
  <c r="L146" i="8"/>
  <c r="L145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L110" i="8"/>
  <c r="L109" i="8"/>
  <c r="L108" i="8"/>
  <c r="L107" i="8"/>
  <c r="L106" i="8"/>
  <c r="L105" i="8"/>
  <c r="L104" i="8"/>
  <c r="L103" i="8"/>
  <c r="L102" i="8"/>
  <c r="L101" i="8"/>
  <c r="L100" i="8"/>
  <c r="L99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82" i="8"/>
  <c r="L81" i="8"/>
  <c r="L80" i="8"/>
  <c r="L79" i="8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L58" i="8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2" i="8"/>
  <c r="L11" i="8"/>
  <c r="L10" i="8"/>
  <c r="L9" i="8"/>
  <c r="L8" i="8"/>
  <c r="L7" i="8"/>
  <c r="L6" i="8"/>
  <c r="E278" i="8"/>
  <c r="L13" i="8"/>
  <c r="E13" i="8"/>
  <c r="AF278" i="8"/>
  <c r="L162" i="8"/>
  <c r="E162" i="8"/>
  <c r="E144" i="8"/>
  <c r="H144" i="8"/>
  <c r="I144" i="8" s="1"/>
  <c r="H145" i="8"/>
  <c r="I145" i="8" s="1"/>
  <c r="E3" i="8"/>
  <c r="H278" i="8"/>
  <c r="H80" i="8"/>
  <c r="I80" i="8" s="1"/>
  <c r="AF2" i="8"/>
  <c r="AI2" i="8" s="1"/>
  <c r="H200" i="8"/>
  <c r="I200" i="8" s="1"/>
  <c r="L200" i="8"/>
  <c r="H199" i="8"/>
  <c r="I199" i="8" s="1"/>
  <c r="L199" i="8"/>
  <c r="H198" i="8"/>
  <c r="I198" i="8" s="1"/>
  <c r="L198" i="8"/>
  <c r="H197" i="8"/>
  <c r="I197" i="8" s="1"/>
  <c r="L197" i="8"/>
  <c r="H196" i="8"/>
  <c r="I196" i="8" s="1"/>
  <c r="L196" i="8"/>
  <c r="E160" i="8"/>
  <c r="L160" i="8"/>
  <c r="E277" i="8"/>
  <c r="L277" i="8"/>
  <c r="E276" i="8"/>
  <c r="L276" i="8"/>
  <c r="E275" i="8"/>
  <c r="L275" i="8"/>
  <c r="E274" i="8"/>
  <c r="L274" i="8"/>
  <c r="E273" i="8"/>
  <c r="L273" i="8"/>
  <c r="E272" i="8"/>
  <c r="L272" i="8"/>
  <c r="E271" i="8"/>
  <c r="L271" i="8"/>
  <c r="E270" i="8"/>
  <c r="L270" i="8"/>
  <c r="E269" i="8"/>
  <c r="L269" i="8"/>
  <c r="E268" i="8"/>
  <c r="L268" i="8"/>
  <c r="E267" i="8"/>
  <c r="L267" i="8"/>
  <c r="E266" i="8"/>
  <c r="L266" i="8"/>
  <c r="E265" i="8"/>
  <c r="L265" i="8"/>
  <c r="E264" i="8"/>
  <c r="L264" i="8"/>
  <c r="E263" i="8"/>
  <c r="L263" i="8"/>
  <c r="E262" i="8"/>
  <c r="L262" i="8"/>
  <c r="E261" i="8"/>
  <c r="L261" i="8"/>
  <c r="E260" i="8"/>
  <c r="L260" i="8"/>
  <c r="E259" i="8"/>
  <c r="L259" i="8"/>
  <c r="E258" i="8"/>
  <c r="L258" i="8"/>
  <c r="E257" i="8"/>
  <c r="L257" i="8"/>
  <c r="E256" i="8"/>
  <c r="L256" i="8"/>
  <c r="E255" i="8"/>
  <c r="L255" i="8"/>
  <c r="E254" i="8"/>
  <c r="L254" i="8"/>
  <c r="E253" i="8"/>
  <c r="L253" i="8"/>
  <c r="E252" i="8"/>
  <c r="L252" i="8"/>
  <c r="E251" i="8"/>
  <c r="L251" i="8"/>
  <c r="E250" i="8"/>
  <c r="L250" i="8"/>
  <c r="E249" i="8"/>
  <c r="L249" i="8"/>
  <c r="E248" i="8"/>
  <c r="L248" i="8"/>
  <c r="E247" i="8"/>
  <c r="L247" i="8"/>
  <c r="E246" i="8"/>
  <c r="L246" i="8"/>
  <c r="E245" i="8"/>
  <c r="L245" i="8"/>
  <c r="E244" i="8"/>
  <c r="L244" i="8"/>
  <c r="E243" i="8"/>
  <c r="L243" i="8"/>
  <c r="E242" i="8"/>
  <c r="L242" i="8"/>
  <c r="E241" i="8"/>
  <c r="L241" i="8"/>
  <c r="E240" i="8"/>
  <c r="L240" i="8"/>
  <c r="E239" i="8"/>
  <c r="L239" i="8"/>
  <c r="E238" i="8"/>
  <c r="L238" i="8"/>
  <c r="E237" i="8"/>
  <c r="L237" i="8"/>
  <c r="E236" i="8"/>
  <c r="L236" i="8"/>
  <c r="E235" i="8"/>
  <c r="L235" i="8"/>
  <c r="E234" i="8"/>
  <c r="L234" i="8"/>
  <c r="E233" i="8"/>
  <c r="L233" i="8"/>
  <c r="E232" i="8"/>
  <c r="L232" i="8"/>
  <c r="E231" i="8"/>
  <c r="L231" i="8"/>
  <c r="E230" i="8"/>
  <c r="L230" i="8"/>
  <c r="E229" i="8"/>
  <c r="L229" i="8"/>
  <c r="E228" i="8"/>
  <c r="L228" i="8"/>
  <c r="E227" i="8"/>
  <c r="L227" i="8"/>
  <c r="E226" i="8"/>
  <c r="L226" i="8"/>
  <c r="E225" i="8"/>
  <c r="L225" i="8"/>
  <c r="E224" i="8"/>
  <c r="L224" i="8"/>
  <c r="E223" i="8"/>
  <c r="L223" i="8"/>
  <c r="E222" i="8"/>
  <c r="L222" i="8"/>
  <c r="E221" i="8"/>
  <c r="L221" i="8"/>
  <c r="E220" i="8"/>
  <c r="L220" i="8"/>
  <c r="E219" i="8"/>
  <c r="L219" i="8"/>
  <c r="E218" i="8"/>
  <c r="L218" i="8"/>
  <c r="E217" i="8"/>
  <c r="L217" i="8"/>
  <c r="E216" i="8"/>
  <c r="L216" i="8"/>
  <c r="E215" i="8"/>
  <c r="L215" i="8"/>
  <c r="E214" i="8"/>
  <c r="L214" i="8"/>
  <c r="E213" i="8"/>
  <c r="L213" i="8"/>
  <c r="E212" i="8"/>
  <c r="L212" i="8"/>
  <c r="E211" i="8"/>
  <c r="L211" i="8"/>
  <c r="E210" i="8"/>
  <c r="L210" i="8"/>
  <c r="E209" i="8"/>
  <c r="L209" i="8"/>
  <c r="E208" i="8"/>
  <c r="L208" i="8"/>
  <c r="E207" i="8"/>
  <c r="L207" i="8"/>
  <c r="E206" i="8"/>
  <c r="L206" i="8"/>
  <c r="E205" i="8"/>
  <c r="L205" i="8"/>
  <c r="E204" i="8"/>
  <c r="L204" i="8"/>
  <c r="E203" i="8"/>
  <c r="L203" i="8"/>
  <c r="E202" i="8"/>
  <c r="L202" i="8"/>
  <c r="E201" i="8"/>
  <c r="L201" i="8"/>
  <c r="H277" i="8"/>
  <c r="I277" i="8" s="1"/>
  <c r="H276" i="8"/>
  <c r="I276" i="8" s="1"/>
  <c r="H275" i="8"/>
  <c r="I275" i="8" s="1"/>
  <c r="H274" i="8"/>
  <c r="I274" i="8" s="1"/>
  <c r="H273" i="8"/>
  <c r="I273" i="8" s="1"/>
  <c r="H272" i="8"/>
  <c r="I272" i="8" s="1"/>
  <c r="H271" i="8"/>
  <c r="I271" i="8" s="1"/>
  <c r="H269" i="8"/>
  <c r="I269" i="8" s="1"/>
  <c r="H270" i="8"/>
  <c r="I270" i="8" s="1"/>
  <c r="H264" i="8"/>
  <c r="I264" i="8" s="1"/>
  <c r="H265" i="8"/>
  <c r="I265" i="8" s="1"/>
  <c r="H262" i="8"/>
  <c r="I262" i="8" s="1"/>
  <c r="H263" i="8"/>
  <c r="I263" i="8" s="1"/>
  <c r="H258" i="8"/>
  <c r="I258" i="8" s="1"/>
  <c r="H257" i="8"/>
  <c r="I257" i="8" s="1"/>
  <c r="H256" i="8"/>
  <c r="I256" i="8" s="1"/>
  <c r="H254" i="8"/>
  <c r="I254" i="8" s="1"/>
  <c r="H255" i="8"/>
  <c r="I255" i="8" s="1"/>
  <c r="H252" i="8"/>
  <c r="I252" i="8" s="1"/>
  <c r="H244" i="8"/>
  <c r="I244" i="8" s="1"/>
  <c r="H201" i="8"/>
  <c r="I201" i="8" s="1"/>
  <c r="H243" i="8"/>
  <c r="I243" i="8" s="1"/>
  <c r="H242" i="8"/>
  <c r="I242" i="8" s="1"/>
  <c r="H241" i="8"/>
  <c r="I241" i="8" s="1"/>
  <c r="H240" i="8"/>
  <c r="I240" i="8" s="1"/>
  <c r="H239" i="8"/>
  <c r="I239" i="8" s="1"/>
  <c r="H238" i="8"/>
  <c r="I238" i="8" s="1"/>
  <c r="H237" i="8"/>
  <c r="I237" i="8" s="1"/>
  <c r="H236" i="8"/>
  <c r="I236" i="8" s="1"/>
  <c r="H235" i="8"/>
  <c r="I235" i="8" s="1"/>
  <c r="H234" i="8"/>
  <c r="I234" i="8" s="1"/>
  <c r="H233" i="8"/>
  <c r="I233" i="8" s="1"/>
  <c r="H232" i="8"/>
  <c r="I232" i="8" s="1"/>
  <c r="H231" i="8"/>
  <c r="I231" i="8" s="1"/>
  <c r="H230" i="8"/>
  <c r="I230" i="8" s="1"/>
  <c r="H228" i="8"/>
  <c r="I228" i="8" s="1"/>
  <c r="H229" i="8"/>
  <c r="I229" i="8" s="1"/>
  <c r="H214" i="8"/>
  <c r="I214" i="8" s="1"/>
  <c r="H213" i="8"/>
  <c r="I213" i="8" s="1"/>
  <c r="H211" i="8"/>
  <c r="I211" i="8" s="1"/>
  <c r="H212" i="8"/>
  <c r="I212" i="8" s="1"/>
  <c r="H210" i="8"/>
  <c r="I210" i="8" s="1"/>
  <c r="H209" i="8"/>
  <c r="I209" i="8" s="1"/>
  <c r="H207" i="8"/>
  <c r="I207" i="8" s="1"/>
  <c r="H208" i="8"/>
  <c r="I208" i="8" s="1"/>
  <c r="H206" i="8"/>
  <c r="I206" i="8" s="1"/>
  <c r="H84" i="8"/>
  <c r="I84" i="8" s="1"/>
  <c r="H85" i="8"/>
  <c r="I85" i="8" s="1"/>
  <c r="H82" i="8"/>
  <c r="I82" i="8" s="1"/>
  <c r="H83" i="8"/>
  <c r="I83" i="8" s="1"/>
  <c r="H79" i="8"/>
  <c r="I79" i="8" s="1"/>
  <c r="H78" i="8"/>
  <c r="I78" i="8" s="1"/>
  <c r="H77" i="8"/>
  <c r="I77" i="8" s="1"/>
  <c r="H76" i="8"/>
  <c r="I76" i="8" s="1"/>
  <c r="H75" i="8"/>
  <c r="I75" i="8" s="1"/>
  <c r="H74" i="8"/>
  <c r="I74" i="8" s="1"/>
  <c r="H73" i="8"/>
  <c r="I73" i="8" s="1"/>
  <c r="H72" i="8"/>
  <c r="I72" i="8" s="1"/>
  <c r="H71" i="8"/>
  <c r="I71" i="8" s="1"/>
  <c r="H70" i="8"/>
  <c r="I70" i="8" s="1"/>
  <c r="H68" i="8"/>
  <c r="I68" i="8" s="1"/>
  <c r="H69" i="8"/>
  <c r="I69" i="8" s="1"/>
  <c r="H65" i="8"/>
  <c r="I65" i="8" s="1"/>
  <c r="H66" i="8"/>
  <c r="I66" i="8" s="1"/>
  <c r="H62" i="8"/>
  <c r="I62" i="8" s="1"/>
  <c r="H63" i="8"/>
  <c r="I63" i="8" s="1"/>
  <c r="H52" i="8"/>
  <c r="I52" i="8" s="1"/>
  <c r="H53" i="8"/>
  <c r="I53" i="8" s="1"/>
  <c r="H48" i="8"/>
  <c r="I48" i="8" s="1"/>
  <c r="H49" i="8"/>
  <c r="I49" i="8" s="1"/>
  <c r="H41" i="8"/>
  <c r="I41" i="8" s="1"/>
  <c r="H40" i="8"/>
  <c r="I40" i="8" s="1"/>
  <c r="H39" i="8"/>
  <c r="I39" i="8" s="1"/>
  <c r="H38" i="8"/>
  <c r="I38" i="8" s="1"/>
  <c r="H37" i="8"/>
  <c r="I37" i="8" s="1"/>
  <c r="H36" i="8"/>
  <c r="I36" i="8" s="1"/>
  <c r="H35" i="8"/>
  <c r="I35" i="8" s="1"/>
  <c r="H34" i="8"/>
  <c r="I34" i="8" s="1"/>
  <c r="H33" i="8"/>
  <c r="I33" i="8" s="1"/>
  <c r="H31" i="8"/>
  <c r="I31" i="8" s="1"/>
  <c r="H32" i="8"/>
  <c r="I32" i="8" s="1"/>
  <c r="H23" i="8"/>
  <c r="I23" i="8" s="1"/>
  <c r="H22" i="8"/>
  <c r="I22" i="8" s="1"/>
  <c r="H21" i="8"/>
  <c r="I21" i="8" s="1"/>
  <c r="H20" i="8"/>
  <c r="I20" i="8" s="1"/>
  <c r="H19" i="8"/>
  <c r="I19" i="8" s="1"/>
  <c r="H18" i="8"/>
  <c r="I18" i="8" s="1"/>
  <c r="H17" i="8"/>
  <c r="I17" i="8" s="1"/>
  <c r="H16" i="8"/>
  <c r="I16" i="8" s="1"/>
  <c r="H15" i="8"/>
  <c r="I15" i="8" s="1"/>
  <c r="H14" i="8"/>
  <c r="I14" i="8" s="1"/>
  <c r="H13" i="8"/>
  <c r="I13" i="8" s="1"/>
  <c r="H12" i="8"/>
  <c r="I12" i="8" s="1"/>
  <c r="H11" i="8"/>
  <c r="I11" i="8" s="1"/>
  <c r="H10" i="8"/>
  <c r="I10" i="8" s="1"/>
  <c r="H9" i="8"/>
  <c r="I9" i="8" s="1"/>
  <c r="H8" i="8"/>
  <c r="I8" i="8" s="1"/>
  <c r="H7" i="8"/>
  <c r="I7" i="8" s="1"/>
  <c r="H6" i="8"/>
  <c r="I6" i="8" s="1"/>
  <c r="H5" i="8"/>
  <c r="I5" i="8" s="1"/>
  <c r="H4" i="8"/>
  <c r="I4" i="8" s="1"/>
  <c r="H3" i="8"/>
  <c r="I3" i="8" s="1"/>
  <c r="W3" i="8" s="1"/>
  <c r="W4" i="8" s="1"/>
  <c r="W5" i="8" s="1"/>
  <c r="W6" i="8" s="1"/>
  <c r="W7" i="8" s="1"/>
  <c r="W8" i="8" s="1"/>
  <c r="W9" i="8" s="1"/>
  <c r="W10" i="8" s="1"/>
  <c r="W11" i="8" s="1"/>
  <c r="W12" i="8" s="1"/>
  <c r="W13" i="8" s="1"/>
  <c r="W14" i="8" s="1"/>
  <c r="W15" i="8" s="1"/>
  <c r="W16" i="8" s="1"/>
  <c r="W17" i="8" s="1"/>
  <c r="W18" i="8" s="1"/>
  <c r="W19" i="8" s="1"/>
  <c r="W20" i="8" s="1"/>
  <c r="W21" i="8" s="1"/>
  <c r="G3" i="8"/>
  <c r="G4" i="8" s="1"/>
  <c r="G5" i="8" s="1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G72" i="8" s="1"/>
  <c r="G73" i="8" s="1"/>
  <c r="G74" i="8" s="1"/>
  <c r="G75" i="8" s="1"/>
  <c r="G76" i="8" s="1"/>
  <c r="G77" i="8" s="1"/>
  <c r="G78" i="8" s="1"/>
  <c r="G79" i="8" s="1"/>
  <c r="G80" i="8" s="1"/>
  <c r="G81" i="8" s="1"/>
  <c r="G82" i="8" s="1"/>
  <c r="G83" i="8" s="1"/>
  <c r="G84" i="8" s="1"/>
  <c r="G85" i="8" s="1"/>
  <c r="G86" i="8" s="1"/>
  <c r="G87" i="8" s="1"/>
  <c r="G88" i="8" s="1"/>
  <c r="G89" i="8" s="1"/>
  <c r="G90" i="8" s="1"/>
  <c r="G91" i="8" s="1"/>
  <c r="G92" i="8" s="1"/>
  <c r="G93" i="8" s="1"/>
  <c r="G94" i="8" s="1"/>
  <c r="G95" i="8" s="1"/>
  <c r="G96" i="8" s="1"/>
  <c r="G97" i="8" s="1"/>
  <c r="G98" i="8" s="1"/>
  <c r="G99" i="8" s="1"/>
  <c r="G100" i="8" s="1"/>
  <c r="G101" i="8" s="1"/>
  <c r="G102" i="8" s="1"/>
  <c r="G103" i="8" s="1"/>
  <c r="G104" i="8" s="1"/>
  <c r="G105" i="8" s="1"/>
  <c r="G106" i="8" s="1"/>
  <c r="G107" i="8" s="1"/>
  <c r="G108" i="8" s="1"/>
  <c r="G109" i="8" s="1"/>
  <c r="G110" i="8" s="1"/>
  <c r="G111" i="8" s="1"/>
  <c r="G112" i="8" s="1"/>
  <c r="G113" i="8" s="1"/>
  <c r="G114" i="8" s="1"/>
  <c r="G115" i="8" s="1"/>
  <c r="G116" i="8" s="1"/>
  <c r="G117" i="8" s="1"/>
  <c r="G118" i="8" s="1"/>
  <c r="G119" i="8" s="1"/>
  <c r="G120" i="8" s="1"/>
  <c r="G121" i="8" s="1"/>
  <c r="G122" i="8" s="1"/>
  <c r="G123" i="8" s="1"/>
  <c r="G124" i="8" s="1"/>
  <c r="G125" i="8" s="1"/>
  <c r="G126" i="8" s="1"/>
  <c r="G127" i="8" s="1"/>
  <c r="G128" i="8" s="1"/>
  <c r="G129" i="8" s="1"/>
  <c r="G130" i="8" s="1"/>
  <c r="G131" i="8" s="1"/>
  <c r="G132" i="8" s="1"/>
  <c r="G133" i="8" s="1"/>
  <c r="G134" i="8" s="1"/>
  <c r="G135" i="8" s="1"/>
  <c r="G136" i="8" s="1"/>
  <c r="G137" i="8" s="1"/>
  <c r="G138" i="8" s="1"/>
  <c r="G139" i="8" s="1"/>
  <c r="G140" i="8" s="1"/>
  <c r="G141" i="8" s="1"/>
  <c r="G142" i="8" s="1"/>
  <c r="G143" i="8" s="1"/>
  <c r="G144" i="8" s="1"/>
  <c r="G145" i="8" s="1"/>
  <c r="G146" i="8" s="1"/>
  <c r="G147" i="8" s="1"/>
  <c r="G148" i="8" s="1"/>
  <c r="G149" i="8" s="1"/>
  <c r="G150" i="8" s="1"/>
  <c r="G151" i="8" s="1"/>
  <c r="G152" i="8" s="1"/>
  <c r="G153" i="8" s="1"/>
  <c r="G154" i="8" s="1"/>
  <c r="G155" i="8" s="1"/>
  <c r="G156" i="8" s="1"/>
  <c r="G157" i="8" s="1"/>
  <c r="G158" i="8" s="1"/>
  <c r="G159" i="8" s="1"/>
  <c r="G160" i="8" s="1"/>
  <c r="G161" i="8" s="1"/>
  <c r="G162" i="8" s="1"/>
  <c r="G163" i="8" s="1"/>
  <c r="G164" i="8" s="1"/>
  <c r="G165" i="8" s="1"/>
  <c r="G166" i="8" s="1"/>
  <c r="G167" i="8" s="1"/>
  <c r="G168" i="8" s="1"/>
  <c r="G169" i="8" s="1"/>
  <c r="G170" i="8" s="1"/>
  <c r="G171" i="8" s="1"/>
  <c r="G172" i="8" s="1"/>
  <c r="G173" i="8" s="1"/>
  <c r="G174" i="8" s="1"/>
  <c r="G175" i="8" s="1"/>
  <c r="G176" i="8" s="1"/>
  <c r="G177" i="8" s="1"/>
  <c r="G178" i="8" s="1"/>
  <c r="G179" i="8" s="1"/>
  <c r="G180" i="8" s="1"/>
  <c r="G181" i="8" s="1"/>
  <c r="G182" i="8" s="1"/>
  <c r="G183" i="8" s="1"/>
  <c r="G184" i="8" s="1"/>
  <c r="G185" i="8" s="1"/>
  <c r="G186" i="8" s="1"/>
  <c r="G187" i="8" s="1"/>
  <c r="G188" i="8" s="1"/>
  <c r="G189" i="8" s="1"/>
  <c r="G190" i="8" s="1"/>
  <c r="G191" i="8" s="1"/>
  <c r="G192" i="8" s="1"/>
  <c r="G193" i="8" s="1"/>
  <c r="G194" i="8" s="1"/>
  <c r="G195" i="8" s="1"/>
  <c r="G196" i="8" s="1"/>
  <c r="G197" i="8" s="1"/>
  <c r="G198" i="8" s="1"/>
  <c r="G199" i="8" s="1"/>
  <c r="G200" i="8" s="1"/>
  <c r="G201" i="8" s="1"/>
  <c r="G202" i="8" s="1"/>
  <c r="G203" i="8" s="1"/>
  <c r="G204" i="8" s="1"/>
  <c r="G205" i="8" s="1"/>
  <c r="G206" i="8" s="1"/>
  <c r="G207" i="8" s="1"/>
  <c r="G208" i="8" s="1"/>
  <c r="G209" i="8" s="1"/>
  <c r="G210" i="8" s="1"/>
  <c r="G211" i="8" s="1"/>
  <c r="G212" i="8" s="1"/>
  <c r="G213" i="8" s="1"/>
  <c r="G214" i="8" s="1"/>
  <c r="G215" i="8" s="1"/>
  <c r="G216" i="8" s="1"/>
  <c r="G217" i="8" s="1"/>
  <c r="G218" i="8" s="1"/>
  <c r="G219" i="8" s="1"/>
  <c r="G220" i="8" s="1"/>
  <c r="G221" i="8" s="1"/>
  <c r="G222" i="8" s="1"/>
  <c r="G223" i="8" s="1"/>
  <c r="G224" i="8" s="1"/>
  <c r="G225" i="8" s="1"/>
  <c r="G226" i="8" s="1"/>
  <c r="G227" i="8" s="1"/>
  <c r="G228" i="8" s="1"/>
  <c r="G229" i="8" s="1"/>
  <c r="G230" i="8" s="1"/>
  <c r="G231" i="8" s="1"/>
  <c r="G232" i="8" s="1"/>
  <c r="G233" i="8" s="1"/>
  <c r="G234" i="8" s="1"/>
  <c r="G235" i="8" s="1"/>
  <c r="G236" i="8" s="1"/>
  <c r="G237" i="8" s="1"/>
  <c r="G238" i="8" s="1"/>
  <c r="G239" i="8" s="1"/>
  <c r="G240" i="8" s="1"/>
  <c r="G241" i="8" s="1"/>
  <c r="G242" i="8" s="1"/>
  <c r="G243" i="8" s="1"/>
  <c r="G244" i="8" s="1"/>
  <c r="G245" i="8" s="1"/>
  <c r="G246" i="8" s="1"/>
  <c r="G247" i="8" s="1"/>
  <c r="G248" i="8" s="1"/>
  <c r="G249" i="8" s="1"/>
  <c r="G250" i="8" s="1"/>
  <c r="G251" i="8" s="1"/>
  <c r="G252" i="8" s="1"/>
  <c r="G253" i="8" s="1"/>
  <c r="G254" i="8" s="1"/>
  <c r="G255" i="8" s="1"/>
  <c r="G256" i="8" s="1"/>
  <c r="G257" i="8" s="1"/>
  <c r="G258" i="8" s="1"/>
  <c r="G259" i="8" s="1"/>
  <c r="G260" i="8" s="1"/>
  <c r="G261" i="8" s="1"/>
  <c r="G262" i="8" s="1"/>
  <c r="G263" i="8" s="1"/>
  <c r="G264" i="8" s="1"/>
  <c r="G265" i="8" s="1"/>
  <c r="G266" i="8" s="1"/>
  <c r="G267" i="8" s="1"/>
  <c r="G268" i="8" s="1"/>
  <c r="G269" i="8" s="1"/>
  <c r="G270" i="8" s="1"/>
  <c r="G271" i="8" s="1"/>
  <c r="G272" i="8" s="1"/>
  <c r="G273" i="8" s="1"/>
  <c r="G274" i="8" s="1"/>
  <c r="G275" i="8" s="1"/>
  <c r="G276" i="8" s="1"/>
  <c r="G277" i="8" s="1"/>
  <c r="G278" i="8" s="1"/>
  <c r="AE278" i="8" s="1"/>
  <c r="C10" i="9" l="1"/>
  <c r="C9" i="9"/>
  <c r="V4" i="8"/>
  <c r="V5" i="8" s="1"/>
  <c r="V6" i="8" s="1"/>
  <c r="V7" i="8" s="1"/>
  <c r="V8" i="8" s="1"/>
  <c r="V9" i="8" s="1"/>
  <c r="V10" i="8" s="1"/>
  <c r="V11" i="8" s="1"/>
  <c r="V12" i="8" s="1"/>
  <c r="V13" i="8" s="1"/>
  <c r="V14" i="8" s="1"/>
  <c r="V15" i="8" s="1"/>
  <c r="V16" i="8" s="1"/>
  <c r="V17" i="8" s="1"/>
  <c r="V18" i="8" s="1"/>
  <c r="V19" i="8" s="1"/>
  <c r="V20" i="8" s="1"/>
  <c r="V21" i="8" s="1"/>
  <c r="V22" i="8" s="1"/>
  <c r="V23" i="8" s="1"/>
  <c r="V24" i="8" s="1"/>
  <c r="V25" i="8" s="1"/>
  <c r="V26" i="8" s="1"/>
  <c r="V27" i="8" s="1"/>
  <c r="V28" i="8" s="1"/>
  <c r="V29" i="8" s="1"/>
  <c r="V30" i="8" s="1"/>
  <c r="V31" i="8" s="1"/>
  <c r="V32" i="8" s="1"/>
  <c r="V33" i="8" s="1"/>
  <c r="V34" i="8" s="1"/>
  <c r="V35" i="8" s="1"/>
  <c r="V36" i="8" s="1"/>
  <c r="V37" i="8" s="1"/>
  <c r="V38" i="8" s="1"/>
  <c r="V39" i="8" s="1"/>
  <c r="V40" i="8" s="1"/>
  <c r="V41" i="8" s="1"/>
  <c r="V42" i="8" s="1"/>
  <c r="V43" i="8" s="1"/>
  <c r="V44" i="8" s="1"/>
  <c r="V45" i="8" s="1"/>
  <c r="V46" i="8" s="1"/>
  <c r="V47" i="8" s="1"/>
  <c r="V48" i="8" s="1"/>
  <c r="V49" i="8" s="1"/>
  <c r="V50" i="8" s="1"/>
  <c r="V51" i="8" s="1"/>
  <c r="V52" i="8" s="1"/>
  <c r="V53" i="8" s="1"/>
  <c r="V54" i="8" s="1"/>
  <c r="V55" i="8" s="1"/>
  <c r="V56" i="8" s="1"/>
  <c r="V57" i="8" s="1"/>
  <c r="V58" i="8" s="1"/>
  <c r="V59" i="8" s="1"/>
  <c r="V60" i="8" s="1"/>
  <c r="V61" i="8" s="1"/>
  <c r="V62" i="8" s="1"/>
  <c r="V63" i="8" s="1"/>
  <c r="V64" i="8" s="1"/>
  <c r="V65" i="8" s="1"/>
  <c r="V66" i="8" s="1"/>
  <c r="V67" i="8" s="1"/>
  <c r="V68" i="8" s="1"/>
  <c r="V69" i="8" s="1"/>
  <c r="V70" i="8" s="1"/>
  <c r="V71" i="8" s="1"/>
  <c r="V72" i="8" s="1"/>
  <c r="V73" i="8" s="1"/>
  <c r="V74" i="8" s="1"/>
  <c r="V75" i="8" s="1"/>
  <c r="V76" i="8" s="1"/>
  <c r="V77" i="8" s="1"/>
  <c r="V78" i="8" s="1"/>
  <c r="V79" i="8" s="1"/>
  <c r="V80" i="8" s="1"/>
  <c r="V81" i="8" s="1"/>
  <c r="V82" i="8" s="1"/>
  <c r="V83" i="8" s="1"/>
  <c r="V84" i="8" s="1"/>
  <c r="V85" i="8" s="1"/>
  <c r="V86" i="8" s="1"/>
  <c r="V87" i="8" s="1"/>
  <c r="V88" i="8" s="1"/>
  <c r="V89" i="8" s="1"/>
  <c r="V90" i="8" s="1"/>
  <c r="V91" i="8" s="1"/>
  <c r="V92" i="8" s="1"/>
  <c r="V93" i="8" s="1"/>
  <c r="V94" i="8" s="1"/>
  <c r="V95" i="8" s="1"/>
  <c r="V96" i="8" s="1"/>
  <c r="V97" i="8" s="1"/>
  <c r="V98" i="8" s="1"/>
  <c r="V99" i="8" s="1"/>
  <c r="V100" i="8" s="1"/>
  <c r="V101" i="8" s="1"/>
  <c r="V102" i="8" s="1"/>
  <c r="V103" i="8" s="1"/>
  <c r="V104" i="8" s="1"/>
  <c r="V105" i="8" s="1"/>
  <c r="V106" i="8" s="1"/>
  <c r="V107" i="8" s="1"/>
  <c r="V108" i="8" s="1"/>
  <c r="V109" i="8" s="1"/>
  <c r="V110" i="8" s="1"/>
  <c r="V111" i="8" s="1"/>
  <c r="V112" i="8" s="1"/>
  <c r="V113" i="8" s="1"/>
  <c r="V114" i="8" s="1"/>
  <c r="V115" i="8" s="1"/>
  <c r="V116" i="8" s="1"/>
  <c r="V117" i="8" s="1"/>
  <c r="V118" i="8" s="1"/>
  <c r="V119" i="8" s="1"/>
  <c r="V120" i="8" s="1"/>
  <c r="V121" i="8" s="1"/>
  <c r="V122" i="8" s="1"/>
  <c r="V123" i="8" s="1"/>
  <c r="V124" i="8" s="1"/>
  <c r="V125" i="8" s="1"/>
  <c r="V126" i="8" s="1"/>
  <c r="V127" i="8" s="1"/>
  <c r="V128" i="8" s="1"/>
  <c r="V129" i="8" s="1"/>
  <c r="V130" i="8" s="1"/>
  <c r="V131" i="8" s="1"/>
  <c r="V132" i="8" s="1"/>
  <c r="V133" i="8" s="1"/>
  <c r="V134" i="8" s="1"/>
  <c r="V135" i="8" s="1"/>
  <c r="V136" i="8" s="1"/>
  <c r="V137" i="8" s="1"/>
  <c r="V138" i="8" s="1"/>
  <c r="V139" i="8" s="1"/>
  <c r="V140" i="8" s="1"/>
  <c r="V141" i="8" s="1"/>
  <c r="V142" i="8" s="1"/>
  <c r="V143" i="8" s="1"/>
  <c r="V144" i="8" s="1"/>
  <c r="V145" i="8" s="1"/>
  <c r="V146" i="8" s="1"/>
  <c r="V147" i="8" s="1"/>
  <c r="V148" i="8" s="1"/>
  <c r="V149" i="8" s="1"/>
  <c r="V150" i="8" s="1"/>
  <c r="V151" i="8" s="1"/>
  <c r="V152" i="8" s="1"/>
  <c r="V153" i="8" s="1"/>
  <c r="V154" i="8" s="1"/>
  <c r="V155" i="8" s="1"/>
  <c r="V156" i="8" s="1"/>
  <c r="V157" i="8" s="1"/>
  <c r="V158" i="8" s="1"/>
  <c r="V159" i="8" s="1"/>
  <c r="V160" i="8" s="1"/>
  <c r="V161" i="8" s="1"/>
  <c r="V162" i="8" s="1"/>
  <c r="V163" i="8" s="1"/>
  <c r="V164" i="8" s="1"/>
  <c r="V165" i="8" s="1"/>
  <c r="V166" i="8" s="1"/>
  <c r="V167" i="8" s="1"/>
  <c r="V168" i="8" s="1"/>
  <c r="V169" i="8" s="1"/>
  <c r="V170" i="8" s="1"/>
  <c r="V171" i="8" s="1"/>
  <c r="V172" i="8" s="1"/>
  <c r="V173" i="8" s="1"/>
  <c r="V174" i="8" s="1"/>
  <c r="V175" i="8" s="1"/>
  <c r="V176" i="8" s="1"/>
  <c r="V177" i="8" s="1"/>
  <c r="V178" i="8" s="1"/>
  <c r="V179" i="8" s="1"/>
  <c r="V180" i="8" s="1"/>
  <c r="V181" i="8" s="1"/>
  <c r="V182" i="8" s="1"/>
  <c r="V183" i="8" s="1"/>
  <c r="V184" i="8" s="1"/>
  <c r="V185" i="8" s="1"/>
  <c r="V186" i="8" s="1"/>
  <c r="V187" i="8" s="1"/>
  <c r="V188" i="8" s="1"/>
  <c r="V189" i="8" s="1"/>
  <c r="V190" i="8" s="1"/>
  <c r="V191" i="8" s="1"/>
  <c r="V192" i="8" s="1"/>
  <c r="V193" i="8" s="1"/>
  <c r="V194" i="8" s="1"/>
  <c r="V195" i="8" s="1"/>
  <c r="V196" i="8" s="1"/>
  <c r="V197" i="8" s="1"/>
  <c r="V198" i="8" s="1"/>
  <c r="V199" i="8" s="1"/>
  <c r="V200" i="8" s="1"/>
  <c r="V201" i="8" s="1"/>
  <c r="V202" i="8" s="1"/>
  <c r="V203" i="8" s="1"/>
  <c r="V204" i="8" s="1"/>
  <c r="V205" i="8" s="1"/>
  <c r="V206" i="8" s="1"/>
  <c r="V207" i="8" s="1"/>
  <c r="V208" i="8" s="1"/>
  <c r="V209" i="8" s="1"/>
  <c r="V210" i="8" s="1"/>
  <c r="V211" i="8" s="1"/>
  <c r="V212" i="8" s="1"/>
  <c r="V213" i="8" s="1"/>
  <c r="V214" i="8" s="1"/>
  <c r="V215" i="8" s="1"/>
  <c r="V216" i="8" s="1"/>
  <c r="V217" i="8" s="1"/>
  <c r="V218" i="8" s="1"/>
  <c r="V219" i="8" s="1"/>
  <c r="V220" i="8" s="1"/>
  <c r="V221" i="8" s="1"/>
  <c r="V222" i="8" s="1"/>
  <c r="V223" i="8" s="1"/>
  <c r="V224" i="8" s="1"/>
  <c r="V225" i="8" s="1"/>
  <c r="V226" i="8" s="1"/>
  <c r="V227" i="8" s="1"/>
  <c r="V228" i="8" s="1"/>
  <c r="V229" i="8" s="1"/>
  <c r="V230" i="8" s="1"/>
  <c r="V231" i="8" s="1"/>
  <c r="V232" i="8" s="1"/>
  <c r="V233" i="8" s="1"/>
  <c r="V234" i="8" s="1"/>
  <c r="V235" i="8" s="1"/>
  <c r="V236" i="8" s="1"/>
  <c r="V237" i="8" s="1"/>
  <c r="V238" i="8" s="1"/>
  <c r="V239" i="8" s="1"/>
  <c r="V240" i="8" s="1"/>
  <c r="V241" i="8" s="1"/>
  <c r="V242" i="8" s="1"/>
  <c r="V243" i="8" s="1"/>
  <c r="V244" i="8" s="1"/>
  <c r="V245" i="8" s="1"/>
  <c r="V246" i="8" s="1"/>
  <c r="V247" i="8" s="1"/>
  <c r="V248" i="8" s="1"/>
  <c r="V249" i="8" s="1"/>
  <c r="V250" i="8" s="1"/>
  <c r="V251" i="8" s="1"/>
  <c r="V252" i="8" s="1"/>
  <c r="V253" i="8" s="1"/>
  <c r="V254" i="8" s="1"/>
  <c r="V255" i="8" s="1"/>
  <c r="V256" i="8" s="1"/>
  <c r="V257" i="8" s="1"/>
  <c r="V258" i="8" s="1"/>
  <c r="V259" i="8" s="1"/>
  <c r="V260" i="8" s="1"/>
  <c r="V261" i="8" s="1"/>
  <c r="V262" i="8" s="1"/>
  <c r="V263" i="8" s="1"/>
  <c r="V264" i="8" s="1"/>
  <c r="V265" i="8" s="1"/>
  <c r="V266" i="8" s="1"/>
  <c r="V267" i="8" s="1"/>
  <c r="V268" i="8" s="1"/>
  <c r="V269" i="8" s="1"/>
  <c r="V270" i="8" s="1"/>
  <c r="V271" i="8" s="1"/>
  <c r="V272" i="8" s="1"/>
  <c r="V273" i="8" s="1"/>
  <c r="V274" i="8" s="1"/>
  <c r="V275" i="8" s="1"/>
  <c r="V276" i="8" s="1"/>
  <c r="V277" i="8" s="1"/>
  <c r="V278" i="8" s="1"/>
  <c r="C13" i="9" s="1"/>
  <c r="Y278" i="8"/>
  <c r="Y2" i="8"/>
  <c r="AG278" i="8"/>
  <c r="AI278" i="8"/>
  <c r="AG2" i="8"/>
  <c r="B8" i="1"/>
  <c r="B9" i="1" s="1"/>
  <c r="G14" i="1"/>
  <c r="B48" i="1"/>
  <c r="B47" i="1"/>
  <c r="B46" i="1"/>
  <c r="G11" i="1"/>
  <c r="G10" i="1"/>
  <c r="G9" i="1"/>
  <c r="G8" i="1"/>
  <c r="G7" i="1"/>
  <c r="B42" i="1"/>
  <c r="G15" i="1" l="1"/>
  <c r="G19" i="1" s="1"/>
  <c r="G20" i="1"/>
  <c r="H19" i="1"/>
  <c r="I19" i="1"/>
  <c r="I20" i="1"/>
  <c r="B50" i="1"/>
  <c r="E15" i="1" s="1"/>
  <c r="B18" i="1"/>
  <c r="B49" i="1"/>
  <c r="E14" i="1" s="1"/>
  <c r="H8" i="1"/>
  <c r="H7" i="1"/>
  <c r="I7" i="1" s="1"/>
  <c r="K7" i="1" s="1"/>
  <c r="H9" i="1"/>
  <c r="R200" i="8" l="1"/>
  <c r="R199" i="8"/>
  <c r="R198" i="8"/>
  <c r="R197" i="8"/>
  <c r="R196" i="8"/>
  <c r="R162" i="8"/>
  <c r="R160" i="8"/>
  <c r="R13" i="8"/>
  <c r="R277" i="8"/>
  <c r="R276" i="8"/>
  <c r="R275" i="8"/>
  <c r="R274" i="8"/>
  <c r="R273" i="8"/>
  <c r="R272" i="8"/>
  <c r="R271" i="8"/>
  <c r="R270" i="8"/>
  <c r="R269" i="8"/>
  <c r="R268" i="8"/>
  <c r="R267" i="8"/>
  <c r="R266" i="8"/>
  <c r="R265" i="8"/>
  <c r="R264" i="8"/>
  <c r="R263" i="8"/>
  <c r="R262" i="8"/>
  <c r="R261" i="8"/>
  <c r="R260" i="8"/>
  <c r="R259" i="8"/>
  <c r="R258" i="8"/>
  <c r="R257" i="8"/>
  <c r="R256" i="8"/>
  <c r="R255" i="8"/>
  <c r="R254" i="8"/>
  <c r="R253" i="8"/>
  <c r="R252" i="8"/>
  <c r="R251" i="8"/>
  <c r="R250" i="8"/>
  <c r="R249" i="8"/>
  <c r="R248" i="8"/>
  <c r="R247" i="8"/>
  <c r="R246" i="8"/>
  <c r="R245" i="8"/>
  <c r="R244" i="8"/>
  <c r="R243" i="8"/>
  <c r="R242" i="8"/>
  <c r="R241" i="8"/>
  <c r="R240" i="8"/>
  <c r="R239" i="8"/>
  <c r="R238" i="8"/>
  <c r="R237" i="8"/>
  <c r="R236" i="8"/>
  <c r="R235" i="8"/>
  <c r="R234" i="8"/>
  <c r="R233" i="8"/>
  <c r="R232" i="8"/>
  <c r="R231" i="8"/>
  <c r="R230" i="8"/>
  <c r="R229" i="8"/>
  <c r="R228" i="8"/>
  <c r="R227" i="8"/>
  <c r="R226" i="8"/>
  <c r="R225" i="8"/>
  <c r="R224" i="8"/>
  <c r="R223" i="8"/>
  <c r="R222" i="8"/>
  <c r="R221" i="8"/>
  <c r="R220" i="8"/>
  <c r="R219" i="8"/>
  <c r="R218" i="8"/>
  <c r="R217" i="8"/>
  <c r="R216" i="8"/>
  <c r="R215" i="8"/>
  <c r="R214" i="8"/>
  <c r="R213" i="8"/>
  <c r="R212" i="8"/>
  <c r="R211" i="8"/>
  <c r="R210" i="8"/>
  <c r="R209" i="8"/>
  <c r="R208" i="8"/>
  <c r="R207" i="8"/>
  <c r="R206" i="8"/>
  <c r="R205" i="8"/>
  <c r="R204" i="8"/>
  <c r="R203" i="8"/>
  <c r="R202" i="8"/>
  <c r="R201" i="8"/>
  <c r="R2" i="8"/>
  <c r="R3" i="8"/>
  <c r="R5" i="8"/>
  <c r="R4" i="8"/>
  <c r="R195" i="8"/>
  <c r="R194" i="8"/>
  <c r="R193" i="8"/>
  <c r="R192" i="8"/>
  <c r="R191" i="8"/>
  <c r="R190" i="8"/>
  <c r="R189" i="8"/>
  <c r="R188" i="8"/>
  <c r="R187" i="8"/>
  <c r="R186" i="8"/>
  <c r="R185" i="8"/>
  <c r="R184" i="8"/>
  <c r="R183" i="8"/>
  <c r="R182" i="8"/>
  <c r="R181" i="8"/>
  <c r="R180" i="8"/>
  <c r="R179" i="8"/>
  <c r="R178" i="8"/>
  <c r="R177" i="8"/>
  <c r="R176" i="8"/>
  <c r="R175" i="8"/>
  <c r="R174" i="8"/>
  <c r="R173" i="8"/>
  <c r="R172" i="8"/>
  <c r="R171" i="8"/>
  <c r="R170" i="8"/>
  <c r="R169" i="8"/>
  <c r="R168" i="8"/>
  <c r="R167" i="8"/>
  <c r="R166" i="8"/>
  <c r="R165" i="8"/>
  <c r="R164" i="8"/>
  <c r="R163" i="8"/>
  <c r="R161" i="8"/>
  <c r="R159" i="8"/>
  <c r="R158" i="8"/>
  <c r="R157" i="8"/>
  <c r="R156" i="8"/>
  <c r="R155" i="8"/>
  <c r="R154" i="8"/>
  <c r="R153" i="8"/>
  <c r="R152" i="8"/>
  <c r="R151" i="8"/>
  <c r="R150" i="8"/>
  <c r="R149" i="8"/>
  <c r="R148" i="8"/>
  <c r="R147" i="8"/>
  <c r="R146" i="8"/>
  <c r="R145" i="8"/>
  <c r="R144" i="8"/>
  <c r="R143" i="8"/>
  <c r="R142" i="8"/>
  <c r="R141" i="8"/>
  <c r="R140" i="8"/>
  <c r="R139" i="8"/>
  <c r="R138" i="8"/>
  <c r="R137" i="8"/>
  <c r="R136" i="8"/>
  <c r="R135" i="8"/>
  <c r="R134" i="8"/>
  <c r="R133" i="8"/>
  <c r="R132" i="8"/>
  <c r="R131" i="8"/>
  <c r="R130" i="8"/>
  <c r="R129" i="8"/>
  <c r="R128" i="8"/>
  <c r="R127" i="8"/>
  <c r="R126" i="8"/>
  <c r="R125" i="8"/>
  <c r="R124" i="8"/>
  <c r="R123" i="8"/>
  <c r="R122" i="8"/>
  <c r="R121" i="8"/>
  <c r="R120" i="8"/>
  <c r="R119" i="8"/>
  <c r="R118" i="8"/>
  <c r="R117" i="8"/>
  <c r="R116" i="8"/>
  <c r="R115" i="8"/>
  <c r="R114" i="8"/>
  <c r="R113" i="8"/>
  <c r="R112" i="8"/>
  <c r="R111" i="8"/>
  <c r="R110" i="8"/>
  <c r="R109" i="8"/>
  <c r="R108" i="8"/>
  <c r="R107" i="8"/>
  <c r="R106" i="8"/>
  <c r="R105" i="8"/>
  <c r="R104" i="8"/>
  <c r="R103" i="8"/>
  <c r="R102" i="8"/>
  <c r="R101" i="8"/>
  <c r="R100" i="8"/>
  <c r="R99" i="8"/>
  <c r="R98" i="8"/>
  <c r="R97" i="8"/>
  <c r="R96" i="8"/>
  <c r="R95" i="8"/>
  <c r="R94" i="8"/>
  <c r="R93" i="8"/>
  <c r="R92" i="8"/>
  <c r="R91" i="8"/>
  <c r="R90" i="8"/>
  <c r="R89" i="8"/>
  <c r="R88" i="8"/>
  <c r="R87" i="8"/>
  <c r="R86" i="8"/>
  <c r="R85" i="8"/>
  <c r="R84" i="8"/>
  <c r="R83" i="8"/>
  <c r="R82" i="8"/>
  <c r="R81" i="8"/>
  <c r="R80" i="8"/>
  <c r="R79" i="8"/>
  <c r="R78" i="8"/>
  <c r="R77" i="8"/>
  <c r="R76" i="8"/>
  <c r="R75" i="8"/>
  <c r="R74" i="8"/>
  <c r="R73" i="8"/>
  <c r="R72" i="8"/>
  <c r="R71" i="8"/>
  <c r="R70" i="8"/>
  <c r="R69" i="8"/>
  <c r="R68" i="8"/>
  <c r="R67" i="8"/>
  <c r="R66" i="8"/>
  <c r="R65" i="8"/>
  <c r="R64" i="8"/>
  <c r="R63" i="8"/>
  <c r="R62" i="8"/>
  <c r="R61" i="8"/>
  <c r="R60" i="8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2" i="8"/>
  <c r="R11" i="8"/>
  <c r="R10" i="8"/>
  <c r="R9" i="8"/>
  <c r="R8" i="8"/>
  <c r="R7" i="8"/>
  <c r="R6" i="8"/>
  <c r="R278" i="8"/>
  <c r="K231" i="8"/>
  <c r="K232" i="8"/>
  <c r="K233" i="8"/>
  <c r="K234" i="8"/>
  <c r="K230" i="8"/>
  <c r="K269" i="8"/>
  <c r="K270" i="8"/>
  <c r="K271" i="8"/>
  <c r="K272" i="8"/>
  <c r="K268" i="8"/>
  <c r="K157" i="8"/>
  <c r="K158" i="8"/>
  <c r="K159" i="8"/>
  <c r="K160" i="8"/>
  <c r="K156" i="8"/>
  <c r="K91" i="8"/>
  <c r="K92" i="8"/>
  <c r="K93" i="8"/>
  <c r="K94" i="8"/>
  <c r="K90" i="8"/>
  <c r="N58" i="8"/>
  <c r="N59" i="8"/>
  <c r="N60" i="8"/>
  <c r="N61" i="8"/>
  <c r="N62" i="8"/>
  <c r="N63" i="8"/>
  <c r="N64" i="8"/>
  <c r="N57" i="8"/>
  <c r="N183" i="8"/>
  <c r="N184" i="8"/>
  <c r="N185" i="8"/>
  <c r="N186" i="8"/>
  <c r="N187" i="8"/>
  <c r="N188" i="8"/>
  <c r="N189" i="8"/>
  <c r="N190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3" i="8"/>
  <c r="N264" i="8"/>
  <c r="N265" i="8"/>
  <c r="N266" i="8"/>
  <c r="N267" i="8"/>
  <c r="N268" i="8"/>
  <c r="N269" i="8"/>
  <c r="N270" i="8"/>
  <c r="N271" i="8"/>
  <c r="N272" i="8"/>
  <c r="N273" i="8"/>
  <c r="N274" i="8"/>
  <c r="N275" i="8"/>
  <c r="N276" i="8"/>
  <c r="N277" i="8"/>
  <c r="N182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7" i="8"/>
  <c r="N148" i="8"/>
  <c r="N149" i="8"/>
  <c r="N150" i="8"/>
  <c r="N151" i="8"/>
  <c r="N152" i="8"/>
  <c r="N153" i="8"/>
  <c r="N154" i="8"/>
  <c r="N155" i="8"/>
  <c r="N156" i="8"/>
  <c r="N157" i="8"/>
  <c r="N158" i="8"/>
  <c r="N159" i="8"/>
  <c r="N160" i="8"/>
  <c r="N161" i="8"/>
  <c r="N162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29" i="8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3" i="8"/>
  <c r="I18" i="1"/>
  <c r="G18" i="1"/>
  <c r="H20" i="1"/>
  <c r="G17" i="1"/>
  <c r="H18" i="1"/>
  <c r="I9" i="1"/>
  <c r="K9" i="1" s="1"/>
  <c r="I8" i="1"/>
  <c r="K8" i="1" s="1"/>
  <c r="J9" i="1"/>
  <c r="B52" i="1"/>
  <c r="B54" i="1"/>
  <c r="B53" i="1"/>
  <c r="B41" i="1"/>
  <c r="Q275" i="8" l="1"/>
  <c r="M275" i="8" s="1"/>
  <c r="O275" i="8" s="1"/>
  <c r="Q274" i="8"/>
  <c r="M274" i="8" s="1"/>
  <c r="O274" i="8" s="1"/>
  <c r="Q273" i="8"/>
  <c r="M273" i="8" s="1"/>
  <c r="O273" i="8" s="1"/>
  <c r="Q272" i="8"/>
  <c r="M272" i="8" s="1"/>
  <c r="O272" i="8" s="1"/>
  <c r="Q271" i="8"/>
  <c r="M271" i="8" s="1"/>
  <c r="O271" i="8" s="1"/>
  <c r="Q270" i="8"/>
  <c r="M270" i="8" s="1"/>
  <c r="O270" i="8" s="1"/>
  <c r="Q269" i="8"/>
  <c r="M269" i="8" s="1"/>
  <c r="O269" i="8" s="1"/>
  <c r="Q268" i="8"/>
  <c r="M268" i="8" s="1"/>
  <c r="O268" i="8" s="1"/>
  <c r="Q267" i="8"/>
  <c r="M267" i="8" s="1"/>
  <c r="O267" i="8" s="1"/>
  <c r="Q242" i="8"/>
  <c r="M242" i="8" s="1"/>
  <c r="O242" i="8" s="1"/>
  <c r="Q241" i="8"/>
  <c r="M241" i="8" s="1"/>
  <c r="O241" i="8" s="1"/>
  <c r="Q240" i="8"/>
  <c r="M240" i="8" s="1"/>
  <c r="O240" i="8" s="1"/>
  <c r="Q239" i="8"/>
  <c r="M239" i="8" s="1"/>
  <c r="O239" i="8" s="1"/>
  <c r="Q238" i="8"/>
  <c r="M238" i="8" s="1"/>
  <c r="O238" i="8" s="1"/>
  <c r="Q227" i="8"/>
  <c r="M227" i="8" s="1"/>
  <c r="O227" i="8" s="1"/>
  <c r="Q226" i="8"/>
  <c r="M226" i="8" s="1"/>
  <c r="O226" i="8" s="1"/>
  <c r="Q225" i="8"/>
  <c r="M225" i="8" s="1"/>
  <c r="O225" i="8" s="1"/>
  <c r="Q224" i="8"/>
  <c r="M224" i="8" s="1"/>
  <c r="O224" i="8" s="1"/>
  <c r="Q223" i="8"/>
  <c r="M223" i="8" s="1"/>
  <c r="O223" i="8" s="1"/>
  <c r="Q192" i="8"/>
  <c r="M192" i="8" s="1"/>
  <c r="O192" i="8" s="1"/>
  <c r="Q191" i="8"/>
  <c r="M191" i="8" s="1"/>
  <c r="O191" i="8" s="1"/>
  <c r="Q190" i="8"/>
  <c r="M190" i="8" s="1"/>
  <c r="O190" i="8" s="1"/>
  <c r="Q189" i="8"/>
  <c r="M189" i="8" s="1"/>
  <c r="O189" i="8" s="1"/>
  <c r="Q188" i="8"/>
  <c r="M188" i="8" s="1"/>
  <c r="O188" i="8" s="1"/>
  <c r="Q187" i="8"/>
  <c r="M187" i="8" s="1"/>
  <c r="O187" i="8" s="1"/>
  <c r="Q186" i="8"/>
  <c r="M186" i="8" s="1"/>
  <c r="O186" i="8" s="1"/>
  <c r="Q185" i="8"/>
  <c r="M185" i="8" s="1"/>
  <c r="O185" i="8" s="1"/>
  <c r="Q184" i="8"/>
  <c r="M184" i="8" s="1"/>
  <c r="O184" i="8" s="1"/>
  <c r="Q183" i="8"/>
  <c r="M183" i="8" s="1"/>
  <c r="O183" i="8" s="1"/>
  <c r="Q182" i="8"/>
  <c r="M182" i="8" s="1"/>
  <c r="O182" i="8" s="1"/>
  <c r="Q181" i="8"/>
  <c r="M181" i="8" s="1"/>
  <c r="O181" i="8" s="1"/>
  <c r="Q180" i="8"/>
  <c r="M180" i="8" s="1"/>
  <c r="O180" i="8" s="1"/>
  <c r="Q179" i="8"/>
  <c r="M179" i="8" s="1"/>
  <c r="O179" i="8" s="1"/>
  <c r="Q178" i="8"/>
  <c r="M178" i="8" s="1"/>
  <c r="O178" i="8" s="1"/>
  <c r="Q177" i="8"/>
  <c r="M177" i="8" s="1"/>
  <c r="O177" i="8" s="1"/>
  <c r="Q176" i="8"/>
  <c r="M176" i="8" s="1"/>
  <c r="O176" i="8" s="1"/>
  <c r="Q175" i="8"/>
  <c r="M175" i="8" s="1"/>
  <c r="O175" i="8" s="1"/>
  <c r="Q174" i="8"/>
  <c r="M174" i="8" s="1"/>
  <c r="O174" i="8" s="1"/>
  <c r="Q173" i="8"/>
  <c r="M173" i="8" s="1"/>
  <c r="O173" i="8" s="1"/>
  <c r="Q172" i="8"/>
  <c r="M172" i="8" s="1"/>
  <c r="O172" i="8" s="1"/>
  <c r="Q171" i="8"/>
  <c r="M171" i="8" s="1"/>
  <c r="O171" i="8" s="1"/>
  <c r="Q170" i="8"/>
  <c r="M170" i="8" s="1"/>
  <c r="O170" i="8" s="1"/>
  <c r="Q169" i="8"/>
  <c r="M169" i="8" s="1"/>
  <c r="O169" i="8" s="1"/>
  <c r="Q151" i="8"/>
  <c r="M151" i="8" s="1"/>
  <c r="O151" i="8" s="1"/>
  <c r="Q150" i="8"/>
  <c r="M150" i="8" s="1"/>
  <c r="O150" i="8" s="1"/>
  <c r="Q149" i="8"/>
  <c r="M149" i="8" s="1"/>
  <c r="O149" i="8" s="1"/>
  <c r="Q148" i="8"/>
  <c r="M148" i="8" s="1"/>
  <c r="O148" i="8" s="1"/>
  <c r="Q147" i="8"/>
  <c r="M147" i="8" s="1"/>
  <c r="O147" i="8" s="1"/>
  <c r="Q146" i="8"/>
  <c r="M146" i="8" s="1"/>
  <c r="O146" i="8" s="1"/>
  <c r="Q145" i="8"/>
  <c r="M145" i="8" s="1"/>
  <c r="O145" i="8" s="1"/>
  <c r="Q144" i="8"/>
  <c r="M144" i="8" s="1"/>
  <c r="O144" i="8" s="1"/>
  <c r="Q143" i="8"/>
  <c r="M143" i="8" s="1"/>
  <c r="O143" i="8" s="1"/>
  <c r="Q142" i="8"/>
  <c r="M142" i="8" s="1"/>
  <c r="O142" i="8" s="1"/>
  <c r="Q132" i="8"/>
  <c r="M132" i="8" s="1"/>
  <c r="O132" i="8" s="1"/>
  <c r="Q131" i="8"/>
  <c r="M131" i="8" s="1"/>
  <c r="O131" i="8" s="1"/>
  <c r="Q130" i="8"/>
  <c r="M130" i="8" s="1"/>
  <c r="O130" i="8" s="1"/>
  <c r="Q129" i="8"/>
  <c r="M129" i="8" s="1"/>
  <c r="O129" i="8" s="1"/>
  <c r="Q128" i="8"/>
  <c r="M128" i="8" s="1"/>
  <c r="O128" i="8" s="1"/>
  <c r="Q127" i="8"/>
  <c r="M127" i="8" s="1"/>
  <c r="O127" i="8" s="1"/>
  <c r="Q126" i="8"/>
  <c r="M126" i="8" s="1"/>
  <c r="O126" i="8" s="1"/>
  <c r="Q125" i="8"/>
  <c r="M125" i="8" s="1"/>
  <c r="O125" i="8" s="1"/>
  <c r="Q124" i="8"/>
  <c r="M124" i="8" s="1"/>
  <c r="O124" i="8" s="1"/>
  <c r="Q123" i="8"/>
  <c r="M123" i="8" s="1"/>
  <c r="O123" i="8" s="1"/>
  <c r="Q122" i="8"/>
  <c r="M122" i="8" s="1"/>
  <c r="O122" i="8" s="1"/>
  <c r="Q121" i="8"/>
  <c r="M121" i="8" s="1"/>
  <c r="O121" i="8" s="1"/>
  <c r="Q120" i="8"/>
  <c r="M120" i="8" s="1"/>
  <c r="O120" i="8" s="1"/>
  <c r="Q119" i="8"/>
  <c r="M119" i="8" s="1"/>
  <c r="O119" i="8" s="1"/>
  <c r="Q118" i="8"/>
  <c r="M118" i="8" s="1"/>
  <c r="O118" i="8" s="1"/>
  <c r="Q117" i="8"/>
  <c r="M117" i="8" s="1"/>
  <c r="O117" i="8" s="1"/>
  <c r="Q116" i="8"/>
  <c r="M116" i="8" s="1"/>
  <c r="O116" i="8" s="1"/>
  <c r="Q115" i="8"/>
  <c r="M115" i="8" s="1"/>
  <c r="O115" i="8" s="1"/>
  <c r="Q114" i="8"/>
  <c r="M114" i="8" s="1"/>
  <c r="O114" i="8" s="1"/>
  <c r="Q113" i="8"/>
  <c r="M113" i="8" s="1"/>
  <c r="O113" i="8" s="1"/>
  <c r="Q112" i="8"/>
  <c r="M112" i="8" s="1"/>
  <c r="O112" i="8" s="1"/>
  <c r="Q111" i="8"/>
  <c r="M111" i="8" s="1"/>
  <c r="O111" i="8" s="1"/>
  <c r="Q110" i="8"/>
  <c r="M110" i="8" s="1"/>
  <c r="O110" i="8" s="1"/>
  <c r="Q109" i="8"/>
  <c r="M109" i="8" s="1"/>
  <c r="O109" i="8" s="1"/>
  <c r="Q108" i="8"/>
  <c r="M108" i="8" s="1"/>
  <c r="O108" i="8" s="1"/>
  <c r="Q107" i="8"/>
  <c r="M107" i="8" s="1"/>
  <c r="O107" i="8" s="1"/>
  <c r="Q106" i="8"/>
  <c r="M106" i="8" s="1"/>
  <c r="O106" i="8" s="1"/>
  <c r="Q105" i="8"/>
  <c r="M105" i="8" s="1"/>
  <c r="O105" i="8" s="1"/>
  <c r="Q104" i="8"/>
  <c r="M104" i="8" s="1"/>
  <c r="O104" i="8" s="1"/>
  <c r="Q103" i="8"/>
  <c r="M103" i="8" s="1"/>
  <c r="O103" i="8" s="1"/>
  <c r="Q102" i="8"/>
  <c r="M102" i="8" s="1"/>
  <c r="O102" i="8" s="1"/>
  <c r="Q101" i="8"/>
  <c r="M101" i="8" s="1"/>
  <c r="O101" i="8" s="1"/>
  <c r="Q100" i="8"/>
  <c r="M100" i="8" s="1"/>
  <c r="O100" i="8" s="1"/>
  <c r="Q99" i="8"/>
  <c r="M99" i="8" s="1"/>
  <c r="O99" i="8" s="1"/>
  <c r="Q98" i="8"/>
  <c r="M98" i="8" s="1"/>
  <c r="O98" i="8" s="1"/>
  <c r="Q97" i="8"/>
  <c r="M97" i="8" s="1"/>
  <c r="O97" i="8" s="1"/>
  <c r="Q85" i="8"/>
  <c r="M85" i="8" s="1"/>
  <c r="O85" i="8" s="1"/>
  <c r="Q84" i="8"/>
  <c r="M84" i="8" s="1"/>
  <c r="O84" i="8" s="1"/>
  <c r="Q83" i="8"/>
  <c r="M83" i="8" s="1"/>
  <c r="O83" i="8" s="1"/>
  <c r="Q82" i="8"/>
  <c r="M82" i="8" s="1"/>
  <c r="O82" i="8" s="1"/>
  <c r="Q81" i="8"/>
  <c r="M81" i="8" s="1"/>
  <c r="O81" i="8" s="1"/>
  <c r="Q80" i="8"/>
  <c r="M80" i="8" s="1"/>
  <c r="O80" i="8" s="1"/>
  <c r="Q79" i="8"/>
  <c r="M79" i="8" s="1"/>
  <c r="O79" i="8" s="1"/>
  <c r="Q78" i="8"/>
  <c r="M78" i="8" s="1"/>
  <c r="O78" i="8" s="1"/>
  <c r="Q77" i="8"/>
  <c r="M77" i="8" s="1"/>
  <c r="O77" i="8" s="1"/>
  <c r="Q76" i="8"/>
  <c r="M76" i="8" s="1"/>
  <c r="O76" i="8" s="1"/>
  <c r="Q75" i="8"/>
  <c r="M75" i="8" s="1"/>
  <c r="O75" i="8" s="1"/>
  <c r="Q74" i="8"/>
  <c r="M74" i="8" s="1"/>
  <c r="O74" i="8" s="1"/>
  <c r="Q73" i="8"/>
  <c r="M73" i="8" s="1"/>
  <c r="O73" i="8" s="1"/>
  <c r="Q72" i="8"/>
  <c r="M72" i="8" s="1"/>
  <c r="O72" i="8" s="1"/>
  <c r="Q71" i="8"/>
  <c r="M71" i="8" s="1"/>
  <c r="O71" i="8" s="1"/>
  <c r="Q70" i="8"/>
  <c r="M70" i="8" s="1"/>
  <c r="O70" i="8" s="1"/>
  <c r="Q69" i="8"/>
  <c r="M69" i="8" s="1"/>
  <c r="O69" i="8" s="1"/>
  <c r="Q68" i="8"/>
  <c r="M68" i="8" s="1"/>
  <c r="O68" i="8" s="1"/>
  <c r="Q67" i="8"/>
  <c r="M67" i="8" s="1"/>
  <c r="O67" i="8" s="1"/>
  <c r="Q66" i="8"/>
  <c r="M66" i="8" s="1"/>
  <c r="O66" i="8" s="1"/>
  <c r="Q65" i="8"/>
  <c r="M65" i="8" s="1"/>
  <c r="O65" i="8" s="1"/>
  <c r="Q64" i="8"/>
  <c r="M64" i="8" s="1"/>
  <c r="O64" i="8" s="1"/>
  <c r="Q63" i="8"/>
  <c r="M63" i="8" s="1"/>
  <c r="O63" i="8" s="1"/>
  <c r="Q62" i="8"/>
  <c r="M62" i="8" s="1"/>
  <c r="O62" i="8" s="1"/>
  <c r="Q61" i="8"/>
  <c r="M61" i="8" s="1"/>
  <c r="O61" i="8" s="1"/>
  <c r="Q60" i="8"/>
  <c r="M60" i="8" s="1"/>
  <c r="O60" i="8" s="1"/>
  <c r="Q50" i="8"/>
  <c r="M50" i="8" s="1"/>
  <c r="O50" i="8" s="1"/>
  <c r="Q49" i="8"/>
  <c r="M49" i="8" s="1"/>
  <c r="O49" i="8" s="1"/>
  <c r="Q48" i="8"/>
  <c r="M48" i="8" s="1"/>
  <c r="O48" i="8" s="1"/>
  <c r="Q47" i="8"/>
  <c r="M47" i="8" s="1"/>
  <c r="O47" i="8" s="1"/>
  <c r="Q46" i="8"/>
  <c r="M46" i="8" s="1"/>
  <c r="O46" i="8" s="1"/>
  <c r="Q45" i="8"/>
  <c r="M45" i="8" s="1"/>
  <c r="O45" i="8" s="1"/>
  <c r="Q44" i="8"/>
  <c r="M44" i="8" s="1"/>
  <c r="O44" i="8" s="1"/>
  <c r="Q43" i="8"/>
  <c r="M43" i="8" s="1"/>
  <c r="O43" i="8" s="1"/>
  <c r="Q42" i="8"/>
  <c r="M42" i="8" s="1"/>
  <c r="O42" i="8" s="1"/>
  <c r="Q41" i="8"/>
  <c r="M41" i="8" s="1"/>
  <c r="O41" i="8" s="1"/>
  <c r="Q40" i="8"/>
  <c r="M40" i="8" s="1"/>
  <c r="O40" i="8" s="1"/>
  <c r="Q39" i="8"/>
  <c r="M39" i="8" s="1"/>
  <c r="O39" i="8" s="1"/>
  <c r="Q38" i="8"/>
  <c r="M38" i="8" s="1"/>
  <c r="O38" i="8" s="1"/>
  <c r="Q37" i="8"/>
  <c r="M37" i="8" s="1"/>
  <c r="O37" i="8" s="1"/>
  <c r="Q36" i="8"/>
  <c r="M36" i="8" s="1"/>
  <c r="O36" i="8" s="1"/>
  <c r="Q35" i="8"/>
  <c r="M35" i="8" s="1"/>
  <c r="O35" i="8" s="1"/>
  <c r="Q34" i="8"/>
  <c r="M34" i="8" s="1"/>
  <c r="O34" i="8" s="1"/>
  <c r="Q33" i="8"/>
  <c r="M33" i="8" s="1"/>
  <c r="O33" i="8" s="1"/>
  <c r="Q32" i="8"/>
  <c r="M32" i="8" s="1"/>
  <c r="O32" i="8" s="1"/>
  <c r="Q31" i="8"/>
  <c r="M31" i="8" s="1"/>
  <c r="O31" i="8" s="1"/>
  <c r="Q30" i="8"/>
  <c r="M30" i="8" s="1"/>
  <c r="O30" i="8" s="1"/>
  <c r="Q29" i="8"/>
  <c r="M29" i="8" s="1"/>
  <c r="O29" i="8" s="1"/>
  <c r="Q28" i="8"/>
  <c r="M28" i="8" s="1"/>
  <c r="O28" i="8" s="1"/>
  <c r="Q27" i="8"/>
  <c r="M27" i="8" s="1"/>
  <c r="O27" i="8" s="1"/>
  <c r="Q26" i="8"/>
  <c r="M26" i="8" s="1"/>
  <c r="O26" i="8" s="1"/>
  <c r="Q13" i="8"/>
  <c r="M13" i="8" s="1"/>
  <c r="O13" i="8" s="1"/>
  <c r="Q12" i="8"/>
  <c r="M12" i="8" s="1"/>
  <c r="O12" i="8" s="1"/>
  <c r="Q11" i="8"/>
  <c r="M11" i="8" s="1"/>
  <c r="O11" i="8" s="1"/>
  <c r="Q10" i="8"/>
  <c r="M10" i="8" s="1"/>
  <c r="O10" i="8" s="1"/>
  <c r="Q9" i="8"/>
  <c r="M9" i="8" s="1"/>
  <c r="O9" i="8" s="1"/>
  <c r="Q8" i="8"/>
  <c r="M8" i="8" s="1"/>
  <c r="O8" i="8" s="1"/>
  <c r="Q7" i="8"/>
  <c r="M7" i="8" s="1"/>
  <c r="O7" i="8" s="1"/>
  <c r="Q237" i="8"/>
  <c r="M237" i="8" s="1"/>
  <c r="O237" i="8" s="1"/>
  <c r="Q236" i="8"/>
  <c r="M236" i="8" s="1"/>
  <c r="O236" i="8" s="1"/>
  <c r="Q235" i="8"/>
  <c r="M235" i="8" s="1"/>
  <c r="O235" i="8" s="1"/>
  <c r="Q234" i="8"/>
  <c r="M234" i="8" s="1"/>
  <c r="O234" i="8" s="1"/>
  <c r="Q233" i="8"/>
  <c r="M233" i="8" s="1"/>
  <c r="O233" i="8" s="1"/>
  <c r="Q232" i="8"/>
  <c r="M232" i="8" s="1"/>
  <c r="O232" i="8" s="1"/>
  <c r="Q231" i="8"/>
  <c r="M231" i="8" s="1"/>
  <c r="O231" i="8" s="1"/>
  <c r="Q230" i="8"/>
  <c r="M230" i="8" s="1"/>
  <c r="O230" i="8" s="1"/>
  <c r="Q229" i="8"/>
  <c r="M229" i="8" s="1"/>
  <c r="O229" i="8" s="1"/>
  <c r="Q228" i="8"/>
  <c r="M228" i="8" s="1"/>
  <c r="O228" i="8" s="1"/>
  <c r="Q168" i="8"/>
  <c r="M168" i="8" s="1"/>
  <c r="O168" i="8" s="1"/>
  <c r="Q167" i="8"/>
  <c r="M167" i="8" s="1"/>
  <c r="O167" i="8" s="1"/>
  <c r="Q166" i="8"/>
  <c r="M166" i="8" s="1"/>
  <c r="O166" i="8" s="1"/>
  <c r="Q165" i="8"/>
  <c r="M165" i="8" s="1"/>
  <c r="O165" i="8" s="1"/>
  <c r="Q164" i="8"/>
  <c r="M164" i="8" s="1"/>
  <c r="O164" i="8" s="1"/>
  <c r="Q163" i="8"/>
  <c r="M163" i="8" s="1"/>
  <c r="O163" i="8" s="1"/>
  <c r="Q162" i="8"/>
  <c r="M162" i="8" s="1"/>
  <c r="O162" i="8" s="1"/>
  <c r="Q161" i="8"/>
  <c r="M161" i="8" s="1"/>
  <c r="O161" i="8" s="1"/>
  <c r="Q160" i="8"/>
  <c r="M160" i="8" s="1"/>
  <c r="O160" i="8" s="1"/>
  <c r="Q159" i="8"/>
  <c r="M159" i="8" s="1"/>
  <c r="O159" i="8" s="1"/>
  <c r="Q158" i="8"/>
  <c r="M158" i="8" s="1"/>
  <c r="O158" i="8" s="1"/>
  <c r="Q157" i="8"/>
  <c r="M157" i="8" s="1"/>
  <c r="O157" i="8" s="1"/>
  <c r="Q156" i="8"/>
  <c r="M156" i="8" s="1"/>
  <c r="O156" i="8" s="1"/>
  <c r="Q155" i="8"/>
  <c r="M155" i="8" s="1"/>
  <c r="O155" i="8" s="1"/>
  <c r="Q154" i="8"/>
  <c r="M154" i="8" s="1"/>
  <c r="O154" i="8" s="1"/>
  <c r="Q153" i="8"/>
  <c r="M153" i="8" s="1"/>
  <c r="O153" i="8" s="1"/>
  <c r="Q152" i="8"/>
  <c r="M152" i="8" s="1"/>
  <c r="O152" i="8" s="1"/>
  <c r="Q141" i="8"/>
  <c r="M141" i="8" s="1"/>
  <c r="O141" i="8" s="1"/>
  <c r="Q140" i="8"/>
  <c r="M140" i="8" s="1"/>
  <c r="O140" i="8" s="1"/>
  <c r="Q139" i="8"/>
  <c r="M139" i="8" s="1"/>
  <c r="O139" i="8" s="1"/>
  <c r="Q138" i="8"/>
  <c r="M138" i="8" s="1"/>
  <c r="O138" i="8" s="1"/>
  <c r="Q137" i="8"/>
  <c r="M137" i="8" s="1"/>
  <c r="O137" i="8" s="1"/>
  <c r="Q136" i="8"/>
  <c r="M136" i="8" s="1"/>
  <c r="O136" i="8" s="1"/>
  <c r="Q135" i="8"/>
  <c r="M135" i="8" s="1"/>
  <c r="O135" i="8" s="1"/>
  <c r="Q134" i="8"/>
  <c r="M134" i="8" s="1"/>
  <c r="O134" i="8" s="1"/>
  <c r="Q133" i="8"/>
  <c r="M133" i="8" s="1"/>
  <c r="O133" i="8" s="1"/>
  <c r="Q96" i="8"/>
  <c r="M96" i="8" s="1"/>
  <c r="O96" i="8" s="1"/>
  <c r="Q95" i="8"/>
  <c r="M95" i="8" s="1"/>
  <c r="O95" i="8" s="1"/>
  <c r="Q94" i="8"/>
  <c r="M94" i="8" s="1"/>
  <c r="O94" i="8" s="1"/>
  <c r="Q93" i="8"/>
  <c r="M93" i="8" s="1"/>
  <c r="O93" i="8" s="1"/>
  <c r="Q92" i="8"/>
  <c r="M92" i="8" s="1"/>
  <c r="O92" i="8" s="1"/>
  <c r="Q91" i="8"/>
  <c r="M91" i="8" s="1"/>
  <c r="O91" i="8" s="1"/>
  <c r="Q90" i="8"/>
  <c r="M90" i="8" s="1"/>
  <c r="O90" i="8" s="1"/>
  <c r="Q89" i="8"/>
  <c r="M89" i="8" s="1"/>
  <c r="O89" i="8" s="1"/>
  <c r="Q88" i="8"/>
  <c r="M88" i="8" s="1"/>
  <c r="O88" i="8" s="1"/>
  <c r="Q87" i="8"/>
  <c r="M87" i="8" s="1"/>
  <c r="O87" i="8" s="1"/>
  <c r="Q86" i="8"/>
  <c r="M86" i="8" s="1"/>
  <c r="O86" i="8" s="1"/>
  <c r="Q59" i="8"/>
  <c r="M59" i="8" s="1"/>
  <c r="O59" i="8" s="1"/>
  <c r="Q58" i="8"/>
  <c r="M58" i="8" s="1"/>
  <c r="O58" i="8" s="1"/>
  <c r="Q57" i="8"/>
  <c r="M57" i="8" s="1"/>
  <c r="O57" i="8" s="1"/>
  <c r="Q56" i="8"/>
  <c r="M56" i="8" s="1"/>
  <c r="O56" i="8" s="1"/>
  <c r="Q55" i="8"/>
  <c r="M55" i="8" s="1"/>
  <c r="O55" i="8" s="1"/>
  <c r="Q54" i="8"/>
  <c r="M54" i="8" s="1"/>
  <c r="O54" i="8" s="1"/>
  <c r="Q53" i="8"/>
  <c r="M53" i="8" s="1"/>
  <c r="O53" i="8" s="1"/>
  <c r="Q52" i="8"/>
  <c r="M52" i="8" s="1"/>
  <c r="O52" i="8" s="1"/>
  <c r="Q51" i="8"/>
  <c r="M51" i="8" s="1"/>
  <c r="O51" i="8" s="1"/>
  <c r="Q25" i="8"/>
  <c r="M25" i="8" s="1"/>
  <c r="O25" i="8" s="1"/>
  <c r="Q24" i="8"/>
  <c r="M24" i="8" s="1"/>
  <c r="O24" i="8" s="1"/>
  <c r="Q23" i="8"/>
  <c r="M23" i="8" s="1"/>
  <c r="O23" i="8" s="1"/>
  <c r="Q22" i="8"/>
  <c r="M22" i="8" s="1"/>
  <c r="O22" i="8" s="1"/>
  <c r="Q21" i="8"/>
  <c r="M21" i="8" s="1"/>
  <c r="O21" i="8" s="1"/>
  <c r="Q20" i="8"/>
  <c r="M20" i="8" s="1"/>
  <c r="O20" i="8" s="1"/>
  <c r="Q19" i="8"/>
  <c r="M19" i="8" s="1"/>
  <c r="O19" i="8" s="1"/>
  <c r="Q18" i="8"/>
  <c r="M18" i="8" s="1"/>
  <c r="O18" i="8" s="1"/>
  <c r="Q17" i="8"/>
  <c r="M17" i="8" s="1"/>
  <c r="O17" i="8" s="1"/>
  <c r="Q16" i="8"/>
  <c r="M16" i="8" s="1"/>
  <c r="O16" i="8" s="1"/>
  <c r="Q15" i="8"/>
  <c r="M15" i="8" s="1"/>
  <c r="O15" i="8" s="1"/>
  <c r="Q14" i="8"/>
  <c r="M14" i="8" s="1"/>
  <c r="O14" i="8" s="1"/>
  <c r="Q3" i="8"/>
  <c r="M3" i="8" s="1"/>
  <c r="O3" i="8" s="1"/>
  <c r="Q277" i="8"/>
  <c r="M277" i="8" s="1"/>
  <c r="O277" i="8" s="1"/>
  <c r="Q276" i="8"/>
  <c r="M276" i="8" s="1"/>
  <c r="O276" i="8" s="1"/>
  <c r="Q266" i="8"/>
  <c r="M266" i="8" s="1"/>
  <c r="O266" i="8" s="1"/>
  <c r="Q265" i="8"/>
  <c r="M265" i="8" s="1"/>
  <c r="O265" i="8" s="1"/>
  <c r="Q264" i="8"/>
  <c r="M264" i="8" s="1"/>
  <c r="O264" i="8" s="1"/>
  <c r="Q263" i="8"/>
  <c r="M263" i="8" s="1"/>
  <c r="O263" i="8" s="1"/>
  <c r="Q262" i="8"/>
  <c r="M262" i="8" s="1"/>
  <c r="O262" i="8" s="1"/>
  <c r="Q261" i="8"/>
  <c r="M261" i="8" s="1"/>
  <c r="O261" i="8" s="1"/>
  <c r="Q260" i="8"/>
  <c r="M260" i="8" s="1"/>
  <c r="O260" i="8" s="1"/>
  <c r="Q259" i="8"/>
  <c r="M259" i="8" s="1"/>
  <c r="O259" i="8" s="1"/>
  <c r="Q258" i="8"/>
  <c r="M258" i="8" s="1"/>
  <c r="O258" i="8" s="1"/>
  <c r="Q257" i="8"/>
  <c r="M257" i="8" s="1"/>
  <c r="O257" i="8" s="1"/>
  <c r="Q256" i="8"/>
  <c r="M256" i="8" s="1"/>
  <c r="O256" i="8" s="1"/>
  <c r="Q255" i="8"/>
  <c r="M255" i="8" s="1"/>
  <c r="O255" i="8" s="1"/>
  <c r="Q254" i="8"/>
  <c r="M254" i="8" s="1"/>
  <c r="O254" i="8" s="1"/>
  <c r="Q253" i="8"/>
  <c r="M253" i="8" s="1"/>
  <c r="O253" i="8" s="1"/>
  <c r="Q252" i="8"/>
  <c r="M252" i="8" s="1"/>
  <c r="O252" i="8" s="1"/>
  <c r="Q251" i="8"/>
  <c r="M251" i="8" s="1"/>
  <c r="O251" i="8" s="1"/>
  <c r="Q250" i="8"/>
  <c r="M250" i="8" s="1"/>
  <c r="O250" i="8" s="1"/>
  <c r="Q249" i="8"/>
  <c r="M249" i="8" s="1"/>
  <c r="O249" i="8" s="1"/>
  <c r="Q248" i="8"/>
  <c r="M248" i="8" s="1"/>
  <c r="O248" i="8" s="1"/>
  <c r="Q247" i="8"/>
  <c r="M247" i="8" s="1"/>
  <c r="O247" i="8" s="1"/>
  <c r="Q246" i="8"/>
  <c r="M246" i="8" s="1"/>
  <c r="O246" i="8" s="1"/>
  <c r="Q245" i="8"/>
  <c r="M245" i="8" s="1"/>
  <c r="O245" i="8" s="1"/>
  <c r="Q244" i="8"/>
  <c r="M244" i="8" s="1"/>
  <c r="O244" i="8" s="1"/>
  <c r="Q243" i="8"/>
  <c r="M243" i="8" s="1"/>
  <c r="O243" i="8" s="1"/>
  <c r="Q222" i="8"/>
  <c r="M222" i="8" s="1"/>
  <c r="O222" i="8" s="1"/>
  <c r="Q221" i="8"/>
  <c r="M221" i="8" s="1"/>
  <c r="O221" i="8" s="1"/>
  <c r="Q220" i="8"/>
  <c r="M220" i="8" s="1"/>
  <c r="O220" i="8" s="1"/>
  <c r="Q219" i="8"/>
  <c r="M219" i="8" s="1"/>
  <c r="O219" i="8" s="1"/>
  <c r="Q218" i="8"/>
  <c r="M218" i="8" s="1"/>
  <c r="O218" i="8" s="1"/>
  <c r="Q217" i="8"/>
  <c r="M217" i="8" s="1"/>
  <c r="O217" i="8" s="1"/>
  <c r="Q216" i="8"/>
  <c r="M216" i="8" s="1"/>
  <c r="O216" i="8" s="1"/>
  <c r="Q215" i="8"/>
  <c r="M215" i="8" s="1"/>
  <c r="O215" i="8" s="1"/>
  <c r="Q214" i="8"/>
  <c r="M214" i="8" s="1"/>
  <c r="O214" i="8" s="1"/>
  <c r="Q213" i="8"/>
  <c r="M213" i="8" s="1"/>
  <c r="O213" i="8" s="1"/>
  <c r="Q212" i="8"/>
  <c r="M212" i="8" s="1"/>
  <c r="O212" i="8" s="1"/>
  <c r="Q211" i="8"/>
  <c r="M211" i="8" s="1"/>
  <c r="O211" i="8" s="1"/>
  <c r="Q210" i="8"/>
  <c r="M210" i="8" s="1"/>
  <c r="O210" i="8" s="1"/>
  <c r="Q209" i="8"/>
  <c r="M209" i="8" s="1"/>
  <c r="O209" i="8" s="1"/>
  <c r="Q208" i="8"/>
  <c r="M208" i="8" s="1"/>
  <c r="O208" i="8" s="1"/>
  <c r="Q207" i="8"/>
  <c r="M207" i="8" s="1"/>
  <c r="O207" i="8" s="1"/>
  <c r="Q206" i="8"/>
  <c r="M206" i="8" s="1"/>
  <c r="O206" i="8" s="1"/>
  <c r="Q205" i="8"/>
  <c r="M205" i="8" s="1"/>
  <c r="O205" i="8" s="1"/>
  <c r="Q204" i="8"/>
  <c r="M204" i="8" s="1"/>
  <c r="O204" i="8" s="1"/>
  <c r="Q203" i="8"/>
  <c r="M203" i="8" s="1"/>
  <c r="O203" i="8" s="1"/>
  <c r="Q202" i="8"/>
  <c r="M202" i="8" s="1"/>
  <c r="O202" i="8" s="1"/>
  <c r="Q201" i="8"/>
  <c r="M201" i="8" s="1"/>
  <c r="O201" i="8" s="1"/>
  <c r="Q200" i="8"/>
  <c r="M200" i="8" s="1"/>
  <c r="O200" i="8" s="1"/>
  <c r="Q199" i="8"/>
  <c r="M199" i="8" s="1"/>
  <c r="O199" i="8" s="1"/>
  <c r="Q198" i="8"/>
  <c r="M198" i="8" s="1"/>
  <c r="O198" i="8" s="1"/>
  <c r="Q197" i="8"/>
  <c r="M197" i="8" s="1"/>
  <c r="O197" i="8" s="1"/>
  <c r="Q196" i="8"/>
  <c r="M196" i="8" s="1"/>
  <c r="O196" i="8" s="1"/>
  <c r="Q195" i="8"/>
  <c r="M195" i="8" s="1"/>
  <c r="O195" i="8" s="1"/>
  <c r="Q194" i="8"/>
  <c r="M194" i="8" s="1"/>
  <c r="O194" i="8" s="1"/>
  <c r="Q193" i="8"/>
  <c r="M193" i="8" s="1"/>
  <c r="O193" i="8" s="1"/>
  <c r="Q6" i="8"/>
  <c r="M6" i="8" s="1"/>
  <c r="O6" i="8" s="1"/>
  <c r="Q5" i="8"/>
  <c r="M5" i="8" s="1"/>
  <c r="O5" i="8" s="1"/>
  <c r="Q4" i="8"/>
  <c r="M4" i="8" s="1"/>
  <c r="O4" i="8" s="1"/>
  <c r="J8" i="1"/>
  <c r="J7" i="1"/>
  <c r="P193" i="8" l="1"/>
  <c r="X193" i="8" s="1"/>
  <c r="AC193" i="8" s="1"/>
  <c r="P201" i="8"/>
  <c r="P209" i="8"/>
  <c r="P217" i="8"/>
  <c r="P245" i="8"/>
  <c r="X245" i="8" s="1"/>
  <c r="AC245" i="8" s="1"/>
  <c r="P6" i="8"/>
  <c r="P196" i="8"/>
  <c r="P200" i="8"/>
  <c r="P204" i="8"/>
  <c r="T204" i="8" s="1"/>
  <c r="U204" i="8" s="1"/>
  <c r="AA204" i="8" s="1"/>
  <c r="P208" i="8"/>
  <c r="P212" i="8"/>
  <c r="P216" i="8"/>
  <c r="P220" i="8"/>
  <c r="X220" i="8" s="1"/>
  <c r="AC220" i="8" s="1"/>
  <c r="P244" i="8"/>
  <c r="P248" i="8"/>
  <c r="P252" i="8"/>
  <c r="P256" i="8"/>
  <c r="T256" i="8" s="1"/>
  <c r="U256" i="8" s="1"/>
  <c r="AA256" i="8" s="1"/>
  <c r="P260" i="8"/>
  <c r="P264" i="8"/>
  <c r="P277" i="8"/>
  <c r="P16" i="8"/>
  <c r="X16" i="8" s="1"/>
  <c r="AC16" i="8" s="1"/>
  <c r="P20" i="8"/>
  <c r="P24" i="8"/>
  <c r="P53" i="8"/>
  <c r="P57" i="8"/>
  <c r="X57" i="8" s="1"/>
  <c r="AC57" i="8" s="1"/>
  <c r="P87" i="8"/>
  <c r="P91" i="8"/>
  <c r="P95" i="8"/>
  <c r="P135" i="8"/>
  <c r="X135" i="8" s="1"/>
  <c r="AC135" i="8" s="1"/>
  <c r="P139" i="8"/>
  <c r="P153" i="8"/>
  <c r="P157" i="8"/>
  <c r="P161" i="8"/>
  <c r="X161" i="8" s="1"/>
  <c r="AC161" i="8" s="1"/>
  <c r="P165" i="8"/>
  <c r="P228" i="8"/>
  <c r="P232" i="8"/>
  <c r="P236" i="8"/>
  <c r="X236" i="8" s="1"/>
  <c r="AC236" i="8" s="1"/>
  <c r="P9" i="8"/>
  <c r="P13" i="8"/>
  <c r="P29" i="8"/>
  <c r="P33" i="8"/>
  <c r="X33" i="8" s="1"/>
  <c r="AC33" i="8" s="1"/>
  <c r="P37" i="8"/>
  <c r="P41" i="8"/>
  <c r="P45" i="8"/>
  <c r="P49" i="8"/>
  <c r="X49" i="8" s="1"/>
  <c r="AC49" i="8" s="1"/>
  <c r="P62" i="8"/>
  <c r="P66" i="8"/>
  <c r="P70" i="8"/>
  <c r="P74" i="8"/>
  <c r="X74" i="8" s="1"/>
  <c r="AC74" i="8" s="1"/>
  <c r="P78" i="8"/>
  <c r="P82" i="8"/>
  <c r="P97" i="8"/>
  <c r="P101" i="8"/>
  <c r="X101" i="8" s="1"/>
  <c r="AC101" i="8" s="1"/>
  <c r="P105" i="8"/>
  <c r="P109" i="8"/>
  <c r="P113" i="8"/>
  <c r="P117" i="8"/>
  <c r="X117" i="8" s="1"/>
  <c r="AC117" i="8" s="1"/>
  <c r="P121" i="8"/>
  <c r="P125" i="8"/>
  <c r="P129" i="8"/>
  <c r="P142" i="8"/>
  <c r="X142" i="8" s="1"/>
  <c r="AC142" i="8" s="1"/>
  <c r="P146" i="8"/>
  <c r="P150" i="8"/>
  <c r="P171" i="8"/>
  <c r="P175" i="8"/>
  <c r="X175" i="8" s="1"/>
  <c r="AC175" i="8" s="1"/>
  <c r="P179" i="8"/>
  <c r="P183" i="8"/>
  <c r="P187" i="8"/>
  <c r="P191" i="8"/>
  <c r="X191" i="8" s="1"/>
  <c r="AC191" i="8" s="1"/>
  <c r="P225" i="8"/>
  <c r="P239" i="8"/>
  <c r="P267" i="8"/>
  <c r="P271" i="8"/>
  <c r="X271" i="8" s="1"/>
  <c r="AC271" i="8" s="1"/>
  <c r="P275" i="8"/>
  <c r="P195" i="8"/>
  <c r="P203" i="8"/>
  <c r="P211" i="8"/>
  <c r="X211" i="8" s="1"/>
  <c r="AC211" i="8" s="1"/>
  <c r="P215" i="8"/>
  <c r="P243" i="8"/>
  <c r="P247" i="8"/>
  <c r="P251" i="8"/>
  <c r="X251" i="8" s="1"/>
  <c r="AC251" i="8" s="1"/>
  <c r="P255" i="8"/>
  <c r="P259" i="8"/>
  <c r="P263" i="8"/>
  <c r="P276" i="8"/>
  <c r="T276" i="8" s="1"/>
  <c r="U276" i="8" s="1"/>
  <c r="AA276" i="8" s="1"/>
  <c r="P15" i="8"/>
  <c r="P19" i="8"/>
  <c r="P23" i="8"/>
  <c r="P52" i="8"/>
  <c r="X52" i="8" s="1"/>
  <c r="AC52" i="8" s="1"/>
  <c r="P56" i="8"/>
  <c r="P86" i="8"/>
  <c r="P90" i="8"/>
  <c r="P94" i="8"/>
  <c r="X94" i="8" s="1"/>
  <c r="AC94" i="8" s="1"/>
  <c r="P134" i="8"/>
  <c r="P138" i="8"/>
  <c r="P152" i="8"/>
  <c r="P156" i="8"/>
  <c r="X156" i="8" s="1"/>
  <c r="AC156" i="8" s="1"/>
  <c r="P160" i="8"/>
  <c r="P164" i="8"/>
  <c r="P168" i="8"/>
  <c r="P231" i="8"/>
  <c r="X231" i="8" s="1"/>
  <c r="AC231" i="8" s="1"/>
  <c r="P235" i="8"/>
  <c r="P8" i="8"/>
  <c r="P12" i="8"/>
  <c r="P28" i="8"/>
  <c r="X28" i="8" s="1"/>
  <c r="AC28" i="8" s="1"/>
  <c r="P32" i="8"/>
  <c r="P36" i="8"/>
  <c r="P40" i="8"/>
  <c r="P44" i="8"/>
  <c r="X44" i="8" s="1"/>
  <c r="AC44" i="8" s="1"/>
  <c r="P48" i="8"/>
  <c r="P61" i="8"/>
  <c r="P65" i="8"/>
  <c r="P69" i="8"/>
  <c r="X69" i="8" s="1"/>
  <c r="AC69" i="8" s="1"/>
  <c r="P73" i="8"/>
  <c r="P77" i="8"/>
  <c r="P81" i="8"/>
  <c r="P85" i="8"/>
  <c r="X85" i="8" s="1"/>
  <c r="AC85" i="8" s="1"/>
  <c r="P100" i="8"/>
  <c r="P104" i="8"/>
  <c r="P108" i="8"/>
  <c r="P112" i="8"/>
  <c r="X112" i="8" s="1"/>
  <c r="AC112" i="8" s="1"/>
  <c r="P116" i="8"/>
  <c r="P120" i="8"/>
  <c r="P124" i="8"/>
  <c r="P128" i="8"/>
  <c r="X128" i="8" s="1"/>
  <c r="AC128" i="8" s="1"/>
  <c r="P132" i="8"/>
  <c r="P145" i="8"/>
  <c r="P149" i="8"/>
  <c r="P170" i="8"/>
  <c r="X170" i="8" s="1"/>
  <c r="AC170" i="8" s="1"/>
  <c r="P174" i="8"/>
  <c r="P178" i="8"/>
  <c r="P182" i="8"/>
  <c r="P186" i="8"/>
  <c r="X186" i="8" s="1"/>
  <c r="AC186" i="8" s="1"/>
  <c r="P190" i="8"/>
  <c r="P224" i="8"/>
  <c r="P238" i="8"/>
  <c r="P242" i="8"/>
  <c r="X242" i="8" s="1"/>
  <c r="AC242" i="8" s="1"/>
  <c r="P270" i="8"/>
  <c r="P274" i="8"/>
  <c r="P5" i="8"/>
  <c r="T5" i="8" s="1"/>
  <c r="U5" i="8" s="1"/>
  <c r="AA5" i="8" s="1"/>
  <c r="P199" i="8"/>
  <c r="X199" i="8" s="1"/>
  <c r="AC199" i="8" s="1"/>
  <c r="P207" i="8"/>
  <c r="P219" i="8"/>
  <c r="P4" i="8"/>
  <c r="T4" i="8" s="1"/>
  <c r="U4" i="8" s="1"/>
  <c r="AA4" i="8" s="1"/>
  <c r="P194" i="8"/>
  <c r="X194" i="8" s="1"/>
  <c r="AC194" i="8" s="1"/>
  <c r="P198" i="8"/>
  <c r="X198" i="8" s="1"/>
  <c r="AC198" i="8" s="1"/>
  <c r="P202" i="8"/>
  <c r="P206" i="8"/>
  <c r="X206" i="8" s="1"/>
  <c r="AC206" i="8" s="1"/>
  <c r="P210" i="8"/>
  <c r="X210" i="8" s="1"/>
  <c r="AC210" i="8" s="1"/>
  <c r="P214" i="8"/>
  <c r="P218" i="8"/>
  <c r="P222" i="8"/>
  <c r="X222" i="8" s="1"/>
  <c r="AC222" i="8" s="1"/>
  <c r="P246" i="8"/>
  <c r="X246" i="8" s="1"/>
  <c r="AC246" i="8" s="1"/>
  <c r="P250" i="8"/>
  <c r="P254" i="8"/>
  <c r="P258" i="8"/>
  <c r="X258" i="8" s="1"/>
  <c r="AC258" i="8" s="1"/>
  <c r="P262" i="8"/>
  <c r="X262" i="8" s="1"/>
  <c r="AC262" i="8" s="1"/>
  <c r="P266" i="8"/>
  <c r="P14" i="8"/>
  <c r="P18" i="8"/>
  <c r="P51" i="8"/>
  <c r="X51" i="8" s="1"/>
  <c r="AC51" i="8" s="1"/>
  <c r="P55" i="8"/>
  <c r="P59" i="8"/>
  <c r="P89" i="8"/>
  <c r="P93" i="8"/>
  <c r="X93" i="8" s="1"/>
  <c r="AC93" i="8" s="1"/>
  <c r="P133" i="8"/>
  <c r="P137" i="8"/>
  <c r="P141" i="8"/>
  <c r="P155" i="8"/>
  <c r="X155" i="8" s="1"/>
  <c r="AC155" i="8" s="1"/>
  <c r="P159" i="8"/>
  <c r="P163" i="8"/>
  <c r="P167" i="8"/>
  <c r="P230" i="8"/>
  <c r="X230" i="8" s="1"/>
  <c r="AC230" i="8" s="1"/>
  <c r="P234" i="8"/>
  <c r="P7" i="8"/>
  <c r="P11" i="8"/>
  <c r="P27" i="8"/>
  <c r="X27" i="8" s="1"/>
  <c r="AC27" i="8" s="1"/>
  <c r="P31" i="8"/>
  <c r="P35" i="8"/>
  <c r="P39" i="8"/>
  <c r="P43" i="8"/>
  <c r="X43" i="8" s="1"/>
  <c r="AC43" i="8" s="1"/>
  <c r="P47" i="8"/>
  <c r="P60" i="8"/>
  <c r="P64" i="8"/>
  <c r="P68" i="8"/>
  <c r="X68" i="8" s="1"/>
  <c r="AC68" i="8" s="1"/>
  <c r="P72" i="8"/>
  <c r="P76" i="8"/>
  <c r="P80" i="8"/>
  <c r="P84" i="8"/>
  <c r="X84" i="8" s="1"/>
  <c r="AC84" i="8" s="1"/>
  <c r="P99" i="8"/>
  <c r="P103" i="8"/>
  <c r="P107" i="8"/>
  <c r="P111" i="8"/>
  <c r="X111" i="8" s="1"/>
  <c r="AC111" i="8" s="1"/>
  <c r="P115" i="8"/>
  <c r="P119" i="8"/>
  <c r="P123" i="8"/>
  <c r="P127" i="8"/>
  <c r="X127" i="8" s="1"/>
  <c r="AC127" i="8" s="1"/>
  <c r="P131" i="8"/>
  <c r="P144" i="8"/>
  <c r="P148" i="8"/>
  <c r="P169" i="8"/>
  <c r="X169" i="8" s="1"/>
  <c r="AC169" i="8" s="1"/>
  <c r="P173" i="8"/>
  <c r="P177" i="8"/>
  <c r="P181" i="8"/>
  <c r="P185" i="8"/>
  <c r="X185" i="8" s="1"/>
  <c r="AC185" i="8" s="1"/>
  <c r="P189" i="8"/>
  <c r="P223" i="8"/>
  <c r="P227" i="8"/>
  <c r="P241" i="8"/>
  <c r="X241" i="8" s="1"/>
  <c r="AC241" i="8" s="1"/>
  <c r="P269" i="8"/>
  <c r="P273" i="8"/>
  <c r="P197" i="8"/>
  <c r="T197" i="8" s="1"/>
  <c r="U197" i="8" s="1"/>
  <c r="AA197" i="8" s="1"/>
  <c r="P205" i="8"/>
  <c r="X205" i="8" s="1"/>
  <c r="AC205" i="8" s="1"/>
  <c r="P213" i="8"/>
  <c r="X213" i="8" s="1"/>
  <c r="AC213" i="8" s="1"/>
  <c r="P221" i="8"/>
  <c r="P249" i="8"/>
  <c r="X249" i="8" s="1"/>
  <c r="AC249" i="8" s="1"/>
  <c r="P253" i="8"/>
  <c r="X253" i="8" s="1"/>
  <c r="AC253" i="8" s="1"/>
  <c r="P257" i="8"/>
  <c r="P261" i="8"/>
  <c r="P265" i="8"/>
  <c r="X265" i="8" s="1"/>
  <c r="AC265" i="8" s="1"/>
  <c r="P3" i="8"/>
  <c r="T3" i="8" s="1"/>
  <c r="U3" i="8" s="1"/>
  <c r="AA3" i="8" s="1"/>
  <c r="P17" i="8"/>
  <c r="P21" i="8"/>
  <c r="P25" i="8"/>
  <c r="X25" i="8" s="1"/>
  <c r="AC25" i="8" s="1"/>
  <c r="P54" i="8"/>
  <c r="X54" i="8" s="1"/>
  <c r="AC54" i="8" s="1"/>
  <c r="P58" i="8"/>
  <c r="P88" i="8"/>
  <c r="P92" i="8"/>
  <c r="P96" i="8"/>
  <c r="X96" i="8" s="1"/>
  <c r="AC96" i="8" s="1"/>
  <c r="P136" i="8"/>
  <c r="P140" i="8"/>
  <c r="P154" i="8"/>
  <c r="P158" i="8"/>
  <c r="X158" i="8" s="1"/>
  <c r="AC158" i="8" s="1"/>
  <c r="P162" i="8"/>
  <c r="P166" i="8"/>
  <c r="P229" i="8"/>
  <c r="P233" i="8"/>
  <c r="X233" i="8" s="1"/>
  <c r="AC233" i="8" s="1"/>
  <c r="P237" i="8"/>
  <c r="P10" i="8"/>
  <c r="P26" i="8"/>
  <c r="P30" i="8"/>
  <c r="X30" i="8" s="1"/>
  <c r="AC30" i="8" s="1"/>
  <c r="P34" i="8"/>
  <c r="P38" i="8"/>
  <c r="P42" i="8"/>
  <c r="P46" i="8"/>
  <c r="X46" i="8" s="1"/>
  <c r="AC46" i="8" s="1"/>
  <c r="P50" i="8"/>
  <c r="P63" i="8"/>
  <c r="P67" i="8"/>
  <c r="P71" i="8"/>
  <c r="X71" i="8" s="1"/>
  <c r="AC71" i="8" s="1"/>
  <c r="P75" i="8"/>
  <c r="P79" i="8"/>
  <c r="P83" i="8"/>
  <c r="P98" i="8"/>
  <c r="X98" i="8" s="1"/>
  <c r="AC98" i="8" s="1"/>
  <c r="P102" i="8"/>
  <c r="P106" i="8"/>
  <c r="P110" i="8"/>
  <c r="P114" i="8"/>
  <c r="X114" i="8" s="1"/>
  <c r="AC114" i="8" s="1"/>
  <c r="P118" i="8"/>
  <c r="P122" i="8"/>
  <c r="P126" i="8"/>
  <c r="P130" i="8"/>
  <c r="X130" i="8" s="1"/>
  <c r="AC130" i="8" s="1"/>
  <c r="P143" i="8"/>
  <c r="P147" i="8"/>
  <c r="P151" i="8"/>
  <c r="P172" i="8"/>
  <c r="X172" i="8" s="1"/>
  <c r="AC172" i="8" s="1"/>
  <c r="P176" i="8"/>
  <c r="P180" i="8"/>
  <c r="P184" i="8"/>
  <c r="P188" i="8"/>
  <c r="X188" i="8" s="1"/>
  <c r="AC188" i="8" s="1"/>
  <c r="P192" i="8"/>
  <c r="P226" i="8"/>
  <c r="P240" i="8"/>
  <c r="P268" i="8"/>
  <c r="X268" i="8" s="1"/>
  <c r="AC268" i="8" s="1"/>
  <c r="P272" i="8"/>
  <c r="T6" i="8"/>
  <c r="U6" i="8" s="1"/>
  <c r="AA6" i="8" s="1"/>
  <c r="X6" i="8"/>
  <c r="AC6" i="8" s="1"/>
  <c r="T193" i="8"/>
  <c r="U193" i="8" s="1"/>
  <c r="AA193" i="8" s="1"/>
  <c r="T195" i="8"/>
  <c r="U195" i="8" s="1"/>
  <c r="AA195" i="8" s="1"/>
  <c r="X195" i="8"/>
  <c r="AC195" i="8" s="1"/>
  <c r="T196" i="8"/>
  <c r="U196" i="8" s="1"/>
  <c r="AA196" i="8" s="1"/>
  <c r="X196" i="8"/>
  <c r="AC196" i="8" s="1"/>
  <c r="T198" i="8"/>
  <c r="U198" i="8" s="1"/>
  <c r="AA198" i="8" s="1"/>
  <c r="T200" i="8"/>
  <c r="U200" i="8" s="1"/>
  <c r="AA200" i="8" s="1"/>
  <c r="X200" i="8"/>
  <c r="AC200" i="8" s="1"/>
  <c r="T201" i="8"/>
  <c r="U201" i="8" s="1"/>
  <c r="AA201" i="8" s="1"/>
  <c r="X201" i="8"/>
  <c r="AC201" i="8" s="1"/>
  <c r="T202" i="8"/>
  <c r="U202" i="8" s="1"/>
  <c r="AA202" i="8" s="1"/>
  <c r="X202" i="8"/>
  <c r="AC202" i="8" s="1"/>
  <c r="T203" i="8"/>
  <c r="U203" i="8" s="1"/>
  <c r="AA203" i="8" s="1"/>
  <c r="X203" i="8"/>
  <c r="AC203" i="8" s="1"/>
  <c r="X204" i="8"/>
  <c r="AC204" i="8" s="1"/>
  <c r="T206" i="8"/>
  <c r="U206" i="8" s="1"/>
  <c r="AA206" i="8" s="1"/>
  <c r="T207" i="8"/>
  <c r="U207" i="8" s="1"/>
  <c r="AA207" i="8" s="1"/>
  <c r="X207" i="8"/>
  <c r="AC207" i="8" s="1"/>
  <c r="T208" i="8"/>
  <c r="U208" i="8" s="1"/>
  <c r="AA208" i="8" s="1"/>
  <c r="X208" i="8"/>
  <c r="AC208" i="8" s="1"/>
  <c r="T209" i="8"/>
  <c r="U209" i="8" s="1"/>
  <c r="AA209" i="8" s="1"/>
  <c r="X209" i="8"/>
  <c r="AC209" i="8" s="1"/>
  <c r="T211" i="8"/>
  <c r="U211" i="8" s="1"/>
  <c r="AA211" i="8" s="1"/>
  <c r="T212" i="8"/>
  <c r="U212" i="8" s="1"/>
  <c r="AA212" i="8" s="1"/>
  <c r="X212" i="8"/>
  <c r="AC212" i="8" s="1"/>
  <c r="T213" i="8"/>
  <c r="U213" i="8" s="1"/>
  <c r="AA213" i="8" s="1"/>
  <c r="T214" i="8"/>
  <c r="U214" i="8" s="1"/>
  <c r="AA214" i="8" s="1"/>
  <c r="X214" i="8"/>
  <c r="AC214" i="8" s="1"/>
  <c r="T215" i="8"/>
  <c r="U215" i="8" s="1"/>
  <c r="AA215" i="8" s="1"/>
  <c r="X215" i="8"/>
  <c r="AC215" i="8" s="1"/>
  <c r="T216" i="8"/>
  <c r="U216" i="8" s="1"/>
  <c r="AA216" i="8" s="1"/>
  <c r="X216" i="8"/>
  <c r="AC216" i="8" s="1"/>
  <c r="T217" i="8"/>
  <c r="U217" i="8" s="1"/>
  <c r="AA217" i="8" s="1"/>
  <c r="X217" i="8"/>
  <c r="AC217" i="8" s="1"/>
  <c r="T218" i="8"/>
  <c r="U218" i="8" s="1"/>
  <c r="AA218" i="8" s="1"/>
  <c r="X218" i="8"/>
  <c r="AC218" i="8" s="1"/>
  <c r="T219" i="8"/>
  <c r="U219" i="8" s="1"/>
  <c r="AA219" i="8" s="1"/>
  <c r="X219" i="8"/>
  <c r="AC219" i="8" s="1"/>
  <c r="T221" i="8"/>
  <c r="U221" i="8" s="1"/>
  <c r="AA221" i="8" s="1"/>
  <c r="X221" i="8"/>
  <c r="AC221" i="8" s="1"/>
  <c r="T222" i="8"/>
  <c r="U222" i="8" s="1"/>
  <c r="AA222" i="8" s="1"/>
  <c r="T243" i="8"/>
  <c r="U243" i="8" s="1"/>
  <c r="AA243" i="8" s="1"/>
  <c r="X243" i="8"/>
  <c r="AC243" i="8" s="1"/>
  <c r="T244" i="8"/>
  <c r="U244" i="8" s="1"/>
  <c r="AA244" i="8" s="1"/>
  <c r="X244" i="8"/>
  <c r="AC244" i="8" s="1"/>
  <c r="T247" i="8"/>
  <c r="U247" i="8" s="1"/>
  <c r="AA247" i="8" s="1"/>
  <c r="X247" i="8"/>
  <c r="AC247" i="8" s="1"/>
  <c r="T248" i="8"/>
  <c r="U248" i="8" s="1"/>
  <c r="AA248" i="8" s="1"/>
  <c r="X248" i="8"/>
  <c r="AC248" i="8" s="1"/>
  <c r="T250" i="8"/>
  <c r="U250" i="8" s="1"/>
  <c r="AA250" i="8" s="1"/>
  <c r="X250" i="8"/>
  <c r="AC250" i="8" s="1"/>
  <c r="T252" i="8"/>
  <c r="U252" i="8" s="1"/>
  <c r="AA252" i="8" s="1"/>
  <c r="X252" i="8"/>
  <c r="AC252" i="8" s="1"/>
  <c r="T254" i="8"/>
  <c r="U254" i="8" s="1"/>
  <c r="AA254" i="8" s="1"/>
  <c r="X254" i="8"/>
  <c r="AC254" i="8" s="1"/>
  <c r="T255" i="8"/>
  <c r="U255" i="8" s="1"/>
  <c r="AA255" i="8" s="1"/>
  <c r="X255" i="8"/>
  <c r="AC255" i="8" s="1"/>
  <c r="X256" i="8"/>
  <c r="AC256" i="8" s="1"/>
  <c r="T257" i="8"/>
  <c r="U257" i="8" s="1"/>
  <c r="AA257" i="8" s="1"/>
  <c r="X257" i="8"/>
  <c r="AC257" i="8" s="1"/>
  <c r="T258" i="8"/>
  <c r="U258" i="8" s="1"/>
  <c r="AA258" i="8" s="1"/>
  <c r="T259" i="8"/>
  <c r="U259" i="8" s="1"/>
  <c r="AA259" i="8" s="1"/>
  <c r="X259" i="8"/>
  <c r="AC259" i="8" s="1"/>
  <c r="T260" i="8"/>
  <c r="U260" i="8" s="1"/>
  <c r="AA260" i="8" s="1"/>
  <c r="X260" i="8"/>
  <c r="AC260" i="8" s="1"/>
  <c r="T261" i="8"/>
  <c r="U261" i="8" s="1"/>
  <c r="AA261" i="8" s="1"/>
  <c r="X261" i="8"/>
  <c r="AC261" i="8" s="1"/>
  <c r="T263" i="8"/>
  <c r="U263" i="8" s="1"/>
  <c r="AA263" i="8" s="1"/>
  <c r="X263" i="8"/>
  <c r="AC263" i="8" s="1"/>
  <c r="T264" i="8"/>
  <c r="U264" i="8" s="1"/>
  <c r="AA264" i="8" s="1"/>
  <c r="X264" i="8"/>
  <c r="AC264" i="8" s="1"/>
  <c r="T265" i="8"/>
  <c r="U265" i="8" s="1"/>
  <c r="AA265" i="8" s="1"/>
  <c r="T266" i="8"/>
  <c r="U266" i="8" s="1"/>
  <c r="AA266" i="8" s="1"/>
  <c r="X266" i="8"/>
  <c r="AC266" i="8" s="1"/>
  <c r="X276" i="8"/>
  <c r="AC276" i="8" s="1"/>
  <c r="T277" i="8"/>
  <c r="U277" i="8" s="1"/>
  <c r="AA277" i="8" s="1"/>
  <c r="X277" i="8"/>
  <c r="AC277" i="8" s="1"/>
  <c r="T14" i="8"/>
  <c r="U14" i="8" s="1"/>
  <c r="AA14" i="8" s="1"/>
  <c r="X14" i="8"/>
  <c r="AC14" i="8" s="1"/>
  <c r="T15" i="8"/>
  <c r="U15" i="8" s="1"/>
  <c r="AA15" i="8" s="1"/>
  <c r="X15" i="8"/>
  <c r="AC15" i="8" s="1"/>
  <c r="T17" i="8"/>
  <c r="U17" i="8" s="1"/>
  <c r="AA17" i="8" s="1"/>
  <c r="X17" i="8"/>
  <c r="AC17" i="8" s="1"/>
  <c r="T18" i="8"/>
  <c r="U18" i="8" s="1"/>
  <c r="AA18" i="8" s="1"/>
  <c r="X18" i="8"/>
  <c r="AC18" i="8" s="1"/>
  <c r="T19" i="8"/>
  <c r="U19" i="8" s="1"/>
  <c r="AA19" i="8" s="1"/>
  <c r="X19" i="8"/>
  <c r="AC19" i="8" s="1"/>
  <c r="T20" i="8"/>
  <c r="U20" i="8" s="1"/>
  <c r="AA20" i="8" s="1"/>
  <c r="X20" i="8"/>
  <c r="AC20" i="8" s="1"/>
  <c r="T21" i="8"/>
  <c r="U21" i="8" s="1"/>
  <c r="AA21" i="8" s="1"/>
  <c r="X21" i="8"/>
  <c r="AC21" i="8" s="1"/>
  <c r="T23" i="8"/>
  <c r="U23" i="8" s="1"/>
  <c r="AA23" i="8" s="1"/>
  <c r="X23" i="8"/>
  <c r="AC23" i="8" s="1"/>
  <c r="T24" i="8"/>
  <c r="U24" i="8" s="1"/>
  <c r="AA24" i="8" s="1"/>
  <c r="X24" i="8"/>
  <c r="AC24" i="8" s="1"/>
  <c r="T25" i="8"/>
  <c r="U25" i="8" s="1"/>
  <c r="AA25" i="8" s="1"/>
  <c r="T52" i="8"/>
  <c r="U52" i="8" s="1"/>
  <c r="AA52" i="8" s="1"/>
  <c r="T53" i="8"/>
  <c r="U53" i="8" s="1"/>
  <c r="AA53" i="8" s="1"/>
  <c r="X53" i="8"/>
  <c r="AC53" i="8" s="1"/>
  <c r="T54" i="8"/>
  <c r="U54" i="8" s="1"/>
  <c r="AA54" i="8" s="1"/>
  <c r="T55" i="8"/>
  <c r="U55" i="8" s="1"/>
  <c r="AA55" i="8" s="1"/>
  <c r="X55" i="8"/>
  <c r="AC55" i="8" s="1"/>
  <c r="T56" i="8"/>
  <c r="U56" i="8" s="1"/>
  <c r="AA56" i="8" s="1"/>
  <c r="X56" i="8"/>
  <c r="AC56" i="8" s="1"/>
  <c r="T58" i="8"/>
  <c r="U58" i="8" s="1"/>
  <c r="AA58" i="8" s="1"/>
  <c r="X58" i="8"/>
  <c r="AC58" i="8" s="1"/>
  <c r="T59" i="8"/>
  <c r="U59" i="8" s="1"/>
  <c r="AA59" i="8" s="1"/>
  <c r="X59" i="8"/>
  <c r="AC59" i="8" s="1"/>
  <c r="T86" i="8"/>
  <c r="U86" i="8" s="1"/>
  <c r="AA86" i="8" s="1"/>
  <c r="X86" i="8"/>
  <c r="AC86" i="8" s="1"/>
  <c r="T87" i="8"/>
  <c r="U87" i="8" s="1"/>
  <c r="AA87" i="8" s="1"/>
  <c r="X87" i="8"/>
  <c r="AC87" i="8" s="1"/>
  <c r="T88" i="8"/>
  <c r="U88" i="8" s="1"/>
  <c r="AA88" i="8" s="1"/>
  <c r="X88" i="8"/>
  <c r="AC88" i="8" s="1"/>
  <c r="T89" i="8"/>
  <c r="U89" i="8" s="1"/>
  <c r="AA89" i="8" s="1"/>
  <c r="X89" i="8"/>
  <c r="AC89" i="8" s="1"/>
  <c r="T90" i="8"/>
  <c r="U90" i="8" s="1"/>
  <c r="AA90" i="8" s="1"/>
  <c r="X90" i="8"/>
  <c r="AC90" i="8" s="1"/>
  <c r="T91" i="8"/>
  <c r="U91" i="8" s="1"/>
  <c r="AA91" i="8" s="1"/>
  <c r="X91" i="8"/>
  <c r="AC91" i="8" s="1"/>
  <c r="T92" i="8"/>
  <c r="U92" i="8" s="1"/>
  <c r="AA92" i="8" s="1"/>
  <c r="X92" i="8"/>
  <c r="AC92" i="8" s="1"/>
  <c r="T94" i="8"/>
  <c r="U94" i="8" s="1"/>
  <c r="AA94" i="8" s="1"/>
  <c r="T95" i="8"/>
  <c r="U95" i="8" s="1"/>
  <c r="AA95" i="8" s="1"/>
  <c r="X95" i="8"/>
  <c r="AC95" i="8" s="1"/>
  <c r="T96" i="8"/>
  <c r="U96" i="8" s="1"/>
  <c r="AA96" i="8" s="1"/>
  <c r="T133" i="8"/>
  <c r="U133" i="8" s="1"/>
  <c r="AA133" i="8" s="1"/>
  <c r="X133" i="8"/>
  <c r="AC133" i="8" s="1"/>
  <c r="T134" i="8"/>
  <c r="U134" i="8" s="1"/>
  <c r="AA134" i="8" s="1"/>
  <c r="X134" i="8"/>
  <c r="AC134" i="8" s="1"/>
  <c r="T136" i="8"/>
  <c r="U136" i="8" s="1"/>
  <c r="AA136" i="8" s="1"/>
  <c r="X136" i="8"/>
  <c r="AC136" i="8" s="1"/>
  <c r="T137" i="8"/>
  <c r="U137" i="8" s="1"/>
  <c r="AA137" i="8" s="1"/>
  <c r="X137" i="8"/>
  <c r="AC137" i="8" s="1"/>
  <c r="T138" i="8"/>
  <c r="U138" i="8" s="1"/>
  <c r="AA138" i="8" s="1"/>
  <c r="X138" i="8"/>
  <c r="AC138" i="8" s="1"/>
  <c r="T139" i="8"/>
  <c r="U139" i="8" s="1"/>
  <c r="AA139" i="8" s="1"/>
  <c r="X139" i="8"/>
  <c r="AC139" i="8" s="1"/>
  <c r="T140" i="8"/>
  <c r="U140" i="8" s="1"/>
  <c r="AA140" i="8" s="1"/>
  <c r="X140" i="8"/>
  <c r="AC140" i="8" s="1"/>
  <c r="T141" i="8"/>
  <c r="U141" i="8" s="1"/>
  <c r="AA141" i="8" s="1"/>
  <c r="X141" i="8"/>
  <c r="AC141" i="8" s="1"/>
  <c r="T152" i="8"/>
  <c r="U152" i="8" s="1"/>
  <c r="AA152" i="8" s="1"/>
  <c r="X152" i="8"/>
  <c r="AC152" i="8" s="1"/>
  <c r="T153" i="8"/>
  <c r="U153" i="8" s="1"/>
  <c r="AA153" i="8" s="1"/>
  <c r="X153" i="8"/>
  <c r="AC153" i="8" s="1"/>
  <c r="T154" i="8"/>
  <c r="U154" i="8" s="1"/>
  <c r="AA154" i="8" s="1"/>
  <c r="X154" i="8"/>
  <c r="AC154" i="8" s="1"/>
  <c r="T156" i="8"/>
  <c r="U156" i="8" s="1"/>
  <c r="AA156" i="8" s="1"/>
  <c r="T157" i="8"/>
  <c r="U157" i="8" s="1"/>
  <c r="AA157" i="8" s="1"/>
  <c r="X157" i="8"/>
  <c r="AC157" i="8" s="1"/>
  <c r="T158" i="8"/>
  <c r="U158" i="8" s="1"/>
  <c r="AA158" i="8" s="1"/>
  <c r="T159" i="8"/>
  <c r="U159" i="8" s="1"/>
  <c r="AA159" i="8" s="1"/>
  <c r="X159" i="8"/>
  <c r="AC159" i="8" s="1"/>
  <c r="T160" i="8"/>
  <c r="U160" i="8" s="1"/>
  <c r="AA160" i="8" s="1"/>
  <c r="X160" i="8"/>
  <c r="AC160" i="8" s="1"/>
  <c r="T162" i="8"/>
  <c r="U162" i="8" s="1"/>
  <c r="AA162" i="8" s="1"/>
  <c r="X162" i="8"/>
  <c r="AC162" i="8" s="1"/>
  <c r="T163" i="8"/>
  <c r="U163" i="8" s="1"/>
  <c r="AA163" i="8" s="1"/>
  <c r="X163" i="8"/>
  <c r="AC163" i="8" s="1"/>
  <c r="T164" i="8"/>
  <c r="U164" i="8" s="1"/>
  <c r="AA164" i="8" s="1"/>
  <c r="X164" i="8"/>
  <c r="AC164" i="8" s="1"/>
  <c r="T165" i="8"/>
  <c r="U165" i="8" s="1"/>
  <c r="AA165" i="8" s="1"/>
  <c r="X165" i="8"/>
  <c r="AC165" i="8" s="1"/>
  <c r="T166" i="8"/>
  <c r="U166" i="8" s="1"/>
  <c r="AA166" i="8" s="1"/>
  <c r="X166" i="8"/>
  <c r="AC166" i="8" s="1"/>
  <c r="T167" i="8"/>
  <c r="U167" i="8" s="1"/>
  <c r="AA167" i="8" s="1"/>
  <c r="X167" i="8"/>
  <c r="AC167" i="8" s="1"/>
  <c r="T168" i="8"/>
  <c r="U168" i="8" s="1"/>
  <c r="AA168" i="8" s="1"/>
  <c r="X168" i="8"/>
  <c r="AC168" i="8" s="1"/>
  <c r="T228" i="8"/>
  <c r="U228" i="8" s="1"/>
  <c r="AA228" i="8" s="1"/>
  <c r="X228" i="8"/>
  <c r="AC228" i="8" s="1"/>
  <c r="T229" i="8"/>
  <c r="U229" i="8" s="1"/>
  <c r="AA229" i="8" s="1"/>
  <c r="X229" i="8"/>
  <c r="AC229" i="8" s="1"/>
  <c r="T231" i="8"/>
  <c r="U231" i="8" s="1"/>
  <c r="AA231" i="8" s="1"/>
  <c r="T232" i="8"/>
  <c r="U232" i="8" s="1"/>
  <c r="AA232" i="8" s="1"/>
  <c r="X232" i="8"/>
  <c r="AC232" i="8" s="1"/>
  <c r="T233" i="8"/>
  <c r="U233" i="8" s="1"/>
  <c r="AA233" i="8" s="1"/>
  <c r="T234" i="8"/>
  <c r="U234" i="8" s="1"/>
  <c r="AA234" i="8" s="1"/>
  <c r="X234" i="8"/>
  <c r="AC234" i="8" s="1"/>
  <c r="T235" i="8"/>
  <c r="U235" i="8" s="1"/>
  <c r="AA235" i="8" s="1"/>
  <c r="X235" i="8"/>
  <c r="AC235" i="8" s="1"/>
  <c r="T237" i="8"/>
  <c r="U237" i="8" s="1"/>
  <c r="AA237" i="8" s="1"/>
  <c r="X237" i="8"/>
  <c r="AC237" i="8" s="1"/>
  <c r="T7" i="8"/>
  <c r="U7" i="8" s="1"/>
  <c r="AA7" i="8" s="1"/>
  <c r="X7" i="8"/>
  <c r="AC7" i="8" s="1"/>
  <c r="T8" i="8"/>
  <c r="U8" i="8" s="1"/>
  <c r="AA8" i="8" s="1"/>
  <c r="X8" i="8"/>
  <c r="AC8" i="8" s="1"/>
  <c r="T9" i="8"/>
  <c r="U9" i="8" s="1"/>
  <c r="AA9" i="8" s="1"/>
  <c r="X9" i="8"/>
  <c r="AC9" i="8" s="1"/>
  <c r="T10" i="8"/>
  <c r="U10" i="8" s="1"/>
  <c r="AA10" i="8" s="1"/>
  <c r="X10" i="8"/>
  <c r="AC10" i="8" s="1"/>
  <c r="T11" i="8"/>
  <c r="U11" i="8" s="1"/>
  <c r="AA11" i="8" s="1"/>
  <c r="X11" i="8"/>
  <c r="AC11" i="8" s="1"/>
  <c r="T12" i="8"/>
  <c r="U12" i="8" s="1"/>
  <c r="AA12" i="8" s="1"/>
  <c r="X12" i="8"/>
  <c r="AC12" i="8" s="1"/>
  <c r="T13" i="8"/>
  <c r="U13" i="8" s="1"/>
  <c r="AA13" i="8" s="1"/>
  <c r="X13" i="8"/>
  <c r="AC13" i="8" s="1"/>
  <c r="T26" i="8"/>
  <c r="U26" i="8" s="1"/>
  <c r="AA26" i="8" s="1"/>
  <c r="X26" i="8"/>
  <c r="AC26" i="8" s="1"/>
  <c r="T28" i="8"/>
  <c r="U28" i="8" s="1"/>
  <c r="AA28" i="8" s="1"/>
  <c r="T29" i="8"/>
  <c r="U29" i="8" s="1"/>
  <c r="AA29" i="8" s="1"/>
  <c r="X29" i="8"/>
  <c r="AC29" i="8" s="1"/>
  <c r="T30" i="8"/>
  <c r="U30" i="8" s="1"/>
  <c r="AA30" i="8" s="1"/>
  <c r="T31" i="8"/>
  <c r="U31" i="8" s="1"/>
  <c r="AA31" i="8" s="1"/>
  <c r="X31" i="8"/>
  <c r="AC31" i="8" s="1"/>
  <c r="T32" i="8"/>
  <c r="U32" i="8" s="1"/>
  <c r="AA32" i="8" s="1"/>
  <c r="X32" i="8"/>
  <c r="AC32" i="8" s="1"/>
  <c r="T34" i="8"/>
  <c r="U34" i="8" s="1"/>
  <c r="AA34" i="8" s="1"/>
  <c r="X34" i="8"/>
  <c r="AC34" i="8" s="1"/>
  <c r="T35" i="8"/>
  <c r="U35" i="8" s="1"/>
  <c r="AA35" i="8" s="1"/>
  <c r="X35" i="8"/>
  <c r="AC35" i="8" s="1"/>
  <c r="T36" i="8"/>
  <c r="U36" i="8" s="1"/>
  <c r="AA36" i="8" s="1"/>
  <c r="X36" i="8"/>
  <c r="AC36" i="8" s="1"/>
  <c r="T37" i="8"/>
  <c r="U37" i="8" s="1"/>
  <c r="AA37" i="8" s="1"/>
  <c r="X37" i="8"/>
  <c r="AC37" i="8" s="1"/>
  <c r="T38" i="8"/>
  <c r="U38" i="8" s="1"/>
  <c r="AA38" i="8" s="1"/>
  <c r="X38" i="8"/>
  <c r="AC38" i="8" s="1"/>
  <c r="T39" i="8"/>
  <c r="U39" i="8" s="1"/>
  <c r="AA39" i="8" s="1"/>
  <c r="X39" i="8"/>
  <c r="AC39" i="8" s="1"/>
  <c r="T40" i="8"/>
  <c r="U40" i="8" s="1"/>
  <c r="AA40" i="8" s="1"/>
  <c r="X40" i="8"/>
  <c r="AC40" i="8" s="1"/>
  <c r="T41" i="8"/>
  <c r="U41" i="8" s="1"/>
  <c r="AA41" i="8" s="1"/>
  <c r="X41" i="8"/>
  <c r="AC41" i="8" s="1"/>
  <c r="T42" i="8"/>
  <c r="U42" i="8" s="1"/>
  <c r="AA42" i="8" s="1"/>
  <c r="X42" i="8"/>
  <c r="AC42" i="8" s="1"/>
  <c r="T44" i="8"/>
  <c r="U44" i="8" s="1"/>
  <c r="AA44" i="8" s="1"/>
  <c r="T45" i="8"/>
  <c r="U45" i="8" s="1"/>
  <c r="AA45" i="8" s="1"/>
  <c r="X45" i="8"/>
  <c r="AC45" i="8" s="1"/>
  <c r="T46" i="8"/>
  <c r="U46" i="8" s="1"/>
  <c r="AA46" i="8" s="1"/>
  <c r="T47" i="8"/>
  <c r="U47" i="8" s="1"/>
  <c r="AA47" i="8" s="1"/>
  <c r="X47" i="8"/>
  <c r="AC47" i="8" s="1"/>
  <c r="T48" i="8"/>
  <c r="U48" i="8" s="1"/>
  <c r="AA48" i="8" s="1"/>
  <c r="X48" i="8"/>
  <c r="AC48" i="8" s="1"/>
  <c r="T50" i="8"/>
  <c r="U50" i="8" s="1"/>
  <c r="AA50" i="8" s="1"/>
  <c r="X50" i="8"/>
  <c r="AC50" i="8" s="1"/>
  <c r="T60" i="8"/>
  <c r="U60" i="8" s="1"/>
  <c r="AA60" i="8" s="1"/>
  <c r="X60" i="8"/>
  <c r="AC60" i="8" s="1"/>
  <c r="T61" i="8"/>
  <c r="U61" i="8" s="1"/>
  <c r="AA61" i="8" s="1"/>
  <c r="X61" i="8"/>
  <c r="AC61" i="8" s="1"/>
  <c r="T62" i="8"/>
  <c r="U62" i="8" s="1"/>
  <c r="AA62" i="8" s="1"/>
  <c r="X62" i="8"/>
  <c r="AC62" i="8" s="1"/>
  <c r="T63" i="8"/>
  <c r="U63" i="8" s="1"/>
  <c r="AA63" i="8" s="1"/>
  <c r="X63" i="8"/>
  <c r="AC63" i="8" s="1"/>
  <c r="T64" i="8"/>
  <c r="U64" i="8" s="1"/>
  <c r="AA64" i="8" s="1"/>
  <c r="X64" i="8"/>
  <c r="AC64" i="8" s="1"/>
  <c r="T65" i="8"/>
  <c r="U65" i="8" s="1"/>
  <c r="AA65" i="8" s="1"/>
  <c r="X65" i="8"/>
  <c r="AC65" i="8" s="1"/>
  <c r="T66" i="8"/>
  <c r="U66" i="8" s="1"/>
  <c r="AA66" i="8" s="1"/>
  <c r="X66" i="8"/>
  <c r="AC66" i="8" s="1"/>
  <c r="T67" i="8"/>
  <c r="U67" i="8" s="1"/>
  <c r="AA67" i="8" s="1"/>
  <c r="X67" i="8"/>
  <c r="AC67" i="8" s="1"/>
  <c r="T69" i="8"/>
  <c r="U69" i="8" s="1"/>
  <c r="AA69" i="8" s="1"/>
  <c r="T70" i="8"/>
  <c r="U70" i="8" s="1"/>
  <c r="AA70" i="8" s="1"/>
  <c r="X70" i="8"/>
  <c r="AC70" i="8" s="1"/>
  <c r="T71" i="8"/>
  <c r="U71" i="8" s="1"/>
  <c r="AA71" i="8" s="1"/>
  <c r="T72" i="8"/>
  <c r="U72" i="8" s="1"/>
  <c r="AA72" i="8" s="1"/>
  <c r="X72" i="8"/>
  <c r="AC72" i="8" s="1"/>
  <c r="T73" i="8"/>
  <c r="U73" i="8" s="1"/>
  <c r="AA73" i="8" s="1"/>
  <c r="X73" i="8"/>
  <c r="AC73" i="8" s="1"/>
  <c r="T75" i="8"/>
  <c r="U75" i="8" s="1"/>
  <c r="AA75" i="8" s="1"/>
  <c r="X75" i="8"/>
  <c r="AC75" i="8" s="1"/>
  <c r="T76" i="8"/>
  <c r="U76" i="8" s="1"/>
  <c r="AA76" i="8" s="1"/>
  <c r="X76" i="8"/>
  <c r="AC76" i="8" s="1"/>
  <c r="T77" i="8"/>
  <c r="U77" i="8" s="1"/>
  <c r="AA77" i="8" s="1"/>
  <c r="X77" i="8"/>
  <c r="AC77" i="8" s="1"/>
  <c r="T78" i="8"/>
  <c r="U78" i="8" s="1"/>
  <c r="AA78" i="8" s="1"/>
  <c r="X78" i="8"/>
  <c r="AC78" i="8" s="1"/>
  <c r="T79" i="8"/>
  <c r="U79" i="8" s="1"/>
  <c r="AA79" i="8" s="1"/>
  <c r="X79" i="8"/>
  <c r="AC79" i="8" s="1"/>
  <c r="T80" i="8"/>
  <c r="U80" i="8" s="1"/>
  <c r="AA80" i="8" s="1"/>
  <c r="X80" i="8"/>
  <c r="AC80" i="8" s="1"/>
  <c r="T81" i="8"/>
  <c r="U81" i="8" s="1"/>
  <c r="AA81" i="8" s="1"/>
  <c r="X81" i="8"/>
  <c r="AC81" i="8" s="1"/>
  <c r="T82" i="8"/>
  <c r="U82" i="8" s="1"/>
  <c r="AA82" i="8" s="1"/>
  <c r="X82" i="8"/>
  <c r="AC82" i="8" s="1"/>
  <c r="T83" i="8"/>
  <c r="U83" i="8" s="1"/>
  <c r="AA83" i="8" s="1"/>
  <c r="X83" i="8"/>
  <c r="AC83" i="8" s="1"/>
  <c r="T85" i="8"/>
  <c r="U85" i="8" s="1"/>
  <c r="AA85" i="8" s="1"/>
  <c r="T97" i="8"/>
  <c r="U97" i="8" s="1"/>
  <c r="AA97" i="8" s="1"/>
  <c r="X97" i="8"/>
  <c r="AC97" i="8" s="1"/>
  <c r="T98" i="8"/>
  <c r="U98" i="8" s="1"/>
  <c r="AA98" i="8" s="1"/>
  <c r="T99" i="8"/>
  <c r="U99" i="8" s="1"/>
  <c r="AA99" i="8" s="1"/>
  <c r="X99" i="8"/>
  <c r="AC99" i="8" s="1"/>
  <c r="T100" i="8"/>
  <c r="U100" i="8" s="1"/>
  <c r="AA100" i="8" s="1"/>
  <c r="X100" i="8"/>
  <c r="AC100" i="8" s="1"/>
  <c r="T102" i="8"/>
  <c r="U102" i="8" s="1"/>
  <c r="AA102" i="8" s="1"/>
  <c r="X102" i="8"/>
  <c r="AC102" i="8" s="1"/>
  <c r="T103" i="8"/>
  <c r="U103" i="8" s="1"/>
  <c r="AA103" i="8" s="1"/>
  <c r="X103" i="8"/>
  <c r="AC103" i="8" s="1"/>
  <c r="T104" i="8"/>
  <c r="U104" i="8" s="1"/>
  <c r="AA104" i="8" s="1"/>
  <c r="X104" i="8"/>
  <c r="AC104" i="8" s="1"/>
  <c r="T105" i="8"/>
  <c r="U105" i="8" s="1"/>
  <c r="AA105" i="8" s="1"/>
  <c r="X105" i="8"/>
  <c r="AC105" i="8" s="1"/>
  <c r="T106" i="8"/>
  <c r="U106" i="8" s="1"/>
  <c r="AA106" i="8" s="1"/>
  <c r="X106" i="8"/>
  <c r="AC106" i="8" s="1"/>
  <c r="T107" i="8"/>
  <c r="U107" i="8" s="1"/>
  <c r="AA107" i="8" s="1"/>
  <c r="X107" i="8"/>
  <c r="AC107" i="8" s="1"/>
  <c r="T108" i="8"/>
  <c r="U108" i="8" s="1"/>
  <c r="AA108" i="8" s="1"/>
  <c r="X108" i="8"/>
  <c r="AC108" i="8" s="1"/>
  <c r="T109" i="8"/>
  <c r="U109" i="8" s="1"/>
  <c r="AA109" i="8" s="1"/>
  <c r="X109" i="8"/>
  <c r="AC109" i="8" s="1"/>
  <c r="T110" i="8"/>
  <c r="U110" i="8" s="1"/>
  <c r="AA110" i="8" s="1"/>
  <c r="X110" i="8"/>
  <c r="AC110" i="8" s="1"/>
  <c r="T112" i="8"/>
  <c r="U112" i="8" s="1"/>
  <c r="AA112" i="8" s="1"/>
  <c r="T113" i="8"/>
  <c r="U113" i="8" s="1"/>
  <c r="AA113" i="8" s="1"/>
  <c r="X113" i="8"/>
  <c r="AC113" i="8" s="1"/>
  <c r="T114" i="8"/>
  <c r="U114" i="8" s="1"/>
  <c r="AA114" i="8" s="1"/>
  <c r="T115" i="8"/>
  <c r="U115" i="8" s="1"/>
  <c r="AA115" i="8" s="1"/>
  <c r="X115" i="8"/>
  <c r="AC115" i="8" s="1"/>
  <c r="T116" i="8"/>
  <c r="U116" i="8" s="1"/>
  <c r="AA116" i="8" s="1"/>
  <c r="X116" i="8"/>
  <c r="AC116" i="8" s="1"/>
  <c r="T118" i="8"/>
  <c r="U118" i="8" s="1"/>
  <c r="AA118" i="8" s="1"/>
  <c r="X118" i="8"/>
  <c r="AC118" i="8" s="1"/>
  <c r="T119" i="8"/>
  <c r="U119" i="8" s="1"/>
  <c r="AA119" i="8" s="1"/>
  <c r="X119" i="8"/>
  <c r="AC119" i="8" s="1"/>
  <c r="T120" i="8"/>
  <c r="U120" i="8" s="1"/>
  <c r="AA120" i="8" s="1"/>
  <c r="X120" i="8"/>
  <c r="AC120" i="8" s="1"/>
  <c r="T121" i="8"/>
  <c r="U121" i="8" s="1"/>
  <c r="AA121" i="8" s="1"/>
  <c r="X121" i="8"/>
  <c r="AC121" i="8" s="1"/>
  <c r="T122" i="8"/>
  <c r="U122" i="8" s="1"/>
  <c r="AA122" i="8" s="1"/>
  <c r="X122" i="8"/>
  <c r="AC122" i="8" s="1"/>
  <c r="T123" i="8"/>
  <c r="U123" i="8" s="1"/>
  <c r="AA123" i="8" s="1"/>
  <c r="X123" i="8"/>
  <c r="AC123" i="8" s="1"/>
  <c r="T124" i="8"/>
  <c r="U124" i="8" s="1"/>
  <c r="AA124" i="8" s="1"/>
  <c r="X124" i="8"/>
  <c r="AC124" i="8" s="1"/>
  <c r="T125" i="8"/>
  <c r="U125" i="8" s="1"/>
  <c r="AA125" i="8" s="1"/>
  <c r="X125" i="8"/>
  <c r="AC125" i="8" s="1"/>
  <c r="T126" i="8"/>
  <c r="U126" i="8" s="1"/>
  <c r="AA126" i="8" s="1"/>
  <c r="X126" i="8"/>
  <c r="AC126" i="8" s="1"/>
  <c r="T128" i="8"/>
  <c r="U128" i="8" s="1"/>
  <c r="AA128" i="8" s="1"/>
  <c r="T129" i="8"/>
  <c r="U129" i="8" s="1"/>
  <c r="AA129" i="8" s="1"/>
  <c r="X129" i="8"/>
  <c r="AC129" i="8" s="1"/>
  <c r="T130" i="8"/>
  <c r="U130" i="8" s="1"/>
  <c r="AA130" i="8" s="1"/>
  <c r="T131" i="8"/>
  <c r="U131" i="8" s="1"/>
  <c r="AA131" i="8" s="1"/>
  <c r="X131" i="8"/>
  <c r="AC131" i="8" s="1"/>
  <c r="T132" i="8"/>
  <c r="U132" i="8" s="1"/>
  <c r="AA132" i="8" s="1"/>
  <c r="X132" i="8"/>
  <c r="AC132" i="8" s="1"/>
  <c r="T143" i="8"/>
  <c r="U143" i="8" s="1"/>
  <c r="AA143" i="8" s="1"/>
  <c r="X143" i="8"/>
  <c r="AC143" i="8" s="1"/>
  <c r="T144" i="8"/>
  <c r="U144" i="8" s="1"/>
  <c r="AA144" i="8" s="1"/>
  <c r="X144" i="8"/>
  <c r="AC144" i="8" s="1"/>
  <c r="T145" i="8"/>
  <c r="U145" i="8" s="1"/>
  <c r="AA145" i="8" s="1"/>
  <c r="X145" i="8"/>
  <c r="AC145" i="8" s="1"/>
  <c r="T146" i="8"/>
  <c r="U146" i="8" s="1"/>
  <c r="AA146" i="8" s="1"/>
  <c r="X146" i="8"/>
  <c r="AC146" i="8" s="1"/>
  <c r="T147" i="8"/>
  <c r="U147" i="8" s="1"/>
  <c r="AA147" i="8" s="1"/>
  <c r="X147" i="8"/>
  <c r="AC147" i="8" s="1"/>
  <c r="T148" i="8"/>
  <c r="U148" i="8" s="1"/>
  <c r="AA148" i="8" s="1"/>
  <c r="X148" i="8"/>
  <c r="AC148" i="8" s="1"/>
  <c r="T149" i="8"/>
  <c r="U149" i="8" s="1"/>
  <c r="AA149" i="8" s="1"/>
  <c r="X149" i="8"/>
  <c r="AC149" i="8" s="1"/>
  <c r="T150" i="8"/>
  <c r="U150" i="8" s="1"/>
  <c r="AA150" i="8" s="1"/>
  <c r="X150" i="8"/>
  <c r="AC150" i="8" s="1"/>
  <c r="T151" i="8"/>
  <c r="U151" i="8" s="1"/>
  <c r="AA151" i="8" s="1"/>
  <c r="X151" i="8"/>
  <c r="AC151" i="8" s="1"/>
  <c r="T170" i="8"/>
  <c r="U170" i="8" s="1"/>
  <c r="AA170" i="8" s="1"/>
  <c r="T171" i="8"/>
  <c r="U171" i="8" s="1"/>
  <c r="AA171" i="8" s="1"/>
  <c r="X171" i="8"/>
  <c r="AC171" i="8" s="1"/>
  <c r="T172" i="8"/>
  <c r="U172" i="8" s="1"/>
  <c r="AA172" i="8" s="1"/>
  <c r="T173" i="8"/>
  <c r="U173" i="8" s="1"/>
  <c r="AA173" i="8" s="1"/>
  <c r="X173" i="8"/>
  <c r="AC173" i="8" s="1"/>
  <c r="T174" i="8"/>
  <c r="U174" i="8" s="1"/>
  <c r="AA174" i="8" s="1"/>
  <c r="X174" i="8"/>
  <c r="AC174" i="8" s="1"/>
  <c r="T176" i="8"/>
  <c r="U176" i="8" s="1"/>
  <c r="AA176" i="8" s="1"/>
  <c r="X176" i="8"/>
  <c r="AC176" i="8" s="1"/>
  <c r="T177" i="8"/>
  <c r="U177" i="8" s="1"/>
  <c r="AA177" i="8" s="1"/>
  <c r="X177" i="8"/>
  <c r="AC177" i="8" s="1"/>
  <c r="T178" i="8"/>
  <c r="U178" i="8" s="1"/>
  <c r="AA178" i="8" s="1"/>
  <c r="X178" i="8"/>
  <c r="AC178" i="8" s="1"/>
  <c r="T179" i="8"/>
  <c r="U179" i="8" s="1"/>
  <c r="AA179" i="8" s="1"/>
  <c r="X179" i="8"/>
  <c r="AC179" i="8" s="1"/>
  <c r="T180" i="8"/>
  <c r="U180" i="8" s="1"/>
  <c r="AA180" i="8" s="1"/>
  <c r="X180" i="8"/>
  <c r="AC180" i="8" s="1"/>
  <c r="T181" i="8"/>
  <c r="U181" i="8" s="1"/>
  <c r="AA181" i="8" s="1"/>
  <c r="X181" i="8"/>
  <c r="AC181" i="8" s="1"/>
  <c r="T182" i="8"/>
  <c r="U182" i="8" s="1"/>
  <c r="AA182" i="8" s="1"/>
  <c r="X182" i="8"/>
  <c r="AC182" i="8" s="1"/>
  <c r="T183" i="8"/>
  <c r="U183" i="8" s="1"/>
  <c r="AA183" i="8" s="1"/>
  <c r="X183" i="8"/>
  <c r="AC183" i="8" s="1"/>
  <c r="T184" i="8"/>
  <c r="U184" i="8" s="1"/>
  <c r="AA184" i="8" s="1"/>
  <c r="X184" i="8"/>
  <c r="AC184" i="8" s="1"/>
  <c r="T186" i="8"/>
  <c r="U186" i="8" s="1"/>
  <c r="AA186" i="8" s="1"/>
  <c r="T187" i="8"/>
  <c r="U187" i="8" s="1"/>
  <c r="AA187" i="8" s="1"/>
  <c r="X187" i="8"/>
  <c r="AC187" i="8" s="1"/>
  <c r="T188" i="8"/>
  <c r="U188" i="8" s="1"/>
  <c r="AA188" i="8" s="1"/>
  <c r="T189" i="8"/>
  <c r="U189" i="8" s="1"/>
  <c r="AA189" i="8" s="1"/>
  <c r="X189" i="8"/>
  <c r="AC189" i="8" s="1"/>
  <c r="T190" i="8"/>
  <c r="U190" i="8" s="1"/>
  <c r="AA190" i="8" s="1"/>
  <c r="X190" i="8"/>
  <c r="AC190" i="8" s="1"/>
  <c r="T192" i="8"/>
  <c r="U192" i="8" s="1"/>
  <c r="AA192" i="8" s="1"/>
  <c r="X192" i="8"/>
  <c r="AC192" i="8" s="1"/>
  <c r="T223" i="8"/>
  <c r="U223" i="8" s="1"/>
  <c r="AA223" i="8" s="1"/>
  <c r="X223" i="8"/>
  <c r="AC223" i="8" s="1"/>
  <c r="T224" i="8"/>
  <c r="U224" i="8" s="1"/>
  <c r="AA224" i="8" s="1"/>
  <c r="X224" i="8"/>
  <c r="AC224" i="8" s="1"/>
  <c r="T225" i="8"/>
  <c r="U225" i="8" s="1"/>
  <c r="AA225" i="8" s="1"/>
  <c r="X225" i="8"/>
  <c r="AC225" i="8" s="1"/>
  <c r="T226" i="8"/>
  <c r="U226" i="8" s="1"/>
  <c r="AA226" i="8" s="1"/>
  <c r="X226" i="8"/>
  <c r="AC226" i="8" s="1"/>
  <c r="T227" i="8"/>
  <c r="U227" i="8" s="1"/>
  <c r="AA227" i="8" s="1"/>
  <c r="X227" i="8"/>
  <c r="AC227" i="8" s="1"/>
  <c r="T238" i="8"/>
  <c r="U238" i="8" s="1"/>
  <c r="AA238" i="8" s="1"/>
  <c r="X238" i="8"/>
  <c r="AC238" i="8" s="1"/>
  <c r="T239" i="8"/>
  <c r="U239" i="8" s="1"/>
  <c r="AA239" i="8" s="1"/>
  <c r="X239" i="8"/>
  <c r="AC239" i="8" s="1"/>
  <c r="T240" i="8"/>
  <c r="U240" i="8" s="1"/>
  <c r="AA240" i="8" s="1"/>
  <c r="X240" i="8"/>
  <c r="AC240" i="8" s="1"/>
  <c r="T242" i="8"/>
  <c r="U242" i="8" s="1"/>
  <c r="AA242" i="8" s="1"/>
  <c r="T267" i="8"/>
  <c r="U267" i="8" s="1"/>
  <c r="AA267" i="8" s="1"/>
  <c r="X267" i="8"/>
  <c r="AC267" i="8" s="1"/>
  <c r="T268" i="8"/>
  <c r="U268" i="8" s="1"/>
  <c r="AA268" i="8" s="1"/>
  <c r="T269" i="8"/>
  <c r="U269" i="8" s="1"/>
  <c r="AA269" i="8" s="1"/>
  <c r="X269" i="8"/>
  <c r="AC269" i="8" s="1"/>
  <c r="T270" i="8"/>
  <c r="U270" i="8" s="1"/>
  <c r="AA270" i="8" s="1"/>
  <c r="X270" i="8"/>
  <c r="AC270" i="8" s="1"/>
  <c r="T272" i="8"/>
  <c r="U272" i="8" s="1"/>
  <c r="AA272" i="8" s="1"/>
  <c r="X272" i="8"/>
  <c r="AC272" i="8" s="1"/>
  <c r="T273" i="8"/>
  <c r="U273" i="8" s="1"/>
  <c r="AA273" i="8" s="1"/>
  <c r="X273" i="8"/>
  <c r="AC273" i="8" s="1"/>
  <c r="T274" i="8"/>
  <c r="U274" i="8" s="1"/>
  <c r="AA274" i="8" s="1"/>
  <c r="X274" i="8"/>
  <c r="AC274" i="8" s="1"/>
  <c r="T275" i="8"/>
  <c r="U275" i="8" s="1"/>
  <c r="AA275" i="8" s="1"/>
  <c r="X275" i="8"/>
  <c r="AC275" i="8" s="1"/>
  <c r="P22" i="8"/>
  <c r="AE4" i="8"/>
  <c r="AF4" i="8"/>
  <c r="AE5" i="8"/>
  <c r="AF5" i="8"/>
  <c r="AE6" i="8"/>
  <c r="AF6" i="8"/>
  <c r="AE193" i="8"/>
  <c r="AF193" i="8"/>
  <c r="AE194" i="8"/>
  <c r="AF194" i="8"/>
  <c r="AE195" i="8"/>
  <c r="AF195" i="8"/>
  <c r="AE196" i="8"/>
  <c r="AF196" i="8"/>
  <c r="AE197" i="8"/>
  <c r="AF197" i="8"/>
  <c r="AE198" i="8"/>
  <c r="AF198" i="8"/>
  <c r="AE199" i="8"/>
  <c r="AF199" i="8"/>
  <c r="AE200" i="8"/>
  <c r="AF200" i="8"/>
  <c r="AE201" i="8"/>
  <c r="AF201" i="8"/>
  <c r="AE202" i="8"/>
  <c r="AF202" i="8"/>
  <c r="AE203" i="8"/>
  <c r="AF203" i="8"/>
  <c r="AE204" i="8"/>
  <c r="AF204" i="8"/>
  <c r="AE205" i="8"/>
  <c r="AF205" i="8"/>
  <c r="AE206" i="8"/>
  <c r="AF206" i="8"/>
  <c r="AE207" i="8"/>
  <c r="AF207" i="8"/>
  <c r="AE208" i="8"/>
  <c r="AF208" i="8"/>
  <c r="AE209" i="8"/>
  <c r="AF209" i="8"/>
  <c r="AE210" i="8"/>
  <c r="AF210" i="8"/>
  <c r="AE211" i="8"/>
  <c r="AF211" i="8"/>
  <c r="AE212" i="8"/>
  <c r="AF212" i="8"/>
  <c r="AE213" i="8"/>
  <c r="AF213" i="8"/>
  <c r="AE214" i="8"/>
  <c r="AF214" i="8"/>
  <c r="AE215" i="8"/>
  <c r="AF215" i="8"/>
  <c r="AE216" i="8"/>
  <c r="AF216" i="8"/>
  <c r="AE217" i="8"/>
  <c r="AF217" i="8"/>
  <c r="AE218" i="8"/>
  <c r="AF218" i="8"/>
  <c r="AE219" i="8"/>
  <c r="AF219" i="8"/>
  <c r="AE220" i="8"/>
  <c r="AF220" i="8"/>
  <c r="AE221" i="8"/>
  <c r="AF221" i="8"/>
  <c r="AE222" i="8"/>
  <c r="AF222" i="8"/>
  <c r="AE243" i="8"/>
  <c r="AF243" i="8"/>
  <c r="AE244" i="8"/>
  <c r="AF244" i="8"/>
  <c r="AE245" i="8"/>
  <c r="AF245" i="8"/>
  <c r="AE246" i="8"/>
  <c r="AF246" i="8"/>
  <c r="AE247" i="8"/>
  <c r="AF247" i="8"/>
  <c r="AE248" i="8"/>
  <c r="AF248" i="8"/>
  <c r="AE249" i="8"/>
  <c r="AF249" i="8"/>
  <c r="AE250" i="8"/>
  <c r="AF250" i="8"/>
  <c r="AE251" i="8"/>
  <c r="AF251" i="8"/>
  <c r="AE252" i="8"/>
  <c r="AF252" i="8"/>
  <c r="AE253" i="8"/>
  <c r="AF253" i="8"/>
  <c r="AE254" i="8"/>
  <c r="AF254" i="8"/>
  <c r="AE255" i="8"/>
  <c r="AF255" i="8"/>
  <c r="AE256" i="8"/>
  <c r="AF256" i="8"/>
  <c r="AE257" i="8"/>
  <c r="AF257" i="8"/>
  <c r="AE258" i="8"/>
  <c r="AF258" i="8"/>
  <c r="AE259" i="8"/>
  <c r="AF259" i="8"/>
  <c r="AE260" i="8"/>
  <c r="AF260" i="8"/>
  <c r="AE261" i="8"/>
  <c r="AF261" i="8"/>
  <c r="AE262" i="8"/>
  <c r="AF262" i="8"/>
  <c r="AE263" i="8"/>
  <c r="AF263" i="8"/>
  <c r="AE264" i="8"/>
  <c r="AF264" i="8"/>
  <c r="AE265" i="8"/>
  <c r="AF265" i="8"/>
  <c r="AE266" i="8"/>
  <c r="AF266" i="8"/>
  <c r="AE276" i="8"/>
  <c r="AF276" i="8"/>
  <c r="AI276" i="8" s="1"/>
  <c r="AE277" i="8"/>
  <c r="AF277" i="8"/>
  <c r="AI277" i="8" s="1"/>
  <c r="AE3" i="8"/>
  <c r="AF3" i="8"/>
  <c r="AE14" i="8"/>
  <c r="AF14" i="8"/>
  <c r="AE15" i="8"/>
  <c r="AF15" i="8"/>
  <c r="AE16" i="8"/>
  <c r="AF16" i="8"/>
  <c r="AE17" i="8"/>
  <c r="AF17" i="8"/>
  <c r="AE18" i="8"/>
  <c r="AF18" i="8"/>
  <c r="AE19" i="8"/>
  <c r="AF19" i="8"/>
  <c r="AE20" i="8"/>
  <c r="AF20" i="8"/>
  <c r="AE21" i="8"/>
  <c r="AF21" i="8"/>
  <c r="AE22" i="8"/>
  <c r="AF22" i="8"/>
  <c r="AE23" i="8"/>
  <c r="AF23" i="8"/>
  <c r="AE24" i="8"/>
  <c r="AF24" i="8"/>
  <c r="AE25" i="8"/>
  <c r="AF25" i="8"/>
  <c r="AE51" i="8"/>
  <c r="AF51" i="8"/>
  <c r="AE52" i="8"/>
  <c r="AF52" i="8"/>
  <c r="AE53" i="8"/>
  <c r="AF53" i="8"/>
  <c r="AE54" i="8"/>
  <c r="AF54" i="8"/>
  <c r="AE55" i="8"/>
  <c r="AF55" i="8"/>
  <c r="AE56" i="8"/>
  <c r="AF56" i="8"/>
  <c r="AE57" i="8"/>
  <c r="AF57" i="8"/>
  <c r="AE58" i="8"/>
  <c r="AF58" i="8"/>
  <c r="AE59" i="8"/>
  <c r="AF59" i="8"/>
  <c r="AE86" i="8"/>
  <c r="AF86" i="8"/>
  <c r="AE87" i="8"/>
  <c r="AF87" i="8"/>
  <c r="AE88" i="8"/>
  <c r="AF88" i="8"/>
  <c r="AE89" i="8"/>
  <c r="AF89" i="8"/>
  <c r="AE90" i="8"/>
  <c r="AF90" i="8"/>
  <c r="AE91" i="8"/>
  <c r="AF91" i="8"/>
  <c r="AE92" i="8"/>
  <c r="AF92" i="8"/>
  <c r="AE93" i="8"/>
  <c r="AF93" i="8"/>
  <c r="AE94" i="8"/>
  <c r="AF94" i="8"/>
  <c r="AE95" i="8"/>
  <c r="AF95" i="8"/>
  <c r="AE96" i="8"/>
  <c r="AF96" i="8"/>
  <c r="AE133" i="8"/>
  <c r="AF133" i="8"/>
  <c r="AE134" i="8"/>
  <c r="AF134" i="8"/>
  <c r="AE135" i="8"/>
  <c r="AF135" i="8"/>
  <c r="AE136" i="8"/>
  <c r="AF136" i="8"/>
  <c r="AE137" i="8"/>
  <c r="AF137" i="8"/>
  <c r="AE138" i="8"/>
  <c r="AF138" i="8"/>
  <c r="AE139" i="8"/>
  <c r="AF139" i="8"/>
  <c r="AE140" i="8"/>
  <c r="AF140" i="8"/>
  <c r="AE141" i="8"/>
  <c r="AF141" i="8"/>
  <c r="AE152" i="8"/>
  <c r="AF152" i="8"/>
  <c r="AE153" i="8"/>
  <c r="AF153" i="8"/>
  <c r="AE154" i="8"/>
  <c r="AF154" i="8"/>
  <c r="AE155" i="8"/>
  <c r="AF155" i="8"/>
  <c r="AE161" i="8"/>
  <c r="AF161" i="8"/>
  <c r="AE162" i="8"/>
  <c r="AF162" i="8"/>
  <c r="AE163" i="8"/>
  <c r="AF163" i="8"/>
  <c r="AE164" i="8"/>
  <c r="AF164" i="8"/>
  <c r="AE165" i="8"/>
  <c r="AF165" i="8"/>
  <c r="AE166" i="8"/>
  <c r="AF166" i="8"/>
  <c r="AE167" i="8"/>
  <c r="AF167" i="8"/>
  <c r="AE168" i="8"/>
  <c r="AF168" i="8"/>
  <c r="AE228" i="8"/>
  <c r="AF228" i="8"/>
  <c r="AE229" i="8"/>
  <c r="AF229" i="8"/>
  <c r="AE230" i="8"/>
  <c r="AF230" i="8"/>
  <c r="AE231" i="8"/>
  <c r="AF231" i="8"/>
  <c r="AE232" i="8"/>
  <c r="AF232" i="8"/>
  <c r="AE233" i="8"/>
  <c r="AF233" i="8"/>
  <c r="AE234" i="8"/>
  <c r="AF234" i="8"/>
  <c r="AE235" i="8"/>
  <c r="AF235" i="8"/>
  <c r="AE236" i="8"/>
  <c r="AF236" i="8"/>
  <c r="AE237" i="8"/>
  <c r="AF237" i="8"/>
  <c r="AE7" i="8"/>
  <c r="AF7" i="8"/>
  <c r="AE8" i="8"/>
  <c r="AF8" i="8"/>
  <c r="AE9" i="8"/>
  <c r="AF9" i="8"/>
  <c r="AE10" i="8"/>
  <c r="AF10" i="8"/>
  <c r="AE11" i="8"/>
  <c r="AF11" i="8"/>
  <c r="AE12" i="8"/>
  <c r="AF12" i="8"/>
  <c r="AE13" i="8"/>
  <c r="AF13" i="8"/>
  <c r="AE26" i="8"/>
  <c r="AF26" i="8"/>
  <c r="AE27" i="8"/>
  <c r="AF27" i="8"/>
  <c r="AE28" i="8"/>
  <c r="AF28" i="8"/>
  <c r="AE29" i="8"/>
  <c r="AF29" i="8"/>
  <c r="AE30" i="8"/>
  <c r="AF30" i="8"/>
  <c r="AE31" i="8"/>
  <c r="AF31" i="8"/>
  <c r="AE32" i="8"/>
  <c r="AF32" i="8"/>
  <c r="AE33" i="8"/>
  <c r="AF33" i="8"/>
  <c r="AE34" i="8"/>
  <c r="AF34" i="8"/>
  <c r="AE35" i="8"/>
  <c r="AF35" i="8"/>
  <c r="AE36" i="8"/>
  <c r="AF36" i="8"/>
  <c r="AE37" i="8"/>
  <c r="AF37" i="8"/>
  <c r="AE38" i="8"/>
  <c r="AF38" i="8"/>
  <c r="AE39" i="8"/>
  <c r="AF39" i="8"/>
  <c r="AE40" i="8"/>
  <c r="AF40" i="8"/>
  <c r="AE41" i="8"/>
  <c r="AF41" i="8"/>
  <c r="AE42" i="8"/>
  <c r="AF42" i="8"/>
  <c r="AE43" i="8"/>
  <c r="AF43" i="8"/>
  <c r="AE44" i="8"/>
  <c r="AF44" i="8"/>
  <c r="AE45" i="8"/>
  <c r="AF45" i="8"/>
  <c r="AE46" i="8"/>
  <c r="AF46" i="8"/>
  <c r="AE47" i="8"/>
  <c r="AF47" i="8"/>
  <c r="AE48" i="8"/>
  <c r="AF48" i="8"/>
  <c r="AE49" i="8"/>
  <c r="AF49" i="8"/>
  <c r="AE50" i="8"/>
  <c r="AF50" i="8"/>
  <c r="AE60" i="8"/>
  <c r="AF60" i="8"/>
  <c r="AE61" i="8"/>
  <c r="AF61" i="8"/>
  <c r="AE62" i="8"/>
  <c r="AF62" i="8"/>
  <c r="AE63" i="8"/>
  <c r="AF63" i="8"/>
  <c r="AE64" i="8"/>
  <c r="AF64" i="8"/>
  <c r="AE65" i="8"/>
  <c r="AF65" i="8"/>
  <c r="AE66" i="8"/>
  <c r="AF66" i="8"/>
  <c r="AE67" i="8"/>
  <c r="AF67" i="8"/>
  <c r="AE68" i="8"/>
  <c r="AF68" i="8"/>
  <c r="AE69" i="8"/>
  <c r="AF69" i="8"/>
  <c r="AE70" i="8"/>
  <c r="AF70" i="8"/>
  <c r="AE71" i="8"/>
  <c r="AF71" i="8"/>
  <c r="AE72" i="8"/>
  <c r="AF72" i="8"/>
  <c r="AE73" i="8"/>
  <c r="AF73" i="8"/>
  <c r="AE74" i="8"/>
  <c r="AF74" i="8"/>
  <c r="AE75" i="8"/>
  <c r="AF75" i="8"/>
  <c r="AE76" i="8"/>
  <c r="AF76" i="8"/>
  <c r="AE77" i="8"/>
  <c r="AF77" i="8"/>
  <c r="AE78" i="8"/>
  <c r="AF78" i="8"/>
  <c r="AE79" i="8"/>
  <c r="AF79" i="8"/>
  <c r="AE80" i="8"/>
  <c r="AF80" i="8"/>
  <c r="AE81" i="8"/>
  <c r="AF81" i="8"/>
  <c r="AE82" i="8"/>
  <c r="AF82" i="8"/>
  <c r="AE83" i="8"/>
  <c r="AF83" i="8"/>
  <c r="AE84" i="8"/>
  <c r="AF84" i="8"/>
  <c r="AE85" i="8"/>
  <c r="AF85" i="8"/>
  <c r="AE97" i="8"/>
  <c r="AF97" i="8"/>
  <c r="AE98" i="8"/>
  <c r="AF98" i="8"/>
  <c r="AE99" i="8"/>
  <c r="AF99" i="8"/>
  <c r="AE100" i="8"/>
  <c r="AF100" i="8"/>
  <c r="AE101" i="8"/>
  <c r="AF101" i="8"/>
  <c r="AE102" i="8"/>
  <c r="AF102" i="8"/>
  <c r="AE103" i="8"/>
  <c r="AF103" i="8"/>
  <c r="AE104" i="8"/>
  <c r="AF104" i="8"/>
  <c r="AE105" i="8"/>
  <c r="AF105" i="8"/>
  <c r="AE106" i="8"/>
  <c r="AF106" i="8"/>
  <c r="AE107" i="8"/>
  <c r="AF107" i="8"/>
  <c r="AE108" i="8"/>
  <c r="AF108" i="8"/>
  <c r="AE109" i="8"/>
  <c r="AF109" i="8"/>
  <c r="AE110" i="8"/>
  <c r="AF110" i="8"/>
  <c r="AE111" i="8"/>
  <c r="AF111" i="8"/>
  <c r="AE112" i="8"/>
  <c r="AF112" i="8"/>
  <c r="AE113" i="8"/>
  <c r="AF113" i="8"/>
  <c r="AE114" i="8"/>
  <c r="AF114" i="8"/>
  <c r="AE115" i="8"/>
  <c r="AF115" i="8"/>
  <c r="AE116" i="8"/>
  <c r="AF116" i="8"/>
  <c r="AE117" i="8"/>
  <c r="AF117" i="8"/>
  <c r="AE118" i="8"/>
  <c r="AF118" i="8"/>
  <c r="AE119" i="8"/>
  <c r="AF119" i="8"/>
  <c r="AE120" i="8"/>
  <c r="AF120" i="8"/>
  <c r="AE121" i="8"/>
  <c r="AF121" i="8"/>
  <c r="AE122" i="8"/>
  <c r="AF122" i="8"/>
  <c r="AE123" i="8"/>
  <c r="AF123" i="8"/>
  <c r="AE124" i="8"/>
  <c r="AF124" i="8"/>
  <c r="AE125" i="8"/>
  <c r="AF125" i="8"/>
  <c r="AE126" i="8"/>
  <c r="AF126" i="8"/>
  <c r="AE127" i="8"/>
  <c r="AF127" i="8"/>
  <c r="AE128" i="8"/>
  <c r="AF128" i="8"/>
  <c r="AE129" i="8"/>
  <c r="AF129" i="8"/>
  <c r="AE130" i="8"/>
  <c r="AF130" i="8"/>
  <c r="AE131" i="8"/>
  <c r="AF131" i="8"/>
  <c r="AE132" i="8"/>
  <c r="AF132" i="8"/>
  <c r="AE142" i="8"/>
  <c r="AF142" i="8"/>
  <c r="AE143" i="8"/>
  <c r="AF143" i="8"/>
  <c r="AE144" i="8"/>
  <c r="AF144" i="8"/>
  <c r="AE145" i="8"/>
  <c r="AF145" i="8"/>
  <c r="AE146" i="8"/>
  <c r="AF146" i="8"/>
  <c r="AE147" i="8"/>
  <c r="AF147" i="8"/>
  <c r="AE148" i="8"/>
  <c r="AF148" i="8"/>
  <c r="AE149" i="8"/>
  <c r="AF149" i="8"/>
  <c r="AE150" i="8"/>
  <c r="AF150" i="8"/>
  <c r="AE151" i="8"/>
  <c r="AF151" i="8"/>
  <c r="AE169" i="8"/>
  <c r="AF169" i="8"/>
  <c r="AE170" i="8"/>
  <c r="AF170" i="8"/>
  <c r="AE171" i="8"/>
  <c r="AF171" i="8"/>
  <c r="AE172" i="8"/>
  <c r="AF172" i="8"/>
  <c r="AE173" i="8"/>
  <c r="AF173" i="8"/>
  <c r="AE174" i="8"/>
  <c r="AF174" i="8"/>
  <c r="AE175" i="8"/>
  <c r="AF175" i="8"/>
  <c r="AE176" i="8"/>
  <c r="AF176" i="8"/>
  <c r="AE177" i="8"/>
  <c r="AF177" i="8"/>
  <c r="AE178" i="8"/>
  <c r="AF178" i="8"/>
  <c r="AE179" i="8"/>
  <c r="AF179" i="8"/>
  <c r="AE180" i="8"/>
  <c r="AF180" i="8"/>
  <c r="AE181" i="8"/>
  <c r="AF181" i="8"/>
  <c r="AE182" i="8"/>
  <c r="AF182" i="8"/>
  <c r="AE183" i="8"/>
  <c r="AF183" i="8"/>
  <c r="AE184" i="8"/>
  <c r="AF184" i="8"/>
  <c r="AE185" i="8"/>
  <c r="AF185" i="8"/>
  <c r="AE186" i="8"/>
  <c r="AF186" i="8"/>
  <c r="AE187" i="8"/>
  <c r="AF187" i="8"/>
  <c r="AE188" i="8"/>
  <c r="AF188" i="8"/>
  <c r="AE189" i="8"/>
  <c r="AF189" i="8"/>
  <c r="AE190" i="8"/>
  <c r="AF190" i="8"/>
  <c r="AE191" i="8"/>
  <c r="AF191" i="8"/>
  <c r="AE192" i="8"/>
  <c r="AF192" i="8"/>
  <c r="AE223" i="8"/>
  <c r="AF223" i="8"/>
  <c r="AE224" i="8"/>
  <c r="AF224" i="8"/>
  <c r="AE225" i="8"/>
  <c r="AF225" i="8"/>
  <c r="AE226" i="8"/>
  <c r="AF226" i="8"/>
  <c r="AE227" i="8"/>
  <c r="AF227" i="8"/>
  <c r="AE238" i="8"/>
  <c r="AF238" i="8"/>
  <c r="AE239" i="8"/>
  <c r="AF239" i="8"/>
  <c r="AE240" i="8"/>
  <c r="AF240" i="8"/>
  <c r="AE241" i="8"/>
  <c r="AF241" i="8"/>
  <c r="AE242" i="8"/>
  <c r="AF242" i="8"/>
  <c r="AE267" i="8"/>
  <c r="AF267" i="8"/>
  <c r="AE268" i="8"/>
  <c r="AF268" i="8"/>
  <c r="AE269" i="8"/>
  <c r="AF269" i="8"/>
  <c r="AE270" i="8"/>
  <c r="AF270" i="8"/>
  <c r="AE271" i="8"/>
  <c r="AF271" i="8"/>
  <c r="AE272" i="8"/>
  <c r="AF272" i="8"/>
  <c r="AE273" i="8"/>
  <c r="AF273" i="8"/>
  <c r="AE274" i="8"/>
  <c r="AF274" i="8"/>
  <c r="AE275" i="8"/>
  <c r="AF275" i="8"/>
  <c r="AE156" i="8"/>
  <c r="AF156" i="8"/>
  <c r="AE157" i="8"/>
  <c r="AF157" i="8"/>
  <c r="AE158" i="8"/>
  <c r="AF158" i="8"/>
  <c r="AE159" i="8"/>
  <c r="AF159" i="8"/>
  <c r="AE160" i="8"/>
  <c r="AF160" i="8"/>
  <c r="T246" i="8" l="1"/>
  <c r="U246" i="8" s="1"/>
  <c r="AA246" i="8" s="1"/>
  <c r="X3" i="8"/>
  <c r="AC3" i="8" s="1"/>
  <c r="AD3" i="8" s="1"/>
  <c r="T249" i="8"/>
  <c r="U249" i="8" s="1"/>
  <c r="AA249" i="8" s="1"/>
  <c r="T16" i="8"/>
  <c r="U16" i="8" s="1"/>
  <c r="AA16" i="8" s="1"/>
  <c r="T253" i="8"/>
  <c r="U253" i="8" s="1"/>
  <c r="AA253" i="8" s="1"/>
  <c r="T251" i="8"/>
  <c r="U251" i="8" s="1"/>
  <c r="AA251" i="8" s="1"/>
  <c r="T220" i="8"/>
  <c r="U220" i="8" s="1"/>
  <c r="AA220" i="8" s="1"/>
  <c r="T205" i="8"/>
  <c r="U205" i="8" s="1"/>
  <c r="AA205" i="8" s="1"/>
  <c r="T199" i="8"/>
  <c r="U199" i="8" s="1"/>
  <c r="AA199" i="8" s="1"/>
  <c r="T191" i="8"/>
  <c r="U191" i="8" s="1"/>
  <c r="AA191" i="8" s="1"/>
  <c r="T185" i="8"/>
  <c r="U185" i="8" s="1"/>
  <c r="AA185" i="8" s="1"/>
  <c r="T175" i="8"/>
  <c r="U175" i="8" s="1"/>
  <c r="AA175" i="8" s="1"/>
  <c r="T142" i="8"/>
  <c r="U142" i="8" s="1"/>
  <c r="AA142" i="8" s="1"/>
  <c r="T127" i="8"/>
  <c r="U127" i="8" s="1"/>
  <c r="AA127" i="8" s="1"/>
  <c r="T117" i="8"/>
  <c r="U117" i="8" s="1"/>
  <c r="AA117" i="8" s="1"/>
  <c r="T111" i="8"/>
  <c r="U111" i="8" s="1"/>
  <c r="AA111" i="8" s="1"/>
  <c r="T101" i="8"/>
  <c r="U101" i="8" s="1"/>
  <c r="AA101" i="8" s="1"/>
  <c r="T84" i="8"/>
  <c r="U84" i="8" s="1"/>
  <c r="AA84" i="8" s="1"/>
  <c r="T74" i="8"/>
  <c r="U74" i="8" s="1"/>
  <c r="AA74" i="8" s="1"/>
  <c r="T68" i="8"/>
  <c r="U68" i="8" s="1"/>
  <c r="AA68" i="8" s="1"/>
  <c r="T49" i="8"/>
  <c r="U49" i="8" s="1"/>
  <c r="AA49" i="8" s="1"/>
  <c r="T43" i="8"/>
  <c r="U43" i="8" s="1"/>
  <c r="AA43" i="8" s="1"/>
  <c r="T33" i="8"/>
  <c r="U33" i="8" s="1"/>
  <c r="AA33" i="8" s="1"/>
  <c r="T27" i="8"/>
  <c r="U27" i="8" s="1"/>
  <c r="AA27" i="8" s="1"/>
  <c r="T236" i="8"/>
  <c r="U236" i="8" s="1"/>
  <c r="AA236" i="8" s="1"/>
  <c r="T230" i="8"/>
  <c r="U230" i="8" s="1"/>
  <c r="AA230" i="8" s="1"/>
  <c r="T161" i="8"/>
  <c r="U161" i="8" s="1"/>
  <c r="AA161" i="8" s="1"/>
  <c r="T155" i="8"/>
  <c r="U155" i="8" s="1"/>
  <c r="AA155" i="8" s="1"/>
  <c r="T135" i="8"/>
  <c r="U135" i="8" s="1"/>
  <c r="AA135" i="8" s="1"/>
  <c r="T93" i="8"/>
  <c r="U93" i="8" s="1"/>
  <c r="AA93" i="8" s="1"/>
  <c r="T57" i="8"/>
  <c r="U57" i="8" s="1"/>
  <c r="AA57" i="8" s="1"/>
  <c r="T51" i="8"/>
  <c r="U51" i="8" s="1"/>
  <c r="AA51" i="8" s="1"/>
  <c r="T262" i="8"/>
  <c r="U262" i="8" s="1"/>
  <c r="AA262" i="8" s="1"/>
  <c r="T245" i="8"/>
  <c r="U245" i="8" s="1"/>
  <c r="AA245" i="8" s="1"/>
  <c r="T210" i="8"/>
  <c r="U210" i="8" s="1"/>
  <c r="AA210" i="8" s="1"/>
  <c r="T194" i="8"/>
  <c r="U194" i="8" s="1"/>
  <c r="AA194" i="8" s="1"/>
  <c r="T271" i="8"/>
  <c r="U271" i="8" s="1"/>
  <c r="AA271" i="8" s="1"/>
  <c r="T241" i="8"/>
  <c r="U241" i="8" s="1"/>
  <c r="AA241" i="8" s="1"/>
  <c r="T169" i="8"/>
  <c r="U169" i="8" s="1"/>
  <c r="AA169" i="8" s="1"/>
  <c r="X5" i="8"/>
  <c r="AC5" i="8" s="1"/>
  <c r="X197" i="8"/>
  <c r="AC197" i="8" s="1"/>
  <c r="X4" i="8"/>
  <c r="AC4" i="8" s="1"/>
  <c r="Z275" i="8"/>
  <c r="AB275" i="8" s="1"/>
  <c r="AH275" i="8" s="1"/>
  <c r="Y275" i="8"/>
  <c r="Z274" i="8"/>
  <c r="AB274" i="8" s="1"/>
  <c r="AH274" i="8" s="1"/>
  <c r="Y274" i="8"/>
  <c r="Z273" i="8"/>
  <c r="AB273" i="8" s="1"/>
  <c r="AH273" i="8" s="1"/>
  <c r="Y273" i="8"/>
  <c r="Z272" i="8"/>
  <c r="AB272" i="8" s="1"/>
  <c r="AH272" i="8" s="1"/>
  <c r="Y272" i="8"/>
  <c r="Z271" i="8"/>
  <c r="AB271" i="8" s="1"/>
  <c r="AH271" i="8" s="1"/>
  <c r="Y271" i="8"/>
  <c r="Z270" i="8"/>
  <c r="AB270" i="8" s="1"/>
  <c r="AH270" i="8" s="1"/>
  <c r="Y270" i="8"/>
  <c r="Z269" i="8"/>
  <c r="AB269" i="8" s="1"/>
  <c r="AH269" i="8" s="1"/>
  <c r="Y269" i="8"/>
  <c r="Z268" i="8"/>
  <c r="AB268" i="8" s="1"/>
  <c r="AH268" i="8" s="1"/>
  <c r="Y268" i="8"/>
  <c r="Z267" i="8"/>
  <c r="AB267" i="8" s="1"/>
  <c r="AH267" i="8" s="1"/>
  <c r="Y267" i="8"/>
  <c r="Z242" i="8"/>
  <c r="AB242" i="8" s="1"/>
  <c r="AH242" i="8" s="1"/>
  <c r="Y242" i="8"/>
  <c r="Z241" i="8"/>
  <c r="AB241" i="8" s="1"/>
  <c r="AH241" i="8" s="1"/>
  <c r="Y241" i="8"/>
  <c r="Z240" i="8"/>
  <c r="AB240" i="8" s="1"/>
  <c r="AH240" i="8" s="1"/>
  <c r="Y240" i="8"/>
  <c r="Z239" i="8"/>
  <c r="AB239" i="8" s="1"/>
  <c r="AH239" i="8" s="1"/>
  <c r="Y239" i="8"/>
  <c r="Z238" i="8"/>
  <c r="AB238" i="8" s="1"/>
  <c r="AH238" i="8" s="1"/>
  <c r="Y238" i="8"/>
  <c r="Z227" i="8"/>
  <c r="AB227" i="8" s="1"/>
  <c r="AH227" i="8" s="1"/>
  <c r="Y227" i="8"/>
  <c r="Z226" i="8"/>
  <c r="AB226" i="8" s="1"/>
  <c r="AH226" i="8" s="1"/>
  <c r="Y226" i="8"/>
  <c r="Z225" i="8"/>
  <c r="AB225" i="8" s="1"/>
  <c r="AH225" i="8" s="1"/>
  <c r="Y225" i="8"/>
  <c r="Z224" i="8"/>
  <c r="AB224" i="8" s="1"/>
  <c r="AH224" i="8" s="1"/>
  <c r="Y224" i="8"/>
  <c r="Z223" i="8"/>
  <c r="AB223" i="8" s="1"/>
  <c r="AH223" i="8" s="1"/>
  <c r="Y223" i="8"/>
  <c r="Z192" i="8"/>
  <c r="AB192" i="8" s="1"/>
  <c r="AH192" i="8" s="1"/>
  <c r="Y192" i="8"/>
  <c r="Z191" i="8"/>
  <c r="AB191" i="8" s="1"/>
  <c r="AH191" i="8" s="1"/>
  <c r="Y191" i="8"/>
  <c r="Z190" i="8"/>
  <c r="AB190" i="8" s="1"/>
  <c r="AH190" i="8" s="1"/>
  <c r="Y190" i="8"/>
  <c r="Z189" i="8"/>
  <c r="AB189" i="8" s="1"/>
  <c r="AH189" i="8" s="1"/>
  <c r="Y189" i="8"/>
  <c r="Z188" i="8"/>
  <c r="AB188" i="8" s="1"/>
  <c r="AH188" i="8" s="1"/>
  <c r="Y188" i="8"/>
  <c r="Z187" i="8"/>
  <c r="AB187" i="8" s="1"/>
  <c r="AH187" i="8" s="1"/>
  <c r="Y187" i="8"/>
  <c r="Z186" i="8"/>
  <c r="AB186" i="8" s="1"/>
  <c r="AH186" i="8" s="1"/>
  <c r="Y186" i="8"/>
  <c r="Z185" i="8"/>
  <c r="AB185" i="8" s="1"/>
  <c r="AH185" i="8" s="1"/>
  <c r="Y185" i="8"/>
  <c r="Z184" i="8"/>
  <c r="AB184" i="8" s="1"/>
  <c r="AH184" i="8" s="1"/>
  <c r="Y184" i="8"/>
  <c r="Z183" i="8"/>
  <c r="AB183" i="8" s="1"/>
  <c r="AH183" i="8" s="1"/>
  <c r="Y183" i="8"/>
  <c r="Z182" i="8"/>
  <c r="AB182" i="8" s="1"/>
  <c r="AH182" i="8" s="1"/>
  <c r="Y182" i="8"/>
  <c r="Z181" i="8"/>
  <c r="AB181" i="8" s="1"/>
  <c r="AH181" i="8" s="1"/>
  <c r="Y181" i="8"/>
  <c r="Z180" i="8"/>
  <c r="AB180" i="8" s="1"/>
  <c r="AH180" i="8" s="1"/>
  <c r="Y180" i="8"/>
  <c r="Z179" i="8"/>
  <c r="AB179" i="8" s="1"/>
  <c r="AH179" i="8" s="1"/>
  <c r="Y179" i="8"/>
  <c r="Z178" i="8"/>
  <c r="AB178" i="8" s="1"/>
  <c r="AH178" i="8" s="1"/>
  <c r="Y178" i="8"/>
  <c r="Z177" i="8"/>
  <c r="AB177" i="8" s="1"/>
  <c r="AH177" i="8" s="1"/>
  <c r="Y177" i="8"/>
  <c r="Z176" i="8"/>
  <c r="AB176" i="8" s="1"/>
  <c r="AH176" i="8" s="1"/>
  <c r="Y176" i="8"/>
  <c r="Z175" i="8"/>
  <c r="AB175" i="8" s="1"/>
  <c r="AH175" i="8" s="1"/>
  <c r="Y175" i="8"/>
  <c r="Z174" i="8"/>
  <c r="AB174" i="8" s="1"/>
  <c r="AH174" i="8" s="1"/>
  <c r="Y174" i="8"/>
  <c r="Z173" i="8"/>
  <c r="AB173" i="8" s="1"/>
  <c r="AH173" i="8" s="1"/>
  <c r="Y173" i="8"/>
  <c r="Z172" i="8"/>
  <c r="AB172" i="8" s="1"/>
  <c r="AH172" i="8" s="1"/>
  <c r="Y172" i="8"/>
  <c r="Z171" i="8"/>
  <c r="AB171" i="8" s="1"/>
  <c r="AH171" i="8" s="1"/>
  <c r="Y171" i="8"/>
  <c r="Z170" i="8"/>
  <c r="AB170" i="8" s="1"/>
  <c r="AH170" i="8" s="1"/>
  <c r="Y170" i="8"/>
  <c r="Z169" i="8"/>
  <c r="AB169" i="8" s="1"/>
  <c r="AH169" i="8" s="1"/>
  <c r="Y169" i="8"/>
  <c r="Z151" i="8"/>
  <c r="AB151" i="8" s="1"/>
  <c r="AH151" i="8" s="1"/>
  <c r="Y151" i="8"/>
  <c r="Z150" i="8"/>
  <c r="AB150" i="8" s="1"/>
  <c r="AH150" i="8" s="1"/>
  <c r="Y150" i="8"/>
  <c r="Z149" i="8"/>
  <c r="AB149" i="8" s="1"/>
  <c r="AH149" i="8" s="1"/>
  <c r="Y149" i="8"/>
  <c r="Z148" i="8"/>
  <c r="AB148" i="8" s="1"/>
  <c r="AH148" i="8" s="1"/>
  <c r="Y148" i="8"/>
  <c r="Z147" i="8"/>
  <c r="AB147" i="8" s="1"/>
  <c r="AH147" i="8" s="1"/>
  <c r="Y147" i="8"/>
  <c r="Z146" i="8"/>
  <c r="AB146" i="8" s="1"/>
  <c r="AH146" i="8" s="1"/>
  <c r="Y146" i="8"/>
  <c r="Z145" i="8"/>
  <c r="AB145" i="8" s="1"/>
  <c r="AH145" i="8" s="1"/>
  <c r="Y145" i="8"/>
  <c r="Z144" i="8"/>
  <c r="AB144" i="8" s="1"/>
  <c r="AH144" i="8" s="1"/>
  <c r="Y144" i="8"/>
  <c r="Z143" i="8"/>
  <c r="AB143" i="8" s="1"/>
  <c r="AH143" i="8" s="1"/>
  <c r="Y143" i="8"/>
  <c r="Z142" i="8"/>
  <c r="AB142" i="8" s="1"/>
  <c r="AH142" i="8" s="1"/>
  <c r="Y142" i="8"/>
  <c r="Z132" i="8"/>
  <c r="AB132" i="8" s="1"/>
  <c r="AH132" i="8" s="1"/>
  <c r="Y132" i="8"/>
  <c r="Z131" i="8"/>
  <c r="AB131" i="8" s="1"/>
  <c r="AH131" i="8" s="1"/>
  <c r="Y131" i="8"/>
  <c r="Z130" i="8"/>
  <c r="AB130" i="8" s="1"/>
  <c r="AH130" i="8" s="1"/>
  <c r="Y130" i="8"/>
  <c r="Z129" i="8"/>
  <c r="AB129" i="8" s="1"/>
  <c r="AH129" i="8" s="1"/>
  <c r="Y129" i="8"/>
  <c r="Z128" i="8"/>
  <c r="AB128" i="8" s="1"/>
  <c r="AH128" i="8" s="1"/>
  <c r="Y128" i="8"/>
  <c r="Z127" i="8"/>
  <c r="AB127" i="8" s="1"/>
  <c r="AH127" i="8" s="1"/>
  <c r="Y127" i="8"/>
  <c r="Z126" i="8"/>
  <c r="AB126" i="8" s="1"/>
  <c r="AH126" i="8" s="1"/>
  <c r="Y126" i="8"/>
  <c r="Z125" i="8"/>
  <c r="AB125" i="8" s="1"/>
  <c r="AH125" i="8" s="1"/>
  <c r="Y125" i="8"/>
  <c r="Z124" i="8"/>
  <c r="AB124" i="8" s="1"/>
  <c r="AH124" i="8" s="1"/>
  <c r="Y124" i="8"/>
  <c r="Z123" i="8"/>
  <c r="AB123" i="8" s="1"/>
  <c r="AH123" i="8" s="1"/>
  <c r="Y123" i="8"/>
  <c r="Z122" i="8"/>
  <c r="AB122" i="8" s="1"/>
  <c r="AH122" i="8" s="1"/>
  <c r="Y122" i="8"/>
  <c r="Z121" i="8"/>
  <c r="AB121" i="8" s="1"/>
  <c r="AH121" i="8" s="1"/>
  <c r="Y121" i="8"/>
  <c r="Z120" i="8"/>
  <c r="AB120" i="8" s="1"/>
  <c r="AH120" i="8" s="1"/>
  <c r="Y120" i="8"/>
  <c r="Z119" i="8"/>
  <c r="AB119" i="8" s="1"/>
  <c r="AH119" i="8" s="1"/>
  <c r="Y119" i="8"/>
  <c r="Z118" i="8"/>
  <c r="AB118" i="8" s="1"/>
  <c r="AH118" i="8" s="1"/>
  <c r="Y118" i="8"/>
  <c r="Z117" i="8"/>
  <c r="AB117" i="8" s="1"/>
  <c r="AH117" i="8" s="1"/>
  <c r="Y117" i="8"/>
  <c r="Z116" i="8"/>
  <c r="AB116" i="8" s="1"/>
  <c r="AH116" i="8" s="1"/>
  <c r="Y116" i="8"/>
  <c r="Z115" i="8"/>
  <c r="AB115" i="8" s="1"/>
  <c r="AH115" i="8" s="1"/>
  <c r="Y115" i="8"/>
  <c r="Z114" i="8"/>
  <c r="AB114" i="8" s="1"/>
  <c r="AH114" i="8" s="1"/>
  <c r="Y114" i="8"/>
  <c r="Z113" i="8"/>
  <c r="AB113" i="8" s="1"/>
  <c r="AH113" i="8" s="1"/>
  <c r="Y113" i="8"/>
  <c r="Z112" i="8"/>
  <c r="AB112" i="8" s="1"/>
  <c r="AH112" i="8" s="1"/>
  <c r="Y112" i="8"/>
  <c r="Z111" i="8"/>
  <c r="AB111" i="8" s="1"/>
  <c r="AH111" i="8" s="1"/>
  <c r="Y111" i="8"/>
  <c r="Z110" i="8"/>
  <c r="AB110" i="8" s="1"/>
  <c r="AH110" i="8" s="1"/>
  <c r="Y110" i="8"/>
  <c r="Z109" i="8"/>
  <c r="AB109" i="8" s="1"/>
  <c r="AH109" i="8" s="1"/>
  <c r="Y109" i="8"/>
  <c r="Z108" i="8"/>
  <c r="AB108" i="8" s="1"/>
  <c r="AH108" i="8" s="1"/>
  <c r="Y108" i="8"/>
  <c r="Z107" i="8"/>
  <c r="AB107" i="8" s="1"/>
  <c r="AH107" i="8" s="1"/>
  <c r="Y107" i="8"/>
  <c r="Z106" i="8"/>
  <c r="AB106" i="8" s="1"/>
  <c r="AH106" i="8" s="1"/>
  <c r="Y106" i="8"/>
  <c r="Z105" i="8"/>
  <c r="AB105" i="8" s="1"/>
  <c r="AH105" i="8" s="1"/>
  <c r="Y105" i="8"/>
  <c r="Z104" i="8"/>
  <c r="AB104" i="8" s="1"/>
  <c r="AH104" i="8" s="1"/>
  <c r="Y104" i="8"/>
  <c r="Z103" i="8"/>
  <c r="AB103" i="8" s="1"/>
  <c r="AH103" i="8" s="1"/>
  <c r="Y103" i="8"/>
  <c r="Z102" i="8"/>
  <c r="AB102" i="8" s="1"/>
  <c r="AH102" i="8" s="1"/>
  <c r="Y102" i="8"/>
  <c r="Z101" i="8"/>
  <c r="AB101" i="8" s="1"/>
  <c r="AH101" i="8" s="1"/>
  <c r="Y101" i="8"/>
  <c r="Z100" i="8"/>
  <c r="AB100" i="8" s="1"/>
  <c r="AH100" i="8" s="1"/>
  <c r="Y100" i="8"/>
  <c r="Z99" i="8"/>
  <c r="AB99" i="8" s="1"/>
  <c r="AH99" i="8" s="1"/>
  <c r="Y99" i="8"/>
  <c r="Z98" i="8"/>
  <c r="AB98" i="8" s="1"/>
  <c r="AH98" i="8" s="1"/>
  <c r="Y98" i="8"/>
  <c r="Z97" i="8"/>
  <c r="AB97" i="8" s="1"/>
  <c r="AH97" i="8" s="1"/>
  <c r="Y97" i="8"/>
  <c r="Z85" i="8"/>
  <c r="AB85" i="8" s="1"/>
  <c r="AH85" i="8" s="1"/>
  <c r="Y85" i="8"/>
  <c r="Z84" i="8"/>
  <c r="AB84" i="8" s="1"/>
  <c r="AH84" i="8" s="1"/>
  <c r="Y84" i="8"/>
  <c r="Z83" i="8"/>
  <c r="AB83" i="8" s="1"/>
  <c r="AH83" i="8" s="1"/>
  <c r="Y83" i="8"/>
  <c r="Z82" i="8"/>
  <c r="AB82" i="8" s="1"/>
  <c r="AH82" i="8" s="1"/>
  <c r="Y82" i="8"/>
  <c r="Z81" i="8"/>
  <c r="AB81" i="8" s="1"/>
  <c r="AH81" i="8" s="1"/>
  <c r="Y81" i="8"/>
  <c r="Z80" i="8"/>
  <c r="AB80" i="8" s="1"/>
  <c r="AH80" i="8" s="1"/>
  <c r="Y80" i="8"/>
  <c r="Z79" i="8"/>
  <c r="AB79" i="8" s="1"/>
  <c r="AH79" i="8" s="1"/>
  <c r="Y79" i="8"/>
  <c r="Z78" i="8"/>
  <c r="AB78" i="8" s="1"/>
  <c r="AH78" i="8" s="1"/>
  <c r="Y78" i="8"/>
  <c r="Z77" i="8"/>
  <c r="AB77" i="8" s="1"/>
  <c r="AH77" i="8" s="1"/>
  <c r="Y77" i="8"/>
  <c r="Z76" i="8"/>
  <c r="AB76" i="8" s="1"/>
  <c r="AH76" i="8" s="1"/>
  <c r="Y76" i="8"/>
  <c r="Z75" i="8"/>
  <c r="AB75" i="8" s="1"/>
  <c r="AH75" i="8" s="1"/>
  <c r="Y75" i="8"/>
  <c r="Z74" i="8"/>
  <c r="AB74" i="8" s="1"/>
  <c r="AH74" i="8" s="1"/>
  <c r="Y74" i="8"/>
  <c r="Z73" i="8"/>
  <c r="AB73" i="8" s="1"/>
  <c r="AH73" i="8" s="1"/>
  <c r="Y73" i="8"/>
  <c r="Z72" i="8"/>
  <c r="AB72" i="8" s="1"/>
  <c r="AH72" i="8" s="1"/>
  <c r="Y72" i="8"/>
  <c r="Z71" i="8"/>
  <c r="AB71" i="8" s="1"/>
  <c r="AH71" i="8" s="1"/>
  <c r="Y71" i="8"/>
  <c r="Z70" i="8"/>
  <c r="AB70" i="8" s="1"/>
  <c r="AH70" i="8" s="1"/>
  <c r="Y70" i="8"/>
  <c r="Z69" i="8"/>
  <c r="AB69" i="8" s="1"/>
  <c r="AH69" i="8" s="1"/>
  <c r="Y69" i="8"/>
  <c r="Z68" i="8"/>
  <c r="AB68" i="8" s="1"/>
  <c r="AH68" i="8" s="1"/>
  <c r="Y68" i="8"/>
  <c r="Z67" i="8"/>
  <c r="AB67" i="8" s="1"/>
  <c r="AH67" i="8" s="1"/>
  <c r="Y67" i="8"/>
  <c r="Z66" i="8"/>
  <c r="AB66" i="8" s="1"/>
  <c r="AH66" i="8" s="1"/>
  <c r="Y66" i="8"/>
  <c r="Z65" i="8"/>
  <c r="AB65" i="8" s="1"/>
  <c r="AH65" i="8" s="1"/>
  <c r="Y65" i="8"/>
  <c r="Z64" i="8"/>
  <c r="AB64" i="8" s="1"/>
  <c r="AH64" i="8" s="1"/>
  <c r="Y64" i="8"/>
  <c r="Z63" i="8"/>
  <c r="AB63" i="8" s="1"/>
  <c r="AH63" i="8" s="1"/>
  <c r="Y63" i="8"/>
  <c r="Z62" i="8"/>
  <c r="AB62" i="8" s="1"/>
  <c r="AH62" i="8" s="1"/>
  <c r="Y62" i="8"/>
  <c r="Z61" i="8"/>
  <c r="AB61" i="8" s="1"/>
  <c r="AH61" i="8" s="1"/>
  <c r="Y61" i="8"/>
  <c r="Z60" i="8"/>
  <c r="AB60" i="8" s="1"/>
  <c r="AH60" i="8" s="1"/>
  <c r="Y60" i="8"/>
  <c r="Z50" i="8"/>
  <c r="AB50" i="8" s="1"/>
  <c r="AH50" i="8" s="1"/>
  <c r="Y50" i="8"/>
  <c r="Z49" i="8"/>
  <c r="AB49" i="8" s="1"/>
  <c r="AH49" i="8" s="1"/>
  <c r="Y49" i="8"/>
  <c r="Z48" i="8"/>
  <c r="AB48" i="8" s="1"/>
  <c r="AH48" i="8" s="1"/>
  <c r="Y48" i="8"/>
  <c r="Z47" i="8"/>
  <c r="AB47" i="8" s="1"/>
  <c r="AH47" i="8" s="1"/>
  <c r="Y47" i="8"/>
  <c r="Z46" i="8"/>
  <c r="AB46" i="8" s="1"/>
  <c r="AH46" i="8" s="1"/>
  <c r="Y46" i="8"/>
  <c r="Z45" i="8"/>
  <c r="AB45" i="8" s="1"/>
  <c r="AH45" i="8" s="1"/>
  <c r="Y45" i="8"/>
  <c r="Z44" i="8"/>
  <c r="AB44" i="8" s="1"/>
  <c r="AH44" i="8" s="1"/>
  <c r="Y44" i="8"/>
  <c r="Z43" i="8"/>
  <c r="AB43" i="8" s="1"/>
  <c r="AH43" i="8" s="1"/>
  <c r="Y43" i="8"/>
  <c r="Z42" i="8"/>
  <c r="AB42" i="8" s="1"/>
  <c r="AH42" i="8" s="1"/>
  <c r="Y42" i="8"/>
  <c r="Z41" i="8"/>
  <c r="AB41" i="8" s="1"/>
  <c r="AH41" i="8" s="1"/>
  <c r="Y41" i="8"/>
  <c r="Z40" i="8"/>
  <c r="AB40" i="8" s="1"/>
  <c r="AH40" i="8" s="1"/>
  <c r="Y40" i="8"/>
  <c r="Z39" i="8"/>
  <c r="AB39" i="8" s="1"/>
  <c r="AH39" i="8" s="1"/>
  <c r="Y39" i="8"/>
  <c r="Z38" i="8"/>
  <c r="AB38" i="8" s="1"/>
  <c r="AH38" i="8" s="1"/>
  <c r="Y38" i="8"/>
  <c r="Z37" i="8"/>
  <c r="AB37" i="8" s="1"/>
  <c r="AH37" i="8" s="1"/>
  <c r="Y37" i="8"/>
  <c r="Z36" i="8"/>
  <c r="AB36" i="8" s="1"/>
  <c r="AH36" i="8" s="1"/>
  <c r="Y36" i="8"/>
  <c r="Z35" i="8"/>
  <c r="AB35" i="8" s="1"/>
  <c r="AH35" i="8" s="1"/>
  <c r="Y35" i="8"/>
  <c r="Z34" i="8"/>
  <c r="AB34" i="8" s="1"/>
  <c r="AH34" i="8" s="1"/>
  <c r="Y34" i="8"/>
  <c r="Z33" i="8"/>
  <c r="AB33" i="8" s="1"/>
  <c r="AH33" i="8" s="1"/>
  <c r="Y33" i="8"/>
  <c r="Z32" i="8"/>
  <c r="AB32" i="8" s="1"/>
  <c r="AH32" i="8" s="1"/>
  <c r="Y32" i="8"/>
  <c r="Z31" i="8"/>
  <c r="AB31" i="8" s="1"/>
  <c r="AH31" i="8" s="1"/>
  <c r="Y31" i="8"/>
  <c r="Z30" i="8"/>
  <c r="AB30" i="8" s="1"/>
  <c r="AH30" i="8" s="1"/>
  <c r="Y30" i="8"/>
  <c r="Z29" i="8"/>
  <c r="AB29" i="8" s="1"/>
  <c r="AH29" i="8" s="1"/>
  <c r="AJ29" i="8" s="1"/>
  <c r="Y29" i="8"/>
  <c r="Z28" i="8"/>
  <c r="AB28" i="8" s="1"/>
  <c r="AH28" i="8" s="1"/>
  <c r="AJ28" i="8" s="1"/>
  <c r="Y28" i="8"/>
  <c r="Z27" i="8"/>
  <c r="AB27" i="8" s="1"/>
  <c r="AH27" i="8" s="1"/>
  <c r="AJ27" i="8" s="1"/>
  <c r="Y27" i="8"/>
  <c r="Z26" i="8"/>
  <c r="AB26" i="8" s="1"/>
  <c r="AH26" i="8" s="1"/>
  <c r="AJ26" i="8" s="1"/>
  <c r="Y26" i="8"/>
  <c r="Z13" i="8"/>
  <c r="AB13" i="8" s="1"/>
  <c r="AH13" i="8" s="1"/>
  <c r="AJ13" i="8" s="1"/>
  <c r="Y13" i="8"/>
  <c r="Z12" i="8"/>
  <c r="AB12" i="8" s="1"/>
  <c r="AH12" i="8" s="1"/>
  <c r="AJ12" i="8" s="1"/>
  <c r="Y12" i="8"/>
  <c r="Z11" i="8"/>
  <c r="AB11" i="8" s="1"/>
  <c r="AH11" i="8" s="1"/>
  <c r="AJ11" i="8" s="1"/>
  <c r="Y11" i="8"/>
  <c r="Z10" i="8"/>
  <c r="AB10" i="8" s="1"/>
  <c r="AH10" i="8" s="1"/>
  <c r="AJ10" i="8" s="1"/>
  <c r="Y10" i="8"/>
  <c r="Z9" i="8"/>
  <c r="AB9" i="8" s="1"/>
  <c r="AH9" i="8" s="1"/>
  <c r="AJ9" i="8" s="1"/>
  <c r="Y9" i="8"/>
  <c r="Z8" i="8"/>
  <c r="AB8" i="8" s="1"/>
  <c r="AH8" i="8" s="1"/>
  <c r="AJ8" i="8" s="1"/>
  <c r="Y8" i="8"/>
  <c r="Z7" i="8"/>
  <c r="AB7" i="8" s="1"/>
  <c r="AH7" i="8" s="1"/>
  <c r="AJ7" i="8" s="1"/>
  <c r="Y7" i="8"/>
  <c r="Z237" i="8"/>
  <c r="AB237" i="8" s="1"/>
  <c r="AH237" i="8" s="1"/>
  <c r="Y237" i="8"/>
  <c r="Z236" i="8"/>
  <c r="AB236" i="8" s="1"/>
  <c r="AH236" i="8" s="1"/>
  <c r="Y236" i="8"/>
  <c r="Z235" i="8"/>
  <c r="AB235" i="8" s="1"/>
  <c r="AH235" i="8" s="1"/>
  <c r="Y235" i="8"/>
  <c r="Z234" i="8"/>
  <c r="AB234" i="8" s="1"/>
  <c r="AH234" i="8" s="1"/>
  <c r="Y234" i="8"/>
  <c r="Z233" i="8"/>
  <c r="AB233" i="8" s="1"/>
  <c r="AH233" i="8" s="1"/>
  <c r="Y233" i="8"/>
  <c r="Z232" i="8"/>
  <c r="AB232" i="8" s="1"/>
  <c r="AH232" i="8" s="1"/>
  <c r="Y232" i="8"/>
  <c r="Z231" i="8"/>
  <c r="AB231" i="8" s="1"/>
  <c r="AH231" i="8" s="1"/>
  <c r="Y231" i="8"/>
  <c r="Z230" i="8"/>
  <c r="AB230" i="8" s="1"/>
  <c r="AH230" i="8" s="1"/>
  <c r="Y230" i="8"/>
  <c r="Z229" i="8"/>
  <c r="AB229" i="8" s="1"/>
  <c r="AH229" i="8" s="1"/>
  <c r="Y229" i="8"/>
  <c r="Z228" i="8"/>
  <c r="AB228" i="8" s="1"/>
  <c r="AH228" i="8" s="1"/>
  <c r="Y228" i="8"/>
  <c r="Z168" i="8"/>
  <c r="AB168" i="8" s="1"/>
  <c r="AH168" i="8" s="1"/>
  <c r="Y168" i="8"/>
  <c r="Z167" i="8"/>
  <c r="AB167" i="8" s="1"/>
  <c r="AH167" i="8" s="1"/>
  <c r="Y167" i="8"/>
  <c r="Z166" i="8"/>
  <c r="AB166" i="8" s="1"/>
  <c r="AH166" i="8" s="1"/>
  <c r="Y166" i="8"/>
  <c r="Z165" i="8"/>
  <c r="AB165" i="8" s="1"/>
  <c r="AH165" i="8" s="1"/>
  <c r="Y165" i="8"/>
  <c r="Z164" i="8"/>
  <c r="AB164" i="8" s="1"/>
  <c r="AH164" i="8" s="1"/>
  <c r="Y164" i="8"/>
  <c r="Z163" i="8"/>
  <c r="AB163" i="8" s="1"/>
  <c r="AH163" i="8" s="1"/>
  <c r="Y163" i="8"/>
  <c r="Z162" i="8"/>
  <c r="AB162" i="8" s="1"/>
  <c r="AH162" i="8" s="1"/>
  <c r="Y162" i="8"/>
  <c r="Z161" i="8"/>
  <c r="AB161" i="8" s="1"/>
  <c r="AH161" i="8" s="1"/>
  <c r="Y161" i="8"/>
  <c r="Z160" i="8"/>
  <c r="AB160" i="8" s="1"/>
  <c r="AH160" i="8" s="1"/>
  <c r="Y160" i="8"/>
  <c r="Z159" i="8"/>
  <c r="AB159" i="8" s="1"/>
  <c r="AH159" i="8" s="1"/>
  <c r="Y159" i="8"/>
  <c r="Z158" i="8"/>
  <c r="AB158" i="8" s="1"/>
  <c r="AH158" i="8" s="1"/>
  <c r="Y158" i="8"/>
  <c r="Z157" i="8"/>
  <c r="AB157" i="8" s="1"/>
  <c r="AH157" i="8" s="1"/>
  <c r="Y157" i="8"/>
  <c r="Z156" i="8"/>
  <c r="AB156" i="8" s="1"/>
  <c r="AH156" i="8" s="1"/>
  <c r="Y156" i="8"/>
  <c r="Z155" i="8"/>
  <c r="AB155" i="8" s="1"/>
  <c r="AH155" i="8" s="1"/>
  <c r="Y155" i="8"/>
  <c r="Z154" i="8"/>
  <c r="AB154" i="8" s="1"/>
  <c r="AH154" i="8" s="1"/>
  <c r="Y154" i="8"/>
  <c r="Z153" i="8"/>
  <c r="AB153" i="8" s="1"/>
  <c r="AH153" i="8" s="1"/>
  <c r="Y153" i="8"/>
  <c r="Z152" i="8"/>
  <c r="AB152" i="8" s="1"/>
  <c r="AH152" i="8" s="1"/>
  <c r="Y152" i="8"/>
  <c r="Z141" i="8"/>
  <c r="AB141" i="8" s="1"/>
  <c r="AH141" i="8" s="1"/>
  <c r="Y141" i="8"/>
  <c r="Z140" i="8"/>
  <c r="AB140" i="8" s="1"/>
  <c r="AH140" i="8" s="1"/>
  <c r="Y140" i="8"/>
  <c r="Z139" i="8"/>
  <c r="AB139" i="8" s="1"/>
  <c r="AH139" i="8" s="1"/>
  <c r="Y139" i="8"/>
  <c r="Z138" i="8"/>
  <c r="AB138" i="8" s="1"/>
  <c r="AH138" i="8" s="1"/>
  <c r="Y138" i="8"/>
  <c r="Z137" i="8"/>
  <c r="AB137" i="8" s="1"/>
  <c r="AH137" i="8" s="1"/>
  <c r="Y137" i="8"/>
  <c r="Z136" i="8"/>
  <c r="AB136" i="8" s="1"/>
  <c r="AH136" i="8" s="1"/>
  <c r="Y136" i="8"/>
  <c r="Z135" i="8"/>
  <c r="AB135" i="8" s="1"/>
  <c r="AH135" i="8" s="1"/>
  <c r="Y135" i="8"/>
  <c r="Z134" i="8"/>
  <c r="AB134" i="8" s="1"/>
  <c r="AH134" i="8" s="1"/>
  <c r="Y134" i="8"/>
  <c r="Z133" i="8"/>
  <c r="AB133" i="8" s="1"/>
  <c r="AH133" i="8" s="1"/>
  <c r="Y133" i="8"/>
  <c r="Z96" i="8"/>
  <c r="AB96" i="8" s="1"/>
  <c r="AH96" i="8" s="1"/>
  <c r="Y96" i="8"/>
  <c r="Z95" i="8"/>
  <c r="AB95" i="8" s="1"/>
  <c r="AH95" i="8" s="1"/>
  <c r="Y95" i="8"/>
  <c r="Z94" i="8"/>
  <c r="AB94" i="8" s="1"/>
  <c r="AH94" i="8" s="1"/>
  <c r="Y94" i="8"/>
  <c r="Z93" i="8"/>
  <c r="AB93" i="8" s="1"/>
  <c r="AH93" i="8" s="1"/>
  <c r="Y93" i="8"/>
  <c r="Z92" i="8"/>
  <c r="AB92" i="8" s="1"/>
  <c r="AH92" i="8" s="1"/>
  <c r="Y92" i="8"/>
  <c r="Z91" i="8"/>
  <c r="AB91" i="8" s="1"/>
  <c r="AH91" i="8" s="1"/>
  <c r="Y91" i="8"/>
  <c r="Z90" i="8"/>
  <c r="AB90" i="8" s="1"/>
  <c r="AH90" i="8" s="1"/>
  <c r="Y90" i="8"/>
  <c r="Z89" i="8"/>
  <c r="AB89" i="8" s="1"/>
  <c r="AH89" i="8" s="1"/>
  <c r="Y89" i="8"/>
  <c r="Z88" i="8"/>
  <c r="AB88" i="8" s="1"/>
  <c r="AH88" i="8" s="1"/>
  <c r="Y88" i="8"/>
  <c r="Z87" i="8"/>
  <c r="AB87" i="8" s="1"/>
  <c r="AH87" i="8" s="1"/>
  <c r="Y87" i="8"/>
  <c r="Z86" i="8"/>
  <c r="AB86" i="8" s="1"/>
  <c r="AH86" i="8" s="1"/>
  <c r="Y86" i="8"/>
  <c r="Z59" i="8"/>
  <c r="AB59" i="8" s="1"/>
  <c r="AH59" i="8" s="1"/>
  <c r="Y59" i="8"/>
  <c r="Z58" i="8"/>
  <c r="AB58" i="8" s="1"/>
  <c r="AH58" i="8" s="1"/>
  <c r="Y58" i="8"/>
  <c r="Z57" i="8"/>
  <c r="AB57" i="8" s="1"/>
  <c r="AH57" i="8" s="1"/>
  <c r="Y57" i="8"/>
  <c r="Z56" i="8"/>
  <c r="AB56" i="8" s="1"/>
  <c r="AH56" i="8" s="1"/>
  <c r="Y56" i="8"/>
  <c r="Z55" i="8"/>
  <c r="AB55" i="8" s="1"/>
  <c r="AH55" i="8" s="1"/>
  <c r="Y55" i="8"/>
  <c r="Z54" i="8"/>
  <c r="AB54" i="8" s="1"/>
  <c r="AH54" i="8" s="1"/>
  <c r="Y54" i="8"/>
  <c r="Z53" i="8"/>
  <c r="AB53" i="8" s="1"/>
  <c r="AH53" i="8" s="1"/>
  <c r="Y53" i="8"/>
  <c r="Z52" i="8"/>
  <c r="AB52" i="8" s="1"/>
  <c r="AH52" i="8" s="1"/>
  <c r="Y52" i="8"/>
  <c r="Z51" i="8"/>
  <c r="AB51" i="8" s="1"/>
  <c r="AH51" i="8" s="1"/>
  <c r="Y51" i="8"/>
  <c r="Z25" i="8"/>
  <c r="AB25" i="8" s="1"/>
  <c r="AH25" i="8" s="1"/>
  <c r="AJ25" i="8" s="1"/>
  <c r="Y25" i="8"/>
  <c r="Z24" i="8"/>
  <c r="AB24" i="8" s="1"/>
  <c r="AH24" i="8" s="1"/>
  <c r="AJ24" i="8" s="1"/>
  <c r="Y24" i="8"/>
  <c r="Z23" i="8"/>
  <c r="AB23" i="8" s="1"/>
  <c r="AH23" i="8" s="1"/>
  <c r="AJ23" i="8" s="1"/>
  <c r="Y23" i="8"/>
  <c r="Z21" i="8"/>
  <c r="AB21" i="8" s="1"/>
  <c r="AH21" i="8" s="1"/>
  <c r="AJ21" i="8" s="1"/>
  <c r="Y21" i="8"/>
  <c r="Z20" i="8"/>
  <c r="AB20" i="8" s="1"/>
  <c r="AH20" i="8" s="1"/>
  <c r="AJ20" i="8" s="1"/>
  <c r="Y20" i="8"/>
  <c r="Z19" i="8"/>
  <c r="AB19" i="8" s="1"/>
  <c r="AH19" i="8" s="1"/>
  <c r="AJ19" i="8" s="1"/>
  <c r="Y19" i="8"/>
  <c r="Z18" i="8"/>
  <c r="AB18" i="8" s="1"/>
  <c r="AH18" i="8" s="1"/>
  <c r="AJ18" i="8" s="1"/>
  <c r="Y18" i="8"/>
  <c r="Z17" i="8"/>
  <c r="AB17" i="8" s="1"/>
  <c r="AH17" i="8" s="1"/>
  <c r="AJ17" i="8" s="1"/>
  <c r="Y17" i="8"/>
  <c r="Z16" i="8"/>
  <c r="AB16" i="8" s="1"/>
  <c r="AH16" i="8" s="1"/>
  <c r="AJ16" i="8" s="1"/>
  <c r="Y16" i="8"/>
  <c r="Z15" i="8"/>
  <c r="AB15" i="8" s="1"/>
  <c r="AH15" i="8" s="1"/>
  <c r="AJ15" i="8" s="1"/>
  <c r="Y15" i="8"/>
  <c r="Z14" i="8"/>
  <c r="AB14" i="8" s="1"/>
  <c r="AH14" i="8" s="1"/>
  <c r="AJ14" i="8" s="1"/>
  <c r="Y14" i="8"/>
  <c r="Z3" i="8"/>
  <c r="AB3" i="8" s="1"/>
  <c r="AH3" i="8" s="1"/>
  <c r="AJ3" i="8" s="1"/>
  <c r="Y3" i="8"/>
  <c r="Z277" i="8"/>
  <c r="AB277" i="8" s="1"/>
  <c r="AH277" i="8" s="1"/>
  <c r="Y277" i="8"/>
  <c r="Z276" i="8"/>
  <c r="AB276" i="8" s="1"/>
  <c r="AH276" i="8" s="1"/>
  <c r="Y276" i="8"/>
  <c r="Z266" i="8"/>
  <c r="AB266" i="8" s="1"/>
  <c r="AH266" i="8" s="1"/>
  <c r="Y266" i="8"/>
  <c r="Z265" i="8"/>
  <c r="AB265" i="8" s="1"/>
  <c r="AH265" i="8" s="1"/>
  <c r="Y265" i="8"/>
  <c r="Z264" i="8"/>
  <c r="AB264" i="8" s="1"/>
  <c r="AH264" i="8" s="1"/>
  <c r="Y264" i="8"/>
  <c r="Z263" i="8"/>
  <c r="AB263" i="8" s="1"/>
  <c r="AH263" i="8" s="1"/>
  <c r="Y263" i="8"/>
  <c r="Z262" i="8"/>
  <c r="AB262" i="8" s="1"/>
  <c r="AH262" i="8" s="1"/>
  <c r="Y262" i="8"/>
  <c r="Z261" i="8"/>
  <c r="AB261" i="8" s="1"/>
  <c r="AH261" i="8" s="1"/>
  <c r="Y261" i="8"/>
  <c r="Z260" i="8"/>
  <c r="AB260" i="8" s="1"/>
  <c r="AH260" i="8" s="1"/>
  <c r="Y260" i="8"/>
  <c r="Z259" i="8"/>
  <c r="AB259" i="8" s="1"/>
  <c r="AH259" i="8" s="1"/>
  <c r="Y259" i="8"/>
  <c r="Z258" i="8"/>
  <c r="AB258" i="8" s="1"/>
  <c r="AH258" i="8" s="1"/>
  <c r="Y258" i="8"/>
  <c r="Z257" i="8"/>
  <c r="AB257" i="8" s="1"/>
  <c r="AH257" i="8" s="1"/>
  <c r="Y257" i="8"/>
  <c r="Z256" i="8"/>
  <c r="AB256" i="8" s="1"/>
  <c r="AH256" i="8" s="1"/>
  <c r="Y256" i="8"/>
  <c r="Z255" i="8"/>
  <c r="AB255" i="8" s="1"/>
  <c r="AH255" i="8" s="1"/>
  <c r="Y255" i="8"/>
  <c r="Z254" i="8"/>
  <c r="AB254" i="8" s="1"/>
  <c r="AH254" i="8" s="1"/>
  <c r="Y254" i="8"/>
  <c r="Z253" i="8"/>
  <c r="AB253" i="8" s="1"/>
  <c r="AH253" i="8" s="1"/>
  <c r="Y253" i="8"/>
  <c r="Z252" i="8"/>
  <c r="AB252" i="8" s="1"/>
  <c r="AH252" i="8" s="1"/>
  <c r="Y252" i="8"/>
  <c r="Z251" i="8"/>
  <c r="AB251" i="8" s="1"/>
  <c r="AH251" i="8" s="1"/>
  <c r="Y251" i="8"/>
  <c r="Z250" i="8"/>
  <c r="AB250" i="8" s="1"/>
  <c r="AH250" i="8" s="1"/>
  <c r="Y250" i="8"/>
  <c r="Z249" i="8"/>
  <c r="AB249" i="8" s="1"/>
  <c r="AH249" i="8" s="1"/>
  <c r="Y249" i="8"/>
  <c r="Z248" i="8"/>
  <c r="AB248" i="8" s="1"/>
  <c r="AH248" i="8" s="1"/>
  <c r="Y248" i="8"/>
  <c r="Z247" i="8"/>
  <c r="AB247" i="8" s="1"/>
  <c r="AH247" i="8" s="1"/>
  <c r="Y247" i="8"/>
  <c r="Z246" i="8"/>
  <c r="AB246" i="8" s="1"/>
  <c r="AH246" i="8" s="1"/>
  <c r="Y246" i="8"/>
  <c r="Z245" i="8"/>
  <c r="AB245" i="8" s="1"/>
  <c r="AH245" i="8" s="1"/>
  <c r="Y245" i="8"/>
  <c r="Z244" i="8"/>
  <c r="AB244" i="8" s="1"/>
  <c r="AH244" i="8" s="1"/>
  <c r="Y244" i="8"/>
  <c r="Z243" i="8"/>
  <c r="AB243" i="8" s="1"/>
  <c r="AH243" i="8" s="1"/>
  <c r="Y243" i="8"/>
  <c r="Z222" i="8"/>
  <c r="AB222" i="8" s="1"/>
  <c r="AH222" i="8" s="1"/>
  <c r="Y222" i="8"/>
  <c r="Z221" i="8"/>
  <c r="AB221" i="8" s="1"/>
  <c r="AH221" i="8" s="1"/>
  <c r="Y221" i="8"/>
  <c r="Z220" i="8"/>
  <c r="AB220" i="8" s="1"/>
  <c r="AH220" i="8" s="1"/>
  <c r="Y220" i="8"/>
  <c r="Z219" i="8"/>
  <c r="AB219" i="8" s="1"/>
  <c r="AH219" i="8" s="1"/>
  <c r="Y219" i="8"/>
  <c r="Z218" i="8"/>
  <c r="AB218" i="8" s="1"/>
  <c r="AH218" i="8" s="1"/>
  <c r="Y218" i="8"/>
  <c r="Z217" i="8"/>
  <c r="AB217" i="8" s="1"/>
  <c r="AH217" i="8" s="1"/>
  <c r="Y217" i="8"/>
  <c r="Z216" i="8"/>
  <c r="AB216" i="8" s="1"/>
  <c r="AH216" i="8" s="1"/>
  <c r="Y216" i="8"/>
  <c r="Z215" i="8"/>
  <c r="AB215" i="8" s="1"/>
  <c r="AH215" i="8" s="1"/>
  <c r="Y215" i="8"/>
  <c r="Z214" i="8"/>
  <c r="AB214" i="8" s="1"/>
  <c r="AH214" i="8" s="1"/>
  <c r="Y214" i="8"/>
  <c r="Z213" i="8"/>
  <c r="AB213" i="8" s="1"/>
  <c r="AH213" i="8" s="1"/>
  <c r="Y213" i="8"/>
  <c r="Z212" i="8"/>
  <c r="AB212" i="8" s="1"/>
  <c r="AH212" i="8" s="1"/>
  <c r="Y212" i="8"/>
  <c r="Z211" i="8"/>
  <c r="AB211" i="8" s="1"/>
  <c r="AH211" i="8" s="1"/>
  <c r="Y211" i="8"/>
  <c r="Z210" i="8"/>
  <c r="AB210" i="8" s="1"/>
  <c r="AH210" i="8" s="1"/>
  <c r="Y210" i="8"/>
  <c r="Z209" i="8"/>
  <c r="AB209" i="8" s="1"/>
  <c r="AH209" i="8" s="1"/>
  <c r="Y209" i="8"/>
  <c r="Z208" i="8"/>
  <c r="AB208" i="8" s="1"/>
  <c r="AH208" i="8" s="1"/>
  <c r="Y208" i="8"/>
  <c r="Z207" i="8"/>
  <c r="AB207" i="8" s="1"/>
  <c r="AH207" i="8" s="1"/>
  <c r="Y207" i="8"/>
  <c r="Z206" i="8"/>
  <c r="AB206" i="8" s="1"/>
  <c r="AH206" i="8" s="1"/>
  <c r="Y206" i="8"/>
  <c r="Z205" i="8"/>
  <c r="AB205" i="8" s="1"/>
  <c r="AH205" i="8" s="1"/>
  <c r="Y205" i="8"/>
  <c r="Z204" i="8"/>
  <c r="AB204" i="8" s="1"/>
  <c r="AH204" i="8" s="1"/>
  <c r="Y204" i="8"/>
  <c r="Z203" i="8"/>
  <c r="AB203" i="8" s="1"/>
  <c r="AH203" i="8" s="1"/>
  <c r="Y203" i="8"/>
  <c r="Z202" i="8"/>
  <c r="AB202" i="8" s="1"/>
  <c r="AH202" i="8" s="1"/>
  <c r="Y202" i="8"/>
  <c r="Z201" i="8"/>
  <c r="AB201" i="8" s="1"/>
  <c r="AH201" i="8" s="1"/>
  <c r="Y201" i="8"/>
  <c r="Z200" i="8"/>
  <c r="AB200" i="8" s="1"/>
  <c r="AH200" i="8" s="1"/>
  <c r="Y200" i="8"/>
  <c r="Z199" i="8"/>
  <c r="AB199" i="8" s="1"/>
  <c r="AH199" i="8" s="1"/>
  <c r="Y199" i="8"/>
  <c r="Z198" i="8"/>
  <c r="AB198" i="8" s="1"/>
  <c r="AH198" i="8" s="1"/>
  <c r="Y198" i="8"/>
  <c r="Z197" i="8"/>
  <c r="AB197" i="8" s="1"/>
  <c r="AH197" i="8" s="1"/>
  <c r="Y197" i="8"/>
  <c r="Z196" i="8"/>
  <c r="AB196" i="8" s="1"/>
  <c r="AH196" i="8" s="1"/>
  <c r="Y196" i="8"/>
  <c r="Z195" i="8"/>
  <c r="AB195" i="8" s="1"/>
  <c r="AH195" i="8" s="1"/>
  <c r="Y195" i="8"/>
  <c r="Z194" i="8"/>
  <c r="AB194" i="8" s="1"/>
  <c r="AH194" i="8" s="1"/>
  <c r="Y194" i="8"/>
  <c r="Z193" i="8"/>
  <c r="AB193" i="8" s="1"/>
  <c r="AH193" i="8" s="1"/>
  <c r="Y193" i="8"/>
  <c r="Z6" i="8"/>
  <c r="AB6" i="8" s="1"/>
  <c r="AH6" i="8" s="1"/>
  <c r="AJ6" i="8" s="1"/>
  <c r="Y6" i="8"/>
  <c r="Z5" i="8"/>
  <c r="AB5" i="8" s="1"/>
  <c r="AH5" i="8" s="1"/>
  <c r="AJ5" i="8" s="1"/>
  <c r="Y5" i="8"/>
  <c r="Z4" i="8"/>
  <c r="AB4" i="8" s="1"/>
  <c r="AH4" i="8" s="1"/>
  <c r="AJ4" i="8" s="1"/>
  <c r="Y4" i="8"/>
  <c r="T22" i="8"/>
  <c r="U22" i="8" s="1"/>
  <c r="AA22" i="8" s="1"/>
  <c r="X22" i="8"/>
  <c r="AC22" i="8" s="1"/>
  <c r="W22" i="8" s="1"/>
  <c r="W23" i="8" s="1"/>
  <c r="W24" i="8" s="1"/>
  <c r="W25" i="8" s="1"/>
  <c r="W26" i="8" s="1"/>
  <c r="W27" i="8" s="1"/>
  <c r="W28" i="8" s="1"/>
  <c r="W29" i="8" s="1"/>
  <c r="W30" i="8" s="1"/>
  <c r="W31" i="8" s="1"/>
  <c r="W32" i="8" s="1"/>
  <c r="W33" i="8" s="1"/>
  <c r="W34" i="8" s="1"/>
  <c r="W35" i="8" s="1"/>
  <c r="W36" i="8" s="1"/>
  <c r="W37" i="8" s="1"/>
  <c r="W38" i="8" s="1"/>
  <c r="W39" i="8" s="1"/>
  <c r="W40" i="8" s="1"/>
  <c r="W41" i="8" s="1"/>
  <c r="W42" i="8" s="1"/>
  <c r="W43" i="8" s="1"/>
  <c r="W44" i="8" s="1"/>
  <c r="W45" i="8" s="1"/>
  <c r="W46" i="8" s="1"/>
  <c r="W47" i="8" s="1"/>
  <c r="W48" i="8" s="1"/>
  <c r="W49" i="8" s="1"/>
  <c r="W50" i="8" s="1"/>
  <c r="W51" i="8" s="1"/>
  <c r="W52" i="8" s="1"/>
  <c r="W53" i="8" s="1"/>
  <c r="W54" i="8" s="1"/>
  <c r="W55" i="8" s="1"/>
  <c r="W56" i="8" s="1"/>
  <c r="W57" i="8" s="1"/>
  <c r="W58" i="8" s="1"/>
  <c r="W59" i="8" s="1"/>
  <c r="W60" i="8" s="1"/>
  <c r="W61" i="8" s="1"/>
  <c r="W62" i="8" s="1"/>
  <c r="W63" i="8" s="1"/>
  <c r="W64" i="8" s="1"/>
  <c r="W65" i="8" s="1"/>
  <c r="W66" i="8" s="1"/>
  <c r="W67" i="8" s="1"/>
  <c r="W68" i="8" s="1"/>
  <c r="W69" i="8" s="1"/>
  <c r="W70" i="8" s="1"/>
  <c r="W71" i="8" s="1"/>
  <c r="W72" i="8" s="1"/>
  <c r="W73" i="8" s="1"/>
  <c r="W74" i="8" s="1"/>
  <c r="W75" i="8" s="1"/>
  <c r="W76" i="8" s="1"/>
  <c r="W77" i="8" s="1"/>
  <c r="W78" i="8" s="1"/>
  <c r="W79" i="8" s="1"/>
  <c r="W80" i="8" s="1"/>
  <c r="W81" i="8" s="1"/>
  <c r="W82" i="8" s="1"/>
  <c r="W83" i="8" s="1"/>
  <c r="W84" i="8" s="1"/>
  <c r="W85" i="8" s="1"/>
  <c r="W86" i="8" s="1"/>
  <c r="W87" i="8" s="1"/>
  <c r="W88" i="8" s="1"/>
  <c r="W89" i="8" s="1"/>
  <c r="W90" i="8" s="1"/>
  <c r="W91" i="8" s="1"/>
  <c r="W92" i="8" s="1"/>
  <c r="W93" i="8" s="1"/>
  <c r="W94" i="8" s="1"/>
  <c r="W95" i="8" s="1"/>
  <c r="W96" i="8" s="1"/>
  <c r="W97" i="8" s="1"/>
  <c r="W98" i="8" s="1"/>
  <c r="W99" i="8" s="1"/>
  <c r="W100" i="8" s="1"/>
  <c r="W101" i="8" s="1"/>
  <c r="W102" i="8" s="1"/>
  <c r="W103" i="8" s="1"/>
  <c r="W104" i="8" s="1"/>
  <c r="W105" i="8" s="1"/>
  <c r="W106" i="8" s="1"/>
  <c r="W107" i="8" s="1"/>
  <c r="W108" i="8" s="1"/>
  <c r="W109" i="8" s="1"/>
  <c r="W110" i="8" s="1"/>
  <c r="W111" i="8" s="1"/>
  <c r="W112" i="8" s="1"/>
  <c r="W113" i="8" s="1"/>
  <c r="W114" i="8" s="1"/>
  <c r="W115" i="8" s="1"/>
  <c r="W116" i="8" s="1"/>
  <c r="W117" i="8" s="1"/>
  <c r="W118" i="8" s="1"/>
  <c r="W119" i="8" s="1"/>
  <c r="W120" i="8" s="1"/>
  <c r="W121" i="8" s="1"/>
  <c r="W122" i="8" s="1"/>
  <c r="W123" i="8" s="1"/>
  <c r="W124" i="8" s="1"/>
  <c r="W125" i="8" s="1"/>
  <c r="W126" i="8" s="1"/>
  <c r="W127" i="8" s="1"/>
  <c r="W128" i="8" s="1"/>
  <c r="W129" i="8" s="1"/>
  <c r="W130" i="8" s="1"/>
  <c r="W131" i="8" s="1"/>
  <c r="W132" i="8" s="1"/>
  <c r="W133" i="8" s="1"/>
  <c r="W134" i="8" s="1"/>
  <c r="W135" i="8" s="1"/>
  <c r="W136" i="8" s="1"/>
  <c r="W137" i="8" s="1"/>
  <c r="W138" i="8" s="1"/>
  <c r="W139" i="8" s="1"/>
  <c r="W140" i="8" s="1"/>
  <c r="W141" i="8" s="1"/>
  <c r="W142" i="8" s="1"/>
  <c r="W143" i="8" s="1"/>
  <c r="W144" i="8" s="1"/>
  <c r="W145" i="8" s="1"/>
  <c r="W146" i="8" s="1"/>
  <c r="W147" i="8" s="1"/>
  <c r="W148" i="8" s="1"/>
  <c r="W149" i="8" s="1"/>
  <c r="W150" i="8" s="1"/>
  <c r="W151" i="8" s="1"/>
  <c r="W152" i="8" s="1"/>
  <c r="W153" i="8" s="1"/>
  <c r="W154" i="8" s="1"/>
  <c r="W155" i="8" s="1"/>
  <c r="W156" i="8" s="1"/>
  <c r="W157" i="8" s="1"/>
  <c r="W158" i="8" s="1"/>
  <c r="W159" i="8" s="1"/>
  <c r="W160" i="8" s="1"/>
  <c r="W161" i="8" s="1"/>
  <c r="W162" i="8" s="1"/>
  <c r="W163" i="8" s="1"/>
  <c r="W164" i="8" s="1"/>
  <c r="W165" i="8" s="1"/>
  <c r="W166" i="8" s="1"/>
  <c r="W167" i="8" s="1"/>
  <c r="W168" i="8" s="1"/>
  <c r="W169" i="8" s="1"/>
  <c r="W170" i="8" s="1"/>
  <c r="W171" i="8" s="1"/>
  <c r="W172" i="8" s="1"/>
  <c r="W173" i="8" s="1"/>
  <c r="W174" i="8" s="1"/>
  <c r="W175" i="8" s="1"/>
  <c r="W176" i="8" s="1"/>
  <c r="W177" i="8" s="1"/>
  <c r="W178" i="8" s="1"/>
  <c r="W179" i="8" s="1"/>
  <c r="W180" i="8" s="1"/>
  <c r="W181" i="8" s="1"/>
  <c r="W182" i="8" s="1"/>
  <c r="W183" i="8" s="1"/>
  <c r="W184" i="8" s="1"/>
  <c r="W185" i="8" s="1"/>
  <c r="W186" i="8" s="1"/>
  <c r="W187" i="8" s="1"/>
  <c r="W188" i="8" s="1"/>
  <c r="W189" i="8" s="1"/>
  <c r="W190" i="8" s="1"/>
  <c r="W191" i="8" s="1"/>
  <c r="W192" i="8" s="1"/>
  <c r="W193" i="8" s="1"/>
  <c r="W194" i="8" s="1"/>
  <c r="W195" i="8" s="1"/>
  <c r="W196" i="8" s="1"/>
  <c r="W197" i="8" s="1"/>
  <c r="W198" i="8" s="1"/>
  <c r="W199" i="8" s="1"/>
  <c r="W200" i="8" s="1"/>
  <c r="W201" i="8" s="1"/>
  <c r="W202" i="8" s="1"/>
  <c r="W203" i="8" s="1"/>
  <c r="W204" i="8" s="1"/>
  <c r="W205" i="8" s="1"/>
  <c r="W206" i="8" s="1"/>
  <c r="W207" i="8" s="1"/>
  <c r="W208" i="8" s="1"/>
  <c r="W209" i="8" s="1"/>
  <c r="W210" i="8" s="1"/>
  <c r="W211" i="8" s="1"/>
  <c r="W212" i="8" s="1"/>
  <c r="W213" i="8" s="1"/>
  <c r="W214" i="8" s="1"/>
  <c r="W215" i="8" s="1"/>
  <c r="W216" i="8" s="1"/>
  <c r="W217" i="8" s="1"/>
  <c r="W218" i="8" s="1"/>
  <c r="W219" i="8" s="1"/>
  <c r="W220" i="8" s="1"/>
  <c r="W221" i="8" s="1"/>
  <c r="W222" i="8" s="1"/>
  <c r="W223" i="8" s="1"/>
  <c r="W224" i="8" s="1"/>
  <c r="W225" i="8" s="1"/>
  <c r="W226" i="8" s="1"/>
  <c r="W227" i="8" s="1"/>
  <c r="W228" i="8" s="1"/>
  <c r="W229" i="8" s="1"/>
  <c r="W230" i="8" s="1"/>
  <c r="W231" i="8" s="1"/>
  <c r="W232" i="8" s="1"/>
  <c r="W233" i="8" s="1"/>
  <c r="W234" i="8" s="1"/>
  <c r="W235" i="8" s="1"/>
  <c r="W236" i="8" s="1"/>
  <c r="W237" i="8" s="1"/>
  <c r="W238" i="8" s="1"/>
  <c r="W239" i="8" s="1"/>
  <c r="W240" i="8" s="1"/>
  <c r="W241" i="8" s="1"/>
  <c r="W242" i="8" s="1"/>
  <c r="W243" i="8" s="1"/>
  <c r="W244" i="8" s="1"/>
  <c r="W245" i="8" s="1"/>
  <c r="W246" i="8" s="1"/>
  <c r="W247" i="8" s="1"/>
  <c r="W248" i="8" s="1"/>
  <c r="W249" i="8" s="1"/>
  <c r="W250" i="8" s="1"/>
  <c r="W251" i="8" s="1"/>
  <c r="W252" i="8" s="1"/>
  <c r="W253" i="8" s="1"/>
  <c r="W254" i="8" s="1"/>
  <c r="W255" i="8" s="1"/>
  <c r="W256" i="8" s="1"/>
  <c r="W257" i="8" s="1"/>
  <c r="W258" i="8" s="1"/>
  <c r="W259" i="8" s="1"/>
  <c r="W260" i="8" s="1"/>
  <c r="W261" i="8" s="1"/>
  <c r="W262" i="8" s="1"/>
  <c r="W263" i="8" s="1"/>
  <c r="W264" i="8" s="1"/>
  <c r="W265" i="8" s="1"/>
  <c r="W266" i="8" s="1"/>
  <c r="W267" i="8" s="1"/>
  <c r="W268" i="8" s="1"/>
  <c r="W269" i="8" s="1"/>
  <c r="W270" i="8" s="1"/>
  <c r="W271" i="8" s="1"/>
  <c r="W272" i="8" s="1"/>
  <c r="W273" i="8" s="1"/>
  <c r="W274" i="8" s="1"/>
  <c r="W275" i="8" s="1"/>
  <c r="W276" i="8" s="1"/>
  <c r="W277" i="8" s="1"/>
  <c r="W278" i="8" s="1"/>
  <c r="C14" i="9" s="1"/>
  <c r="AI275" i="8"/>
  <c r="AI274" i="8"/>
  <c r="AI273" i="8"/>
  <c r="AI272" i="8"/>
  <c r="AI271" i="8"/>
  <c r="AI270" i="8"/>
  <c r="AI269" i="8"/>
  <c r="AI268" i="8"/>
  <c r="AI267" i="8"/>
  <c r="AI242" i="8"/>
  <c r="AI241" i="8"/>
  <c r="AI240" i="8"/>
  <c r="AI239" i="8"/>
  <c r="AI238" i="8"/>
  <c r="AI227" i="8"/>
  <c r="AI226" i="8"/>
  <c r="AI225" i="8"/>
  <c r="AI224" i="8"/>
  <c r="AI223" i="8"/>
  <c r="AI192" i="8"/>
  <c r="AI191" i="8"/>
  <c r="AI190" i="8"/>
  <c r="AI189" i="8"/>
  <c r="AI188" i="8"/>
  <c r="AI187" i="8"/>
  <c r="AI186" i="8"/>
  <c r="AI185" i="8"/>
  <c r="AI184" i="8"/>
  <c r="AI183" i="8"/>
  <c r="AI182" i="8"/>
  <c r="AI181" i="8"/>
  <c r="AI180" i="8"/>
  <c r="AI179" i="8"/>
  <c r="AI178" i="8"/>
  <c r="AI177" i="8"/>
  <c r="AI176" i="8"/>
  <c r="AI175" i="8"/>
  <c r="AI174" i="8"/>
  <c r="AI173" i="8"/>
  <c r="AI172" i="8"/>
  <c r="AI171" i="8"/>
  <c r="AI170" i="8"/>
  <c r="AI169" i="8"/>
  <c r="AI151" i="8"/>
  <c r="AI150" i="8"/>
  <c r="AI149" i="8"/>
  <c r="AI148" i="8"/>
  <c r="AI147" i="8"/>
  <c r="AI146" i="8"/>
  <c r="AI145" i="8"/>
  <c r="AI144" i="8"/>
  <c r="AI143" i="8"/>
  <c r="AI142" i="8"/>
  <c r="AI132" i="8"/>
  <c r="AI131" i="8"/>
  <c r="AI130" i="8"/>
  <c r="AI129" i="8"/>
  <c r="AI128" i="8"/>
  <c r="AI127" i="8"/>
  <c r="AI126" i="8"/>
  <c r="AI125" i="8"/>
  <c r="AI124" i="8"/>
  <c r="AI123" i="8"/>
  <c r="AI122" i="8"/>
  <c r="AI121" i="8"/>
  <c r="AI120" i="8"/>
  <c r="AI119" i="8"/>
  <c r="AI118" i="8"/>
  <c r="AI117" i="8"/>
  <c r="AI116" i="8"/>
  <c r="AI115" i="8"/>
  <c r="AI114" i="8"/>
  <c r="AI113" i="8"/>
  <c r="AI112" i="8"/>
  <c r="AI111" i="8"/>
  <c r="AI110" i="8"/>
  <c r="AI109" i="8"/>
  <c r="AI108" i="8"/>
  <c r="AI107" i="8"/>
  <c r="AI106" i="8"/>
  <c r="AI105" i="8"/>
  <c r="AI104" i="8"/>
  <c r="AI103" i="8"/>
  <c r="AI102" i="8"/>
  <c r="AI101" i="8"/>
  <c r="AI100" i="8"/>
  <c r="AI99" i="8"/>
  <c r="AI98" i="8"/>
  <c r="AI97" i="8"/>
  <c r="AI85" i="8"/>
  <c r="AI84" i="8"/>
  <c r="AI83" i="8"/>
  <c r="AI82" i="8"/>
  <c r="AI81" i="8"/>
  <c r="AI80" i="8"/>
  <c r="AI79" i="8"/>
  <c r="AI78" i="8"/>
  <c r="AI77" i="8"/>
  <c r="AI76" i="8"/>
  <c r="AI75" i="8"/>
  <c r="AI74" i="8"/>
  <c r="AI73" i="8"/>
  <c r="AI72" i="8"/>
  <c r="AI71" i="8"/>
  <c r="AI70" i="8"/>
  <c r="AI69" i="8"/>
  <c r="AI68" i="8"/>
  <c r="AI67" i="8"/>
  <c r="AI66" i="8"/>
  <c r="AI65" i="8"/>
  <c r="AI64" i="8"/>
  <c r="AI63" i="8"/>
  <c r="AI62" i="8"/>
  <c r="AI61" i="8"/>
  <c r="AI60" i="8"/>
  <c r="AI50" i="8"/>
  <c r="AI49" i="8"/>
  <c r="AI48" i="8"/>
  <c r="AI47" i="8"/>
  <c r="AI46" i="8"/>
  <c r="AI45" i="8"/>
  <c r="AI44" i="8"/>
  <c r="AI43" i="8"/>
  <c r="AI42" i="8"/>
  <c r="AI41" i="8"/>
  <c r="AI40" i="8"/>
  <c r="AI39" i="8"/>
  <c r="AI38" i="8"/>
  <c r="AI37" i="8"/>
  <c r="AI36" i="8"/>
  <c r="AI35" i="8"/>
  <c r="AI34" i="8"/>
  <c r="AI33" i="8"/>
  <c r="AI32" i="8"/>
  <c r="AI31" i="8"/>
  <c r="AI30" i="8"/>
  <c r="AI29" i="8"/>
  <c r="AI28" i="8"/>
  <c r="AI27" i="8"/>
  <c r="AI26" i="8"/>
  <c r="AI13" i="8"/>
  <c r="AI12" i="8"/>
  <c r="AI11" i="8"/>
  <c r="AI10" i="8"/>
  <c r="AI9" i="8"/>
  <c r="AI8" i="8"/>
  <c r="AI7" i="8"/>
  <c r="AI237" i="8"/>
  <c r="AI236" i="8"/>
  <c r="AI235" i="8"/>
  <c r="AI234" i="8"/>
  <c r="AI233" i="8"/>
  <c r="AI232" i="8"/>
  <c r="AI231" i="8"/>
  <c r="AI230" i="8"/>
  <c r="AI229" i="8"/>
  <c r="AI228" i="8"/>
  <c r="AI168" i="8"/>
  <c r="AI167" i="8"/>
  <c r="AI166" i="8"/>
  <c r="AI165" i="8"/>
  <c r="AI164" i="8"/>
  <c r="AI163" i="8"/>
  <c r="AI162" i="8"/>
  <c r="AI161" i="8"/>
  <c r="AI160" i="8"/>
  <c r="AI159" i="8"/>
  <c r="AI158" i="8"/>
  <c r="AI157" i="8"/>
  <c r="AI156" i="8"/>
  <c r="AI155" i="8"/>
  <c r="AI154" i="8"/>
  <c r="AI153" i="8"/>
  <c r="AI152" i="8"/>
  <c r="AI141" i="8"/>
  <c r="AI140" i="8"/>
  <c r="AI139" i="8"/>
  <c r="AI138" i="8"/>
  <c r="AI137" i="8"/>
  <c r="AI136" i="8"/>
  <c r="AI135" i="8"/>
  <c r="AI134" i="8"/>
  <c r="AI133" i="8"/>
  <c r="AI96" i="8"/>
  <c r="AI95" i="8"/>
  <c r="AI94" i="8"/>
  <c r="AI93" i="8"/>
  <c r="AI92" i="8"/>
  <c r="AI91" i="8"/>
  <c r="AI90" i="8"/>
  <c r="AI89" i="8"/>
  <c r="AI88" i="8"/>
  <c r="AI87" i="8"/>
  <c r="AI86" i="8"/>
  <c r="AI59" i="8"/>
  <c r="AI58" i="8"/>
  <c r="AI57" i="8"/>
  <c r="AI56" i="8"/>
  <c r="AI55" i="8"/>
  <c r="AI54" i="8"/>
  <c r="AI53" i="8"/>
  <c r="AI52" i="8"/>
  <c r="AI51" i="8"/>
  <c r="AI25" i="8"/>
  <c r="AI24" i="8"/>
  <c r="AI23" i="8"/>
  <c r="AI22" i="8"/>
  <c r="AI21" i="8"/>
  <c r="AI20" i="8"/>
  <c r="AI19" i="8"/>
  <c r="AI18" i="8"/>
  <c r="AI17" i="8"/>
  <c r="AI16" i="8"/>
  <c r="AI15" i="8"/>
  <c r="AI14" i="8"/>
  <c r="AI3" i="8"/>
  <c r="AI266" i="8"/>
  <c r="AI265" i="8"/>
  <c r="AI264" i="8"/>
  <c r="AI263" i="8"/>
  <c r="AI262" i="8"/>
  <c r="AI261" i="8"/>
  <c r="AI260" i="8"/>
  <c r="AI259" i="8"/>
  <c r="AI258" i="8"/>
  <c r="AI257" i="8"/>
  <c r="AI256" i="8"/>
  <c r="AI255" i="8"/>
  <c r="AI254" i="8"/>
  <c r="AI253" i="8"/>
  <c r="AI252" i="8"/>
  <c r="AI251" i="8"/>
  <c r="AI250" i="8"/>
  <c r="AI249" i="8"/>
  <c r="AI248" i="8"/>
  <c r="AI247" i="8"/>
  <c r="AI246" i="8"/>
  <c r="AI245" i="8"/>
  <c r="AI244" i="8"/>
  <c r="AI243" i="8"/>
  <c r="AI222" i="8"/>
  <c r="AI221" i="8"/>
  <c r="AI220" i="8"/>
  <c r="AI219" i="8"/>
  <c r="AI218" i="8"/>
  <c r="AI217" i="8"/>
  <c r="AI216" i="8"/>
  <c r="AI215" i="8"/>
  <c r="AI214" i="8"/>
  <c r="AI213" i="8"/>
  <c r="AI212" i="8"/>
  <c r="AI211" i="8"/>
  <c r="AI210" i="8"/>
  <c r="AI209" i="8"/>
  <c r="AI208" i="8"/>
  <c r="AI207" i="8"/>
  <c r="AI206" i="8"/>
  <c r="AI205" i="8"/>
  <c r="AI204" i="8"/>
  <c r="AI203" i="8"/>
  <c r="AI202" i="8"/>
  <c r="AI201" i="8"/>
  <c r="AI200" i="8"/>
  <c r="AI199" i="8"/>
  <c r="AI198" i="8"/>
  <c r="AI197" i="8"/>
  <c r="AI196" i="8"/>
  <c r="AI195" i="8"/>
  <c r="AI194" i="8"/>
  <c r="AI193" i="8"/>
  <c r="AI6" i="8"/>
  <c r="AI5" i="8"/>
  <c r="AI4" i="8"/>
  <c r="AG275" i="8"/>
  <c r="AG274" i="8"/>
  <c r="AG273" i="8"/>
  <c r="AG272" i="8"/>
  <c r="AG271" i="8"/>
  <c r="AG270" i="8"/>
  <c r="AG269" i="8"/>
  <c r="AG268" i="8"/>
  <c r="AG267" i="8"/>
  <c r="AG242" i="8"/>
  <c r="AG241" i="8"/>
  <c r="AG240" i="8"/>
  <c r="AG239" i="8"/>
  <c r="AG238" i="8"/>
  <c r="AG227" i="8"/>
  <c r="AG226" i="8"/>
  <c r="AG225" i="8"/>
  <c r="AG224" i="8"/>
  <c r="AG223" i="8"/>
  <c r="AG192" i="8"/>
  <c r="AG191" i="8"/>
  <c r="AG190" i="8"/>
  <c r="AG189" i="8"/>
  <c r="AG188" i="8"/>
  <c r="AG187" i="8"/>
  <c r="AG186" i="8"/>
  <c r="AG185" i="8"/>
  <c r="AG184" i="8"/>
  <c r="AG183" i="8"/>
  <c r="AG182" i="8"/>
  <c r="AG181" i="8"/>
  <c r="AG180" i="8"/>
  <c r="AG179" i="8"/>
  <c r="AG178" i="8"/>
  <c r="AG177" i="8"/>
  <c r="AG176" i="8"/>
  <c r="AG175" i="8"/>
  <c r="AG174" i="8"/>
  <c r="AG173" i="8"/>
  <c r="AG172" i="8"/>
  <c r="AG171" i="8"/>
  <c r="AG170" i="8"/>
  <c r="AG169" i="8"/>
  <c r="AG151" i="8"/>
  <c r="AG149" i="8"/>
  <c r="AG148" i="8"/>
  <c r="AG147" i="8"/>
  <c r="AG145" i="8"/>
  <c r="AG143" i="8"/>
  <c r="AG132" i="8"/>
  <c r="AG131" i="8"/>
  <c r="AG130" i="8"/>
  <c r="AG129" i="8"/>
  <c r="AG128" i="8"/>
  <c r="AG127" i="8"/>
  <c r="AG126" i="8"/>
  <c r="AG125" i="8"/>
  <c r="AG124" i="8"/>
  <c r="AG123" i="8"/>
  <c r="AG122" i="8"/>
  <c r="AG121" i="8"/>
  <c r="AG120" i="8"/>
  <c r="AG119" i="8"/>
  <c r="AG118" i="8"/>
  <c r="AG117" i="8"/>
  <c r="AG116" i="8"/>
  <c r="AG115" i="8"/>
  <c r="AG114" i="8"/>
  <c r="AG113" i="8"/>
  <c r="AG112" i="8"/>
  <c r="AG111" i="8"/>
  <c r="AG110" i="8"/>
  <c r="AG109" i="8"/>
  <c r="AG108" i="8"/>
  <c r="AG107" i="8"/>
  <c r="AG106" i="8"/>
  <c r="AG105" i="8"/>
  <c r="AG104" i="8"/>
  <c r="AG103" i="8"/>
  <c r="AG102" i="8"/>
  <c r="AG101" i="8"/>
  <c r="AG100" i="8"/>
  <c r="AG99" i="8"/>
  <c r="AG98" i="8"/>
  <c r="AG97" i="8"/>
  <c r="AG85" i="8"/>
  <c r="AG84" i="8"/>
  <c r="AG83" i="8"/>
  <c r="AG82" i="8"/>
  <c r="AG81" i="8"/>
  <c r="AG80" i="8"/>
  <c r="AG79" i="8"/>
  <c r="AG78" i="8"/>
  <c r="AG77" i="8"/>
  <c r="AG76" i="8"/>
  <c r="AG75" i="8"/>
  <c r="AG74" i="8"/>
  <c r="AG73" i="8"/>
  <c r="AG72" i="8"/>
  <c r="AG71" i="8"/>
  <c r="AG70" i="8"/>
  <c r="AG69" i="8"/>
  <c r="AG67" i="8"/>
  <c r="AG66" i="8"/>
  <c r="AG65" i="8"/>
  <c r="AG64" i="8"/>
  <c r="AG63" i="8"/>
  <c r="AG62" i="8"/>
  <c r="AG61" i="8"/>
  <c r="AG60" i="8"/>
  <c r="AG50" i="8"/>
  <c r="AG49" i="8"/>
  <c r="AG48" i="8"/>
  <c r="AG47" i="8"/>
  <c r="AG46" i="8"/>
  <c r="AG45" i="8"/>
  <c r="AG44" i="8"/>
  <c r="AG43" i="8"/>
  <c r="AG42" i="8"/>
  <c r="AG41" i="8"/>
  <c r="AG40" i="8"/>
  <c r="AG39" i="8"/>
  <c r="AG38" i="8"/>
  <c r="AG37" i="8"/>
  <c r="AG36" i="8"/>
  <c r="AG35" i="8"/>
  <c r="AG34" i="8"/>
  <c r="AG33" i="8"/>
  <c r="AG32" i="8"/>
  <c r="AG31" i="8"/>
  <c r="AG30" i="8"/>
  <c r="AG29" i="8"/>
  <c r="AG28" i="8"/>
  <c r="AG27" i="8"/>
  <c r="AG26" i="8"/>
  <c r="AG13" i="8"/>
  <c r="AG12" i="8"/>
  <c r="AG11" i="8"/>
  <c r="AG10" i="8"/>
  <c r="AG9" i="8"/>
  <c r="AG8" i="8"/>
  <c r="AG7" i="8"/>
  <c r="AG237" i="8"/>
  <c r="AG236" i="8"/>
  <c r="AG235" i="8"/>
  <c r="AG234" i="8"/>
  <c r="AG233" i="8"/>
  <c r="AG232" i="8"/>
  <c r="AG231" i="8"/>
  <c r="AG230" i="8"/>
  <c r="AG229" i="8"/>
  <c r="AG228" i="8"/>
  <c r="AG168" i="8"/>
  <c r="AG167" i="8"/>
  <c r="AG166" i="8"/>
  <c r="AG165" i="8"/>
  <c r="AG164" i="8"/>
  <c r="AG163" i="8"/>
  <c r="AG162" i="8"/>
  <c r="AG161" i="8"/>
  <c r="AG160" i="8"/>
  <c r="AG159" i="8"/>
  <c r="AG158" i="8"/>
  <c r="AG156" i="8"/>
  <c r="AG155" i="8"/>
  <c r="AG154" i="8"/>
  <c r="AG152" i="8"/>
  <c r="AG141" i="8"/>
  <c r="AG140" i="8"/>
  <c r="AG139" i="8"/>
  <c r="AG138" i="8"/>
  <c r="AG137" i="8"/>
  <c r="AG136" i="8"/>
  <c r="AG134" i="8"/>
  <c r="AG96" i="8"/>
  <c r="AG95" i="8"/>
  <c r="AG94" i="8"/>
  <c r="AG92" i="8"/>
  <c r="AG90" i="8"/>
  <c r="AG89" i="8"/>
  <c r="AG88" i="8"/>
  <c r="AG87" i="8"/>
  <c r="AG86" i="8"/>
  <c r="AG59" i="8"/>
  <c r="AG58" i="8"/>
  <c r="AG57" i="8"/>
  <c r="AG56" i="8"/>
  <c r="AG55" i="8"/>
  <c r="AG54" i="8"/>
  <c r="AG53" i="8"/>
  <c r="AG52" i="8"/>
  <c r="AG51" i="8"/>
  <c r="AG25" i="8"/>
  <c r="AG24" i="8"/>
  <c r="AG23" i="8"/>
  <c r="AG22" i="8"/>
  <c r="AG21" i="8"/>
  <c r="AG20" i="8"/>
  <c r="AG19" i="8"/>
  <c r="AG18" i="8"/>
  <c r="AG17" i="8"/>
  <c r="AG16" i="8"/>
  <c r="AG15" i="8"/>
  <c r="AG14" i="8"/>
  <c r="AG3" i="8"/>
  <c r="AG277" i="8"/>
  <c r="AG276" i="8"/>
  <c r="AG266" i="8"/>
  <c r="AG265" i="8"/>
  <c r="AG264" i="8"/>
  <c r="AG263" i="8"/>
  <c r="AG262" i="8"/>
  <c r="AG261" i="8"/>
  <c r="AG260" i="8"/>
  <c r="AG259" i="8"/>
  <c r="AG258" i="8"/>
  <c r="AG257" i="8"/>
  <c r="AG256" i="8"/>
  <c r="AG255" i="8"/>
  <c r="AG254" i="8"/>
  <c r="AG253" i="8"/>
  <c r="AG252" i="8"/>
  <c r="AG251" i="8"/>
  <c r="AG250" i="8"/>
  <c r="AG249" i="8"/>
  <c r="AG248" i="8"/>
  <c r="AG247" i="8"/>
  <c r="AG246" i="8"/>
  <c r="AG245" i="8"/>
  <c r="AG244" i="8"/>
  <c r="AG243" i="8"/>
  <c r="AG222" i="8"/>
  <c r="AG221" i="8"/>
  <c r="AG220" i="8"/>
  <c r="AG219" i="8"/>
  <c r="AG218" i="8"/>
  <c r="AG217" i="8"/>
  <c r="AG216" i="8"/>
  <c r="AG215" i="8"/>
  <c r="AG214" i="8"/>
  <c r="AG213" i="8"/>
  <c r="AG212" i="8"/>
  <c r="AG211" i="8"/>
  <c r="AG210" i="8"/>
  <c r="AG209" i="8"/>
  <c r="AG208" i="8"/>
  <c r="AG207" i="8"/>
  <c r="AG206" i="8"/>
  <c r="AG205" i="8"/>
  <c r="AG204" i="8"/>
  <c r="AG203" i="8"/>
  <c r="AG202" i="8"/>
  <c r="AG201" i="8"/>
  <c r="AG200" i="8"/>
  <c r="AG199" i="8"/>
  <c r="AG198" i="8"/>
  <c r="AG197" i="8"/>
  <c r="AG196" i="8"/>
  <c r="AG195" i="8"/>
  <c r="AG194" i="8"/>
  <c r="AG193" i="8"/>
  <c r="AG6" i="8"/>
  <c r="AG5" i="8"/>
  <c r="AG4" i="8"/>
  <c r="AD4" i="8" l="1"/>
  <c r="AD5" i="8" s="1"/>
  <c r="AD6" i="8" s="1"/>
  <c r="AD7" i="8" s="1"/>
  <c r="AD8" i="8" s="1"/>
  <c r="AD9" i="8" s="1"/>
  <c r="AD10" i="8" s="1"/>
  <c r="AD11" i="8" s="1"/>
  <c r="AD12" i="8" s="1"/>
  <c r="AD13" i="8" s="1"/>
  <c r="AD14" i="8" s="1"/>
  <c r="AD15" i="8" s="1"/>
  <c r="AD16" i="8" s="1"/>
  <c r="AD17" i="8" s="1"/>
  <c r="AD18" i="8" s="1"/>
  <c r="AD19" i="8" s="1"/>
  <c r="AD20" i="8" s="1"/>
  <c r="AD21" i="8" s="1"/>
  <c r="AD22" i="8" s="1"/>
  <c r="AD23" i="8" s="1"/>
  <c r="AD24" i="8" s="1"/>
  <c r="AD25" i="8" s="1"/>
  <c r="AD26" i="8" s="1"/>
  <c r="AD27" i="8" s="1"/>
  <c r="AD28" i="8" s="1"/>
  <c r="AD29" i="8" s="1"/>
  <c r="AD30" i="8" s="1"/>
  <c r="AD31" i="8" s="1"/>
  <c r="AD32" i="8" s="1"/>
  <c r="AD33" i="8" s="1"/>
  <c r="AD34" i="8" s="1"/>
  <c r="AD35" i="8" s="1"/>
  <c r="AD36" i="8" s="1"/>
  <c r="AD37" i="8" s="1"/>
  <c r="AD38" i="8" s="1"/>
  <c r="AD39" i="8" s="1"/>
  <c r="AD40" i="8" s="1"/>
  <c r="AD41" i="8" s="1"/>
  <c r="AD42" i="8" s="1"/>
  <c r="AD43" i="8" s="1"/>
  <c r="AD44" i="8" s="1"/>
  <c r="AD45" i="8" s="1"/>
  <c r="AD46" i="8" s="1"/>
  <c r="AD47" i="8" s="1"/>
  <c r="AD48" i="8" s="1"/>
  <c r="AD49" i="8" s="1"/>
  <c r="AD50" i="8" s="1"/>
  <c r="AD51" i="8" s="1"/>
  <c r="AD52" i="8" s="1"/>
  <c r="AD53" i="8" s="1"/>
  <c r="AD54" i="8" s="1"/>
  <c r="AD55" i="8" s="1"/>
  <c r="AD56" i="8" s="1"/>
  <c r="AD57" i="8" s="1"/>
  <c r="AD58" i="8" s="1"/>
  <c r="AD59" i="8" s="1"/>
  <c r="AD60" i="8" s="1"/>
  <c r="AD61" i="8" s="1"/>
  <c r="AD62" i="8" s="1"/>
  <c r="AD63" i="8" s="1"/>
  <c r="AD64" i="8" s="1"/>
  <c r="AD65" i="8" s="1"/>
  <c r="AD66" i="8" s="1"/>
  <c r="AD67" i="8" s="1"/>
  <c r="AD68" i="8" s="1"/>
  <c r="AD69" i="8" s="1"/>
  <c r="AD70" i="8" s="1"/>
  <c r="AD71" i="8" s="1"/>
  <c r="AD72" i="8" s="1"/>
  <c r="AD73" i="8" s="1"/>
  <c r="AD74" i="8" s="1"/>
  <c r="AD75" i="8" s="1"/>
  <c r="AD76" i="8" s="1"/>
  <c r="AD77" i="8" s="1"/>
  <c r="AD78" i="8" s="1"/>
  <c r="AD79" i="8" s="1"/>
  <c r="AD80" i="8" s="1"/>
  <c r="AD81" i="8" s="1"/>
  <c r="AD82" i="8" s="1"/>
  <c r="AD83" i="8" s="1"/>
  <c r="AD84" i="8" s="1"/>
  <c r="AD85" i="8" s="1"/>
  <c r="AD86" i="8" s="1"/>
  <c r="AD87" i="8" s="1"/>
  <c r="AD88" i="8" s="1"/>
  <c r="AD89" i="8" s="1"/>
  <c r="AD90" i="8" s="1"/>
  <c r="AD91" i="8" s="1"/>
  <c r="AD92" i="8" s="1"/>
  <c r="AD93" i="8" s="1"/>
  <c r="AD94" i="8" s="1"/>
  <c r="AD95" i="8" s="1"/>
  <c r="AD96" i="8" s="1"/>
  <c r="AD97" i="8" s="1"/>
  <c r="AD98" i="8" s="1"/>
  <c r="AD99" i="8" s="1"/>
  <c r="AD100" i="8" s="1"/>
  <c r="AD101" i="8" s="1"/>
  <c r="AD102" i="8" s="1"/>
  <c r="AD103" i="8" s="1"/>
  <c r="AD104" i="8" s="1"/>
  <c r="AD105" i="8" s="1"/>
  <c r="AD106" i="8" s="1"/>
  <c r="AD107" i="8" s="1"/>
  <c r="AD108" i="8" s="1"/>
  <c r="AD109" i="8" s="1"/>
  <c r="AD110" i="8" s="1"/>
  <c r="AD111" i="8" s="1"/>
  <c r="AD112" i="8" s="1"/>
  <c r="AD113" i="8" s="1"/>
  <c r="AD114" i="8" s="1"/>
  <c r="AD115" i="8" s="1"/>
  <c r="AD116" i="8" s="1"/>
  <c r="AD117" i="8" s="1"/>
  <c r="AD118" i="8" s="1"/>
  <c r="AD119" i="8" s="1"/>
  <c r="AD120" i="8" s="1"/>
  <c r="AD121" i="8" s="1"/>
  <c r="AD122" i="8" s="1"/>
  <c r="AD123" i="8" s="1"/>
  <c r="AD124" i="8" s="1"/>
  <c r="AD125" i="8" s="1"/>
  <c r="AD126" i="8" s="1"/>
  <c r="AD127" i="8" s="1"/>
  <c r="AD128" i="8" s="1"/>
  <c r="AD129" i="8" s="1"/>
  <c r="AD130" i="8" s="1"/>
  <c r="AD131" i="8" s="1"/>
  <c r="AD132" i="8" s="1"/>
  <c r="AD133" i="8" s="1"/>
  <c r="AD134" i="8" s="1"/>
  <c r="AD135" i="8" s="1"/>
  <c r="AD136" i="8" s="1"/>
  <c r="AD137" i="8" s="1"/>
  <c r="AD138" i="8" s="1"/>
  <c r="AD139" i="8" s="1"/>
  <c r="AD140" i="8" s="1"/>
  <c r="AD141" i="8" s="1"/>
  <c r="AD142" i="8" s="1"/>
  <c r="AD143" i="8" s="1"/>
  <c r="AD144" i="8" s="1"/>
  <c r="AD145" i="8" s="1"/>
  <c r="AD146" i="8" s="1"/>
  <c r="AD147" i="8" s="1"/>
  <c r="AD148" i="8" s="1"/>
  <c r="AD149" i="8" s="1"/>
  <c r="AD150" i="8" s="1"/>
  <c r="AD151" i="8" s="1"/>
  <c r="AD152" i="8" s="1"/>
  <c r="AD153" i="8" s="1"/>
  <c r="AD154" i="8" s="1"/>
  <c r="AD155" i="8" s="1"/>
  <c r="AD156" i="8" s="1"/>
  <c r="AD157" i="8" s="1"/>
  <c r="AD158" i="8" s="1"/>
  <c r="AD159" i="8" s="1"/>
  <c r="AD160" i="8" s="1"/>
  <c r="AD161" i="8" s="1"/>
  <c r="AD162" i="8" s="1"/>
  <c r="AD163" i="8" s="1"/>
  <c r="AD164" i="8" s="1"/>
  <c r="AD165" i="8" s="1"/>
  <c r="AD166" i="8" s="1"/>
  <c r="AD167" i="8" s="1"/>
  <c r="AD168" i="8" s="1"/>
  <c r="AD169" i="8" s="1"/>
  <c r="AD170" i="8" s="1"/>
  <c r="AD171" i="8" s="1"/>
  <c r="AD172" i="8" s="1"/>
  <c r="AD173" i="8" s="1"/>
  <c r="AD174" i="8" s="1"/>
  <c r="AD175" i="8" s="1"/>
  <c r="AD176" i="8" s="1"/>
  <c r="AD177" i="8" s="1"/>
  <c r="AD178" i="8" s="1"/>
  <c r="AD179" i="8" s="1"/>
  <c r="AD180" i="8" s="1"/>
  <c r="AD181" i="8" s="1"/>
  <c r="AD182" i="8" s="1"/>
  <c r="AD183" i="8" s="1"/>
  <c r="AD184" i="8" s="1"/>
  <c r="AD185" i="8" s="1"/>
  <c r="AD186" i="8" s="1"/>
  <c r="AD187" i="8" s="1"/>
  <c r="AD188" i="8" s="1"/>
  <c r="AD189" i="8" s="1"/>
  <c r="AD190" i="8" s="1"/>
  <c r="AD191" i="8" s="1"/>
  <c r="AD192" i="8" s="1"/>
  <c r="AD193" i="8" s="1"/>
  <c r="AD194" i="8" s="1"/>
  <c r="AD195" i="8" s="1"/>
  <c r="AD196" i="8" s="1"/>
  <c r="AD197" i="8" s="1"/>
  <c r="AD198" i="8" s="1"/>
  <c r="AD199" i="8" s="1"/>
  <c r="AD200" i="8" s="1"/>
  <c r="AD201" i="8" s="1"/>
  <c r="AD202" i="8" s="1"/>
  <c r="AD203" i="8" s="1"/>
  <c r="AD204" i="8" s="1"/>
  <c r="AD205" i="8" s="1"/>
  <c r="AD206" i="8" s="1"/>
  <c r="AD207" i="8" s="1"/>
  <c r="AD208" i="8" s="1"/>
  <c r="AD209" i="8" s="1"/>
  <c r="AD210" i="8" s="1"/>
  <c r="AD211" i="8" s="1"/>
  <c r="AD212" i="8" s="1"/>
  <c r="AD213" i="8" s="1"/>
  <c r="AD214" i="8" s="1"/>
  <c r="AD215" i="8" s="1"/>
  <c r="AD216" i="8" s="1"/>
  <c r="AD217" i="8" s="1"/>
  <c r="AD218" i="8" s="1"/>
  <c r="AD219" i="8" s="1"/>
  <c r="AD220" i="8" s="1"/>
  <c r="AD221" i="8" s="1"/>
  <c r="AD222" i="8" s="1"/>
  <c r="AD223" i="8" s="1"/>
  <c r="AD224" i="8" s="1"/>
  <c r="AD225" i="8" s="1"/>
  <c r="AD226" i="8" s="1"/>
  <c r="AD227" i="8" s="1"/>
  <c r="AD228" i="8" s="1"/>
  <c r="AD229" i="8" s="1"/>
  <c r="AD230" i="8" s="1"/>
  <c r="AD231" i="8" s="1"/>
  <c r="AD232" i="8" s="1"/>
  <c r="AD233" i="8" s="1"/>
  <c r="AD234" i="8" s="1"/>
  <c r="AD235" i="8" s="1"/>
  <c r="AD236" i="8" s="1"/>
  <c r="AD237" i="8" s="1"/>
  <c r="AD238" i="8" s="1"/>
  <c r="AD239" i="8" s="1"/>
  <c r="AD240" i="8" s="1"/>
  <c r="AD241" i="8" s="1"/>
  <c r="AD242" i="8" s="1"/>
  <c r="AD243" i="8" s="1"/>
  <c r="AD244" i="8" s="1"/>
  <c r="AD245" i="8" s="1"/>
  <c r="AD246" i="8" s="1"/>
  <c r="AD247" i="8" s="1"/>
  <c r="AD248" i="8" s="1"/>
  <c r="AD249" i="8" s="1"/>
  <c r="AD250" i="8" s="1"/>
  <c r="AD251" i="8" s="1"/>
  <c r="AD252" i="8" s="1"/>
  <c r="AD253" i="8" s="1"/>
  <c r="AD254" i="8" s="1"/>
  <c r="AD255" i="8" s="1"/>
  <c r="AD256" i="8" s="1"/>
  <c r="AD257" i="8" s="1"/>
  <c r="AD258" i="8" s="1"/>
  <c r="AD259" i="8" s="1"/>
  <c r="AD260" i="8" s="1"/>
  <c r="AD261" i="8" s="1"/>
  <c r="AD262" i="8" s="1"/>
  <c r="AD263" i="8" s="1"/>
  <c r="AD264" i="8" s="1"/>
  <c r="AD265" i="8" s="1"/>
  <c r="AD266" i="8" s="1"/>
  <c r="AD267" i="8" s="1"/>
  <c r="AD268" i="8" s="1"/>
  <c r="AD269" i="8" s="1"/>
  <c r="AD270" i="8" s="1"/>
  <c r="AD271" i="8" s="1"/>
  <c r="AD272" i="8" s="1"/>
  <c r="AD273" i="8" s="1"/>
  <c r="AD274" i="8" s="1"/>
  <c r="AD275" i="8" s="1"/>
  <c r="AD276" i="8" s="1"/>
  <c r="AD277" i="8" s="1"/>
  <c r="AD278" i="8" s="1"/>
  <c r="C12" i="9"/>
  <c r="AJ30" i="8"/>
  <c r="Z22" i="8"/>
  <c r="AB22" i="8" s="1"/>
  <c r="AH22" i="8" s="1"/>
  <c r="AJ22" i="8" s="1"/>
  <c r="Y22" i="8"/>
  <c r="X279" i="8"/>
  <c r="AG157" i="8"/>
  <c r="AG142" i="8"/>
  <c r="AG135" i="8"/>
  <c r="AG133" i="8"/>
  <c r="AG68" i="8"/>
  <c r="AG153" i="8"/>
  <c r="AG150" i="8"/>
  <c r="AG146" i="8"/>
  <c r="AG144" i="8"/>
  <c r="AG91" i="8"/>
  <c r="AG93" i="8"/>
  <c r="AK3" i="8" l="1"/>
  <c r="AK4" i="8" s="1"/>
  <c r="AK5" i="8" s="1"/>
  <c r="AK6" i="8" s="1"/>
  <c r="AK7" i="8" s="1"/>
  <c r="AK8" i="8" s="1"/>
  <c r="AK9" i="8" s="1"/>
  <c r="AK10" i="8" s="1"/>
  <c r="AK11" i="8" s="1"/>
  <c r="AK12" i="8" s="1"/>
  <c r="AK13" i="8" s="1"/>
  <c r="AK14" i="8" s="1"/>
  <c r="AK15" i="8" s="1"/>
  <c r="AK16" i="8" s="1"/>
  <c r="AK17" i="8" s="1"/>
  <c r="AK18" i="8" s="1"/>
  <c r="AK19" i="8" s="1"/>
  <c r="AK20" i="8" s="1"/>
  <c r="AK21" i="8" s="1"/>
  <c r="AK22" i="8" s="1"/>
  <c r="AK23" i="8" s="1"/>
  <c r="AK24" i="8" s="1"/>
  <c r="AK25" i="8" s="1"/>
  <c r="AK26" i="8" s="1"/>
  <c r="AK27" i="8" s="1"/>
  <c r="AK28" i="8" s="1"/>
  <c r="AK29" i="8" s="1"/>
  <c r="AK30" i="8" s="1"/>
  <c r="AJ31" i="8" l="1"/>
  <c r="AK31" i="8" s="1"/>
  <c r="AJ32" i="8" l="1"/>
  <c r="AK32" i="8" s="1"/>
  <c r="AJ33" i="8" l="1"/>
  <c r="AK33" i="8" s="1"/>
  <c r="AJ34" i="8" l="1"/>
  <c r="AK34" i="8" s="1"/>
  <c r="AJ35" i="8" l="1"/>
  <c r="AK35" i="8" s="1"/>
  <c r="AJ36" i="8" l="1"/>
  <c r="AK36" i="8" s="1"/>
  <c r="AJ37" i="8" l="1"/>
  <c r="AK37" i="8" s="1"/>
  <c r="AJ38" i="8" l="1"/>
  <c r="AK38" i="8" s="1"/>
  <c r="AJ39" i="8" l="1"/>
  <c r="AK39" i="8" s="1"/>
  <c r="AJ40" i="8" l="1"/>
  <c r="AK40" i="8" s="1"/>
  <c r="AJ41" i="8" l="1"/>
  <c r="AK41" i="8" s="1"/>
  <c r="AJ42" i="8" l="1"/>
  <c r="AK42" i="8" s="1"/>
  <c r="AJ43" i="8" l="1"/>
  <c r="AK43" i="8" s="1"/>
  <c r="AJ44" i="8" l="1"/>
  <c r="AK44" i="8" s="1"/>
  <c r="AJ45" i="8" l="1"/>
  <c r="AK45" i="8" s="1"/>
  <c r="AJ46" i="8" l="1"/>
  <c r="AK46" i="8" s="1"/>
  <c r="AJ47" i="8" l="1"/>
  <c r="AK47" i="8" s="1"/>
  <c r="AJ48" i="8" l="1"/>
  <c r="AK48" i="8" s="1"/>
  <c r="AJ49" i="8" l="1"/>
  <c r="AK49" i="8" s="1"/>
  <c r="AJ50" i="8" l="1"/>
  <c r="AK50" i="8" s="1"/>
  <c r="AJ51" i="8" l="1"/>
  <c r="AK51" i="8" s="1"/>
  <c r="AJ52" i="8" l="1"/>
  <c r="AK52" i="8" s="1"/>
  <c r="AJ53" i="8" l="1"/>
  <c r="AK53" i="8" s="1"/>
  <c r="AJ54" i="8" l="1"/>
  <c r="AK54" i="8" s="1"/>
  <c r="AJ55" i="8" l="1"/>
  <c r="AK55" i="8" s="1"/>
  <c r="AJ56" i="8" l="1"/>
  <c r="AK56" i="8" s="1"/>
  <c r="AJ57" i="8" l="1"/>
  <c r="AK57" i="8" s="1"/>
  <c r="AJ58" i="8" l="1"/>
  <c r="AK58" i="8" s="1"/>
  <c r="AJ59" i="8" l="1"/>
  <c r="AK59" i="8" s="1"/>
  <c r="AJ60" i="8" l="1"/>
  <c r="AK60" i="8" s="1"/>
  <c r="AJ61" i="8" l="1"/>
  <c r="AK61" i="8" s="1"/>
  <c r="AJ62" i="8" l="1"/>
  <c r="AK62" i="8" s="1"/>
  <c r="AJ63" i="8" l="1"/>
  <c r="AK63" i="8" s="1"/>
  <c r="AJ64" i="8" l="1"/>
  <c r="AK64" i="8" s="1"/>
  <c r="AJ65" i="8" l="1"/>
  <c r="AK65" i="8" s="1"/>
  <c r="AJ66" i="8" l="1"/>
  <c r="AK66" i="8" s="1"/>
  <c r="AJ67" i="8" l="1"/>
  <c r="AK67" i="8" s="1"/>
  <c r="AJ68" i="8" l="1"/>
  <c r="AK68" i="8" s="1"/>
  <c r="AJ69" i="8" l="1"/>
  <c r="AK69" i="8" s="1"/>
  <c r="AJ70" i="8" l="1"/>
  <c r="AK70" i="8" s="1"/>
  <c r="AJ71" i="8" l="1"/>
  <c r="AK71" i="8" s="1"/>
  <c r="AJ72" i="8" l="1"/>
  <c r="AK72" i="8" s="1"/>
  <c r="AJ73" i="8" l="1"/>
  <c r="AK73" i="8" s="1"/>
  <c r="AJ74" i="8" l="1"/>
  <c r="AK74" i="8" s="1"/>
  <c r="AJ75" i="8" l="1"/>
  <c r="AK75" i="8" s="1"/>
  <c r="AJ76" i="8" l="1"/>
  <c r="AK76" i="8" s="1"/>
  <c r="AJ77" i="8" l="1"/>
  <c r="AK77" i="8" s="1"/>
  <c r="AJ78" i="8" l="1"/>
  <c r="AK78" i="8" s="1"/>
  <c r="AJ79" i="8" l="1"/>
  <c r="AK79" i="8" s="1"/>
  <c r="AJ80" i="8" l="1"/>
  <c r="AK80" i="8" s="1"/>
  <c r="AJ81" i="8" l="1"/>
  <c r="AK81" i="8" s="1"/>
  <c r="AJ82" i="8" l="1"/>
  <c r="AK82" i="8" s="1"/>
  <c r="AJ83" i="8" l="1"/>
  <c r="AK83" i="8" s="1"/>
  <c r="AJ84" i="8" l="1"/>
  <c r="AK84" i="8" s="1"/>
  <c r="AJ85" i="8" l="1"/>
  <c r="AK85" i="8" s="1"/>
  <c r="AJ86" i="8" l="1"/>
  <c r="AK86" i="8" s="1"/>
  <c r="AJ87" i="8" l="1"/>
  <c r="AK87" i="8" s="1"/>
  <c r="AJ88" i="8" l="1"/>
  <c r="AK88" i="8" s="1"/>
  <c r="AJ89" i="8" l="1"/>
  <c r="AK89" i="8" s="1"/>
  <c r="AJ90" i="8" l="1"/>
  <c r="AK90" i="8" s="1"/>
  <c r="AJ91" i="8" l="1"/>
  <c r="AK91" i="8" s="1"/>
  <c r="AJ92" i="8" l="1"/>
  <c r="AK92" i="8" s="1"/>
  <c r="AJ93" i="8" l="1"/>
  <c r="AK93" i="8" s="1"/>
  <c r="AJ94" i="8" l="1"/>
  <c r="AK94" i="8" s="1"/>
  <c r="AJ95" i="8" l="1"/>
  <c r="AK95" i="8" s="1"/>
  <c r="AJ96" i="8" l="1"/>
  <c r="AK96" i="8" s="1"/>
  <c r="AJ97" i="8" l="1"/>
  <c r="AK97" i="8" s="1"/>
  <c r="AJ98" i="8" l="1"/>
  <c r="AK98" i="8" s="1"/>
  <c r="AJ99" i="8" l="1"/>
  <c r="AK99" i="8" s="1"/>
  <c r="AJ100" i="8" l="1"/>
  <c r="AK100" i="8" s="1"/>
  <c r="AJ101" i="8" l="1"/>
  <c r="AK101" i="8" s="1"/>
  <c r="AJ102" i="8" l="1"/>
  <c r="AK102" i="8" s="1"/>
  <c r="AJ103" i="8" l="1"/>
  <c r="AK103" i="8" s="1"/>
  <c r="AJ104" i="8" l="1"/>
  <c r="AK104" i="8" s="1"/>
  <c r="AJ105" i="8" l="1"/>
  <c r="AK105" i="8" s="1"/>
  <c r="AJ106" i="8" l="1"/>
  <c r="AK106" i="8" s="1"/>
  <c r="AJ107" i="8" l="1"/>
  <c r="AK107" i="8" s="1"/>
  <c r="AJ108" i="8" l="1"/>
  <c r="AK108" i="8" s="1"/>
  <c r="AJ109" i="8" l="1"/>
  <c r="AK109" i="8" s="1"/>
  <c r="AJ110" i="8" l="1"/>
  <c r="AK110" i="8" s="1"/>
  <c r="AJ111" i="8" l="1"/>
  <c r="AK111" i="8" s="1"/>
  <c r="AJ112" i="8" l="1"/>
  <c r="AK112" i="8" s="1"/>
  <c r="AJ113" i="8" l="1"/>
  <c r="AK113" i="8" s="1"/>
  <c r="AJ114" i="8" l="1"/>
  <c r="AK114" i="8" s="1"/>
  <c r="AJ115" i="8" l="1"/>
  <c r="AK115" i="8" s="1"/>
  <c r="AJ116" i="8" l="1"/>
  <c r="AK116" i="8" s="1"/>
  <c r="AJ117" i="8" l="1"/>
  <c r="AK117" i="8" s="1"/>
  <c r="AJ118" i="8" l="1"/>
  <c r="AK118" i="8" s="1"/>
  <c r="AJ119" i="8" l="1"/>
  <c r="AK119" i="8" s="1"/>
  <c r="AJ120" i="8" l="1"/>
  <c r="AK120" i="8" s="1"/>
  <c r="AJ121" i="8" l="1"/>
  <c r="AK121" i="8" s="1"/>
  <c r="AJ122" i="8" l="1"/>
  <c r="AK122" i="8" s="1"/>
  <c r="AJ123" i="8" l="1"/>
  <c r="AK123" i="8" s="1"/>
  <c r="AJ124" i="8" l="1"/>
  <c r="AK124" i="8" s="1"/>
  <c r="AJ125" i="8" l="1"/>
  <c r="AK125" i="8" s="1"/>
  <c r="AJ126" i="8" l="1"/>
  <c r="AK126" i="8" s="1"/>
  <c r="AJ127" i="8" l="1"/>
  <c r="AK127" i="8" s="1"/>
  <c r="AJ128" i="8" l="1"/>
  <c r="AK128" i="8" s="1"/>
  <c r="AJ129" i="8" l="1"/>
  <c r="AK129" i="8" s="1"/>
  <c r="AJ130" i="8" l="1"/>
  <c r="AK130" i="8" s="1"/>
  <c r="AJ131" i="8" l="1"/>
  <c r="AK131" i="8" s="1"/>
  <c r="AJ132" i="8" l="1"/>
  <c r="AK132" i="8" s="1"/>
  <c r="AJ133" i="8" l="1"/>
  <c r="AK133" i="8" s="1"/>
  <c r="AJ134" i="8" l="1"/>
  <c r="AK134" i="8" s="1"/>
  <c r="AJ135" i="8" l="1"/>
  <c r="AK135" i="8" s="1"/>
  <c r="AJ136" i="8" l="1"/>
  <c r="AK136" i="8" s="1"/>
  <c r="AJ137" i="8" l="1"/>
  <c r="AK137" i="8" s="1"/>
  <c r="AJ138" i="8" l="1"/>
  <c r="AK138" i="8" s="1"/>
  <c r="AJ139" i="8" l="1"/>
  <c r="AK139" i="8" s="1"/>
  <c r="AJ140" i="8" l="1"/>
  <c r="AK140" i="8" s="1"/>
  <c r="AJ141" i="8" l="1"/>
  <c r="AK141" i="8" s="1"/>
  <c r="AJ142" i="8" l="1"/>
  <c r="AK142" i="8" s="1"/>
  <c r="AJ143" i="8" l="1"/>
  <c r="AK143" i="8" s="1"/>
  <c r="AJ144" i="8" l="1"/>
  <c r="AK144" i="8" s="1"/>
  <c r="AJ145" i="8" l="1"/>
  <c r="AK145" i="8" s="1"/>
  <c r="AJ146" i="8" l="1"/>
  <c r="AK146" i="8" s="1"/>
  <c r="AJ147" i="8" l="1"/>
  <c r="AK147" i="8" s="1"/>
  <c r="AJ148" i="8" l="1"/>
  <c r="AK148" i="8" s="1"/>
  <c r="AJ149" i="8" l="1"/>
  <c r="AK149" i="8" s="1"/>
  <c r="AJ150" i="8" l="1"/>
  <c r="AK150" i="8" s="1"/>
  <c r="AJ151" i="8" l="1"/>
  <c r="AK151" i="8" s="1"/>
  <c r="AJ152" i="8" l="1"/>
  <c r="AK152" i="8" s="1"/>
  <c r="AJ153" i="8" l="1"/>
  <c r="AK153" i="8" s="1"/>
  <c r="AJ154" i="8" l="1"/>
  <c r="AK154" i="8" s="1"/>
  <c r="AJ155" i="8" l="1"/>
  <c r="AK155" i="8" s="1"/>
  <c r="AJ156" i="8" l="1"/>
  <c r="AK156" i="8" s="1"/>
  <c r="AJ157" i="8" l="1"/>
  <c r="AK157" i="8" s="1"/>
  <c r="AJ158" i="8" l="1"/>
  <c r="AK158" i="8" s="1"/>
  <c r="AJ159" i="8" l="1"/>
  <c r="AK159" i="8" s="1"/>
  <c r="AJ160" i="8" l="1"/>
  <c r="AK160" i="8" s="1"/>
  <c r="AJ161" i="8" l="1"/>
  <c r="AK161" i="8" s="1"/>
  <c r="AJ162" i="8" l="1"/>
  <c r="AK162" i="8" s="1"/>
  <c r="AJ163" i="8" l="1"/>
  <c r="AK163" i="8" s="1"/>
  <c r="AJ164" i="8" l="1"/>
  <c r="AK164" i="8" s="1"/>
  <c r="AJ165" i="8" l="1"/>
  <c r="AK165" i="8" s="1"/>
  <c r="AJ166" i="8" l="1"/>
  <c r="AK166" i="8" s="1"/>
  <c r="AJ167" i="8" l="1"/>
  <c r="AK167" i="8" s="1"/>
  <c r="AJ168" i="8" l="1"/>
  <c r="AK168" i="8" s="1"/>
  <c r="AJ169" i="8" l="1"/>
  <c r="AK169" i="8" s="1"/>
  <c r="AJ170" i="8" l="1"/>
  <c r="AK170" i="8" s="1"/>
  <c r="AJ171" i="8" l="1"/>
  <c r="AK171" i="8" s="1"/>
  <c r="AJ172" i="8" l="1"/>
  <c r="AK172" i="8" s="1"/>
  <c r="AJ173" i="8" l="1"/>
  <c r="AK173" i="8" s="1"/>
  <c r="AJ174" i="8" l="1"/>
  <c r="AK174" i="8" s="1"/>
  <c r="AJ175" i="8" l="1"/>
  <c r="AK175" i="8" s="1"/>
  <c r="AJ176" i="8" l="1"/>
  <c r="AK176" i="8" s="1"/>
  <c r="AJ177" i="8" l="1"/>
  <c r="AK177" i="8" s="1"/>
  <c r="AJ178" i="8" l="1"/>
  <c r="AK178" i="8" s="1"/>
  <c r="AJ179" i="8" l="1"/>
  <c r="AK179" i="8" s="1"/>
  <c r="AJ180" i="8" l="1"/>
  <c r="AK180" i="8" s="1"/>
  <c r="AJ181" i="8" l="1"/>
  <c r="AK181" i="8" s="1"/>
  <c r="AJ182" i="8" l="1"/>
  <c r="AK182" i="8" s="1"/>
  <c r="AJ183" i="8" l="1"/>
  <c r="AK183" i="8" s="1"/>
  <c r="AJ184" i="8" l="1"/>
  <c r="AK184" i="8" s="1"/>
  <c r="AJ185" i="8" l="1"/>
  <c r="AK185" i="8" s="1"/>
  <c r="AJ186" i="8" l="1"/>
  <c r="AK186" i="8" s="1"/>
  <c r="AJ187" i="8" l="1"/>
  <c r="AK187" i="8" s="1"/>
  <c r="AJ188" i="8" l="1"/>
  <c r="AK188" i="8" s="1"/>
  <c r="AJ189" i="8" l="1"/>
  <c r="AK189" i="8" s="1"/>
  <c r="AJ190" i="8" l="1"/>
  <c r="AK190" i="8" s="1"/>
  <c r="AJ191" i="8" l="1"/>
  <c r="AK191" i="8" s="1"/>
  <c r="AJ192" i="8" l="1"/>
  <c r="AK192" i="8" s="1"/>
  <c r="AJ193" i="8" l="1"/>
  <c r="AK193" i="8" s="1"/>
  <c r="AJ194" i="8" l="1"/>
  <c r="AK194" i="8" s="1"/>
  <c r="AJ195" i="8" l="1"/>
  <c r="AK195" i="8" s="1"/>
  <c r="AJ196" i="8" l="1"/>
  <c r="AK196" i="8" s="1"/>
  <c r="AJ197" i="8" l="1"/>
  <c r="AK197" i="8" s="1"/>
  <c r="AJ198" i="8" l="1"/>
  <c r="AK198" i="8" s="1"/>
  <c r="AJ199" i="8" l="1"/>
  <c r="AK199" i="8" s="1"/>
  <c r="AJ200" i="8" l="1"/>
  <c r="AK200" i="8" s="1"/>
  <c r="AJ201" i="8" l="1"/>
  <c r="AK201" i="8" s="1"/>
  <c r="AJ202" i="8" l="1"/>
  <c r="AK202" i="8" s="1"/>
  <c r="AJ203" i="8" l="1"/>
  <c r="AK203" i="8" s="1"/>
  <c r="AJ204" i="8" l="1"/>
  <c r="AK204" i="8" s="1"/>
  <c r="AJ205" i="8" l="1"/>
  <c r="AK205" i="8" s="1"/>
  <c r="AJ206" i="8" l="1"/>
  <c r="AK206" i="8" s="1"/>
  <c r="AJ207" i="8" l="1"/>
  <c r="AK207" i="8" s="1"/>
  <c r="AJ208" i="8" l="1"/>
  <c r="AK208" i="8" s="1"/>
  <c r="AJ209" i="8" l="1"/>
  <c r="AK209" i="8" s="1"/>
  <c r="AJ210" i="8" l="1"/>
  <c r="AK210" i="8" s="1"/>
  <c r="AJ211" i="8" l="1"/>
  <c r="AK211" i="8" s="1"/>
  <c r="AJ212" i="8" l="1"/>
  <c r="AK212" i="8" s="1"/>
  <c r="AJ213" i="8" l="1"/>
  <c r="AK213" i="8" s="1"/>
  <c r="AJ214" i="8" l="1"/>
  <c r="AK214" i="8" s="1"/>
  <c r="AJ215" i="8" l="1"/>
  <c r="AK215" i="8" s="1"/>
  <c r="AJ216" i="8" l="1"/>
  <c r="AK216" i="8" s="1"/>
  <c r="AJ217" i="8" l="1"/>
  <c r="AK217" i="8" s="1"/>
  <c r="AJ218" i="8" l="1"/>
  <c r="AK218" i="8" s="1"/>
  <c r="AJ219" i="8" l="1"/>
  <c r="AK219" i="8" s="1"/>
  <c r="AJ220" i="8" l="1"/>
  <c r="AK220" i="8" s="1"/>
  <c r="AJ221" i="8" l="1"/>
  <c r="AK221" i="8" s="1"/>
  <c r="AJ222" i="8" l="1"/>
  <c r="AK222" i="8" s="1"/>
  <c r="AJ223" i="8" l="1"/>
  <c r="AK223" i="8" s="1"/>
  <c r="AJ224" i="8" l="1"/>
  <c r="AK224" i="8" s="1"/>
  <c r="AJ225" i="8" l="1"/>
  <c r="AK225" i="8" s="1"/>
  <c r="AJ226" i="8" l="1"/>
  <c r="AK226" i="8" s="1"/>
  <c r="AJ227" i="8" l="1"/>
  <c r="AK227" i="8" s="1"/>
  <c r="AJ228" i="8" l="1"/>
  <c r="AK228" i="8" s="1"/>
  <c r="AJ229" i="8" l="1"/>
  <c r="AK229" i="8" s="1"/>
  <c r="AJ230" i="8" l="1"/>
  <c r="AK230" i="8" s="1"/>
  <c r="AJ231" i="8" l="1"/>
  <c r="AK231" i="8" s="1"/>
  <c r="AJ232" i="8" l="1"/>
  <c r="AK232" i="8" s="1"/>
  <c r="AJ233" i="8" l="1"/>
  <c r="AK233" i="8" s="1"/>
  <c r="AJ234" i="8" l="1"/>
  <c r="AK234" i="8" s="1"/>
  <c r="AJ235" i="8" l="1"/>
  <c r="AK235" i="8" s="1"/>
  <c r="AJ236" i="8" l="1"/>
  <c r="AK236" i="8" s="1"/>
  <c r="AJ237" i="8" l="1"/>
  <c r="AK237" i="8" s="1"/>
  <c r="AJ238" i="8" l="1"/>
  <c r="AK238" i="8" s="1"/>
  <c r="AJ239" i="8" l="1"/>
  <c r="AK239" i="8" s="1"/>
  <c r="AJ240" i="8" l="1"/>
  <c r="AK240" i="8" s="1"/>
  <c r="AJ241" i="8" l="1"/>
  <c r="AK241" i="8" s="1"/>
  <c r="AJ242" i="8" l="1"/>
  <c r="AK242" i="8" s="1"/>
  <c r="AJ243" i="8" l="1"/>
  <c r="AK243" i="8" s="1"/>
  <c r="AJ244" i="8" l="1"/>
  <c r="AK244" i="8" s="1"/>
  <c r="AJ245" i="8" l="1"/>
  <c r="AK245" i="8" s="1"/>
  <c r="AJ246" i="8" l="1"/>
  <c r="AK246" i="8" s="1"/>
  <c r="AJ247" i="8" l="1"/>
  <c r="AK247" i="8" s="1"/>
  <c r="AJ248" i="8" l="1"/>
  <c r="AK248" i="8" s="1"/>
  <c r="AJ249" i="8" l="1"/>
  <c r="AK249" i="8" s="1"/>
  <c r="AJ250" i="8" l="1"/>
  <c r="AK250" i="8" s="1"/>
  <c r="AJ251" i="8" l="1"/>
  <c r="AK251" i="8" s="1"/>
  <c r="AJ252" i="8" l="1"/>
  <c r="AK252" i="8" s="1"/>
  <c r="AJ253" i="8" l="1"/>
  <c r="AK253" i="8" s="1"/>
  <c r="AJ254" i="8" l="1"/>
  <c r="AK254" i="8" s="1"/>
  <c r="AJ255" i="8" l="1"/>
  <c r="AK255" i="8" s="1"/>
  <c r="AJ256" i="8" l="1"/>
  <c r="AK256" i="8" s="1"/>
  <c r="AJ257" i="8" l="1"/>
  <c r="AK257" i="8" s="1"/>
  <c r="AJ258" i="8" l="1"/>
  <c r="AK258" i="8" s="1"/>
  <c r="AJ259" i="8" l="1"/>
  <c r="AK259" i="8" s="1"/>
  <c r="AJ260" i="8" l="1"/>
  <c r="AK260" i="8" s="1"/>
  <c r="AJ261" i="8" l="1"/>
  <c r="AK261" i="8" s="1"/>
  <c r="AJ262" i="8" l="1"/>
  <c r="AK262" i="8" s="1"/>
  <c r="AJ263" i="8" l="1"/>
  <c r="AK263" i="8" s="1"/>
  <c r="AJ264" i="8" l="1"/>
  <c r="AK264" i="8" s="1"/>
  <c r="AJ265" i="8" l="1"/>
  <c r="AK265" i="8" s="1"/>
  <c r="AJ266" i="8" l="1"/>
  <c r="AK266" i="8" s="1"/>
  <c r="AJ267" i="8" l="1"/>
  <c r="AK267" i="8" s="1"/>
  <c r="AJ268" i="8" l="1"/>
  <c r="AK268" i="8" s="1"/>
  <c r="AJ269" i="8" l="1"/>
  <c r="AK269" i="8" s="1"/>
  <c r="AJ270" i="8" l="1"/>
  <c r="AK270" i="8" s="1"/>
  <c r="AJ271" i="8" l="1"/>
  <c r="AK271" i="8" s="1"/>
  <c r="AJ272" i="8" l="1"/>
  <c r="AK272" i="8" s="1"/>
  <c r="AJ273" i="8" l="1"/>
  <c r="AK273" i="8" s="1"/>
  <c r="AJ274" i="8" l="1"/>
  <c r="AK274" i="8" s="1"/>
  <c r="AJ275" i="8" l="1"/>
  <c r="AK275" i="8" s="1"/>
  <c r="AJ276" i="8" l="1"/>
  <c r="AK276" i="8" s="1"/>
  <c r="AJ277" i="8" l="1"/>
  <c r="AK277" i="8" s="1"/>
  <c r="AJ278" i="8" l="1"/>
  <c r="AK278" i="8" s="1"/>
  <c r="C6" i="9" s="1"/>
  <c r="C5" i="9" s="1"/>
  <c r="C7" i="9" s="1"/>
  <c r="C15" i="9"/>
</calcChain>
</file>

<file path=xl/sharedStrings.xml><?xml version="1.0" encoding="utf-8"?>
<sst xmlns="http://schemas.openxmlformats.org/spreadsheetml/2006/main" count="179" uniqueCount="159">
  <si>
    <t xml:space="preserve">ACEA7007-Hybrid Powertrain and Control </t>
  </si>
  <si>
    <t>Series Hybrid Vehicle(CW1)</t>
  </si>
  <si>
    <t>Technical Data</t>
  </si>
  <si>
    <t>Maximum Engine Speed (RPM)</t>
  </si>
  <si>
    <t xml:space="preserve">Gear </t>
  </si>
  <si>
    <t>Input</t>
  </si>
  <si>
    <t>Output</t>
  </si>
  <si>
    <t>Gear Ratio</t>
  </si>
  <si>
    <t>Overall Ratio</t>
  </si>
  <si>
    <t>Top Speed(m/s)</t>
  </si>
  <si>
    <t>Top Speed (km/h)</t>
  </si>
  <si>
    <t>Top Speed (mph)</t>
  </si>
  <si>
    <t>Maximum Engine Torque (Nm)</t>
  </si>
  <si>
    <r>
      <t>1</t>
    </r>
    <r>
      <rPr>
        <vertAlign val="superscript"/>
        <sz val="11"/>
        <color theme="1"/>
        <rFont val="Times New Roman"/>
        <family val="1"/>
      </rPr>
      <t>st</t>
    </r>
  </si>
  <si>
    <t>Maximum Power Develop by Engine (W)</t>
  </si>
  <si>
    <r>
      <t>2</t>
    </r>
    <r>
      <rPr>
        <vertAlign val="superscript"/>
        <sz val="11"/>
        <color theme="1"/>
        <rFont val="Times New Roman"/>
        <family val="1"/>
      </rPr>
      <t>nd</t>
    </r>
  </si>
  <si>
    <t>Maximum Power Developed by Engine (HP)</t>
  </si>
  <si>
    <r>
      <t>3</t>
    </r>
    <r>
      <rPr>
        <vertAlign val="superscript"/>
        <sz val="11"/>
        <color theme="1"/>
        <rFont val="Times New Roman"/>
        <family val="1"/>
      </rPr>
      <t>rd</t>
    </r>
  </si>
  <si>
    <r>
      <t>Effective Frontal Area (m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</si>
  <si>
    <t>Final Drive</t>
  </si>
  <si>
    <t>Front Wheel Radius (mm)</t>
  </si>
  <si>
    <t>Primary Drive</t>
  </si>
  <si>
    <t>Rear Wheel Radius (mm)</t>
  </si>
  <si>
    <t>Front tyre Radius (24*8-12) (m)</t>
  </si>
  <si>
    <r>
      <t>Inertia (kgm</t>
    </r>
    <r>
      <rPr>
        <b/>
        <vertAlign val="super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)</t>
    </r>
  </si>
  <si>
    <t>Transmission Ratio</t>
  </si>
  <si>
    <t>Velocity Ratio</t>
  </si>
  <si>
    <t>Crankshaft Velocity Ratio</t>
  </si>
  <si>
    <t>Gearbox Velocity Ratio</t>
  </si>
  <si>
    <t>Sinθ1 (slop 1 uphill)</t>
  </si>
  <si>
    <t>Rear tyre Radius (23*10.5-12) (m)</t>
  </si>
  <si>
    <t>Front Wheel</t>
  </si>
  <si>
    <t>Sinθ2 (slop 1 downhill)</t>
  </si>
  <si>
    <t>Driver + Passenger Weight (kg)</t>
  </si>
  <si>
    <t>Rear Wheel</t>
  </si>
  <si>
    <t>Sinθ3 (slop 2 uphill)</t>
  </si>
  <si>
    <t>Fuel + Oil Weight (kg)</t>
  </si>
  <si>
    <t>Crankshaft</t>
  </si>
  <si>
    <t>Sinθ4 (slop 2 downhill)</t>
  </si>
  <si>
    <t>Kerb Weight (kg)</t>
  </si>
  <si>
    <t>GearBox Output Shaft</t>
  </si>
  <si>
    <t>Total Weight (kg)</t>
  </si>
  <si>
    <t>Gearbox Input Shaft(Gear1)</t>
  </si>
  <si>
    <t>Gearbox Input Shaft(Gear2)</t>
  </si>
  <si>
    <t>Drag Coefficient</t>
  </si>
  <si>
    <t>Gearbox Input Shaft(Gear3)</t>
  </si>
  <si>
    <t>Wind Speed (m/s)</t>
  </si>
  <si>
    <r>
      <t>Air Density (kg/m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)</t>
    </r>
  </si>
  <si>
    <t>RPM</t>
  </si>
  <si>
    <r>
      <t>Rolling Coefficient (μ</t>
    </r>
    <r>
      <rPr>
        <vertAlign val="subscript"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) Asphalt</t>
    </r>
  </si>
  <si>
    <t>Torque Nm</t>
  </si>
  <si>
    <r>
      <t>Rolling Coefficient (μ</t>
    </r>
    <r>
      <rPr>
        <vertAlign val="subscript"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) Gravel</t>
    </r>
  </si>
  <si>
    <t>Rolling Coefficient (μR) Standing water</t>
  </si>
  <si>
    <t>Rolling Coefficient (μR) Field</t>
  </si>
  <si>
    <t>Traction Coefficient ( Asphalt)</t>
  </si>
  <si>
    <t>Traction Coefficient ( Geavel)</t>
  </si>
  <si>
    <t>Traction Coefficient ( Field)</t>
  </si>
  <si>
    <t>Traction Coefficient ( Water splash)</t>
  </si>
  <si>
    <t>Wheelbase (mm)</t>
  </si>
  <si>
    <t>Height of COG from Ground (mm)</t>
  </si>
  <si>
    <t>Distance of COG from Front Wheel Center (mm)</t>
  </si>
  <si>
    <t>Distance of COG from Rear Wheel Center (mm)</t>
  </si>
  <si>
    <t>Angle of Buggy Lifted (Degree)</t>
  </si>
  <si>
    <t>Angle of Buggy Lifted (Radians)</t>
  </si>
  <si>
    <t>tan(18°)</t>
  </si>
  <si>
    <t>Load on Rear Wheel (kg)</t>
  </si>
  <si>
    <t>Load on Rear Wheel while Lifted (kg)</t>
  </si>
  <si>
    <t>YCOG</t>
  </si>
  <si>
    <t>XCOG</t>
  </si>
  <si>
    <t>Tires Mass (kg)</t>
  </si>
  <si>
    <t>Wheels Mass (kg)</t>
  </si>
  <si>
    <t>Total Assembly Mass (kg)</t>
  </si>
  <si>
    <r>
      <t>Radius of Gyration Front Wheel (K</t>
    </r>
    <r>
      <rPr>
        <vertAlign val="subscript"/>
        <sz val="11"/>
        <color theme="1"/>
        <rFont val="Times New Roman"/>
        <family val="1"/>
      </rPr>
      <t>front)</t>
    </r>
  </si>
  <si>
    <r>
      <t>Radius of Gyration Rear Wheel at 6500rpm 1</t>
    </r>
    <r>
      <rPr>
        <vertAlign val="superscript"/>
        <sz val="11"/>
        <color theme="1"/>
        <rFont val="Times New Roman"/>
        <family val="1"/>
      </rPr>
      <t>st</t>
    </r>
    <r>
      <rPr>
        <sz val="11"/>
        <color theme="1"/>
        <rFont val="Times New Roman"/>
        <family val="1"/>
      </rPr>
      <t xml:space="preserve"> Gear</t>
    </r>
  </si>
  <si>
    <t>Inertia of Front Wheel</t>
  </si>
  <si>
    <t>Inertia of Rear Wheel</t>
  </si>
  <si>
    <t>Inertia of Engine</t>
  </si>
  <si>
    <t>Equivealant Mass in Gear 1</t>
  </si>
  <si>
    <t>Equivealant Mass in Gear 2</t>
  </si>
  <si>
    <t>Equivealant Mass in Gear 3</t>
  </si>
  <si>
    <t>Time (s)</t>
  </si>
  <si>
    <t>Velocity (mph)</t>
  </si>
  <si>
    <t>Velocity (km/h)</t>
  </si>
  <si>
    <t>Velocity (m/s)</t>
  </si>
  <si>
    <t>Distance (m)</t>
  </si>
  <si>
    <t>Displacement (m)</t>
  </si>
  <si>
    <t>Acceleration (m/s</t>
  </si>
  <si>
    <t>Gear</t>
  </si>
  <si>
    <t>Gradient Resistance Force (N)</t>
  </si>
  <si>
    <t>Aero Drag Force (N)</t>
  </si>
  <si>
    <t>Inertia Resistance  Force (N)</t>
  </si>
  <si>
    <t>Rolling Resistance Force (N)</t>
  </si>
  <si>
    <t>Total Resistance Force (N)</t>
  </si>
  <si>
    <t>Force on wheel</t>
  </si>
  <si>
    <t>Equivelent Mass (kg)</t>
  </si>
  <si>
    <t>Kinetic Energy (kJ)</t>
  </si>
  <si>
    <t>Potential Energy (kJ)</t>
  </si>
  <si>
    <t>Torque @ wheel</t>
  </si>
  <si>
    <t>Engine torque (Nm)</t>
  </si>
  <si>
    <t>Energy consumed by drag (kWh)</t>
  </si>
  <si>
    <t>Energy consumed by braking (kWh)</t>
  </si>
  <si>
    <t>Power (kW)</t>
  </si>
  <si>
    <t>Power (hp)</t>
  </si>
  <si>
    <t>Rounded Torque (Nm)</t>
  </si>
  <si>
    <t>Rounded RPM</t>
  </si>
  <si>
    <t>Energy (kWh)</t>
  </si>
  <si>
    <t>Total Energy (kWh)</t>
  </si>
  <si>
    <t>Workdone (kJ)</t>
  </si>
  <si>
    <t>BSFC</t>
  </si>
  <si>
    <t>Fuel Used (g)</t>
  </si>
  <si>
    <t>Total Fuel consumed (g)</t>
  </si>
  <si>
    <t>ASPHALT START</t>
  </si>
  <si>
    <t>T1 start</t>
  </si>
  <si>
    <t>T1 finish</t>
  </si>
  <si>
    <t>Water splash start</t>
  </si>
  <si>
    <t>Water splash finish</t>
  </si>
  <si>
    <t>T2 start</t>
  </si>
  <si>
    <t>T2 finish</t>
  </si>
  <si>
    <t>slop 1 up</t>
  </si>
  <si>
    <t>T3 start</t>
  </si>
  <si>
    <t>T3 finish</t>
  </si>
  <si>
    <t>T4 start</t>
  </si>
  <si>
    <t>T4 finish</t>
  </si>
  <si>
    <t>T5 start</t>
  </si>
  <si>
    <t>ASPHALT FINISH</t>
  </si>
  <si>
    <t>T5 finish</t>
  </si>
  <si>
    <t>GRASS FIELD START</t>
  </si>
  <si>
    <t>T6 start</t>
  </si>
  <si>
    <t>T6 finish</t>
  </si>
  <si>
    <t>T7 start</t>
  </si>
  <si>
    <t>T7 finish</t>
  </si>
  <si>
    <t>slop 1 down</t>
  </si>
  <si>
    <t>T8 start</t>
  </si>
  <si>
    <t>GRASS FIELD finish</t>
  </si>
  <si>
    <t>T8 finish</t>
  </si>
  <si>
    <t>GRAVEL START</t>
  </si>
  <si>
    <t>T9 start</t>
  </si>
  <si>
    <t>T9 finish</t>
  </si>
  <si>
    <t>T10 start</t>
  </si>
  <si>
    <t>T10 finish</t>
  </si>
  <si>
    <t>slop 2 up</t>
  </si>
  <si>
    <t>T11 start</t>
  </si>
  <si>
    <t>T11 finish</t>
  </si>
  <si>
    <t>T12 start</t>
  </si>
  <si>
    <t>T12 finish</t>
  </si>
  <si>
    <t>slop 2 down</t>
  </si>
  <si>
    <t>Lap Distance (km)</t>
  </si>
  <si>
    <t>Fuel consumed (l)</t>
  </si>
  <si>
    <t>Fuel consumed (g)</t>
  </si>
  <si>
    <t>Litres per km</t>
  </si>
  <si>
    <t>Maximum speed (mph)</t>
  </si>
  <si>
    <t>Maximum speed (km/h)</t>
  </si>
  <si>
    <t>Average speed (km/h)</t>
  </si>
  <si>
    <t>Maximum lap possible with full tank</t>
  </si>
  <si>
    <t>Total traction energy (kWh)</t>
  </si>
  <si>
    <t>Total energy consumed by Drag (kWh)</t>
  </si>
  <si>
    <t>Total energy consumed by Braking (kWh)</t>
  </si>
  <si>
    <t>Braking energy percentage (%)</t>
  </si>
  <si>
    <t>Time taken for one 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</si>
</sst>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b/>
      <sz val="14"/>
      <color rgb="FFE43012"/>
      <name val="Times New Roman"/>
      <family val="1"/>
    </font>
    <font>
      <b/>
      <sz val="11"/>
      <color rgb="FFE43012"/>
      <name val="Times New Roman"/>
      <family val="1"/>
    </font>
    <font>
      <sz val="11"/>
      <color theme="1"/>
      <name val="Times New Roman"/>
    </font>
    <font>
      <sz val="11"/>
      <color rgb="FFC00000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1" xfId="0" applyFont="1" applyBorder="1"/>
    <xf numFmtId="0" fontId="2" fillId="4" borderId="10" xfId="0" applyFont="1" applyFill="1" applyBorder="1"/>
    <xf numFmtId="0" fontId="2" fillId="4" borderId="9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13" xfId="0" applyFont="1" applyFill="1" applyBorder="1"/>
    <xf numFmtId="0" fontId="2" fillId="4" borderId="7" xfId="0" applyFont="1" applyFill="1" applyBorder="1"/>
    <xf numFmtId="0" fontId="2" fillId="4" borderId="5" xfId="0" applyFont="1" applyFill="1" applyBorder="1"/>
    <xf numFmtId="0" fontId="2" fillId="4" borderId="6" xfId="0" applyFont="1" applyFill="1" applyBorder="1"/>
    <xf numFmtId="0" fontId="2" fillId="10" borderId="11" xfId="0" applyFont="1" applyFill="1" applyBorder="1"/>
    <xf numFmtId="164" fontId="2" fillId="9" borderId="8" xfId="0" applyNumberFormat="1" applyFont="1" applyFill="1" applyBorder="1"/>
    <xf numFmtId="164" fontId="2" fillId="9" borderId="1" xfId="0" applyNumberFormat="1" applyFont="1" applyFill="1" applyBorder="1"/>
    <xf numFmtId="164" fontId="2" fillId="8" borderId="1" xfId="0" applyNumberFormat="1" applyFont="1" applyFill="1" applyBorder="1"/>
    <xf numFmtId="0" fontId="2" fillId="9" borderId="1" xfId="0" applyFont="1" applyFill="1" applyBorder="1"/>
    <xf numFmtId="0" fontId="2" fillId="9" borderId="4" xfId="0" applyFont="1" applyFill="1" applyBorder="1"/>
    <xf numFmtId="164" fontId="2" fillId="9" borderId="4" xfId="0" applyNumberFormat="1" applyFont="1" applyFill="1" applyBorder="1"/>
    <xf numFmtId="164" fontId="2" fillId="7" borderId="1" xfId="0" applyNumberFormat="1" applyFont="1" applyFill="1" applyBorder="1"/>
    <xf numFmtId="164" fontId="2" fillId="8" borderId="4" xfId="0" applyNumberFormat="1" applyFont="1" applyFill="1" applyBorder="1"/>
    <xf numFmtId="164" fontId="2" fillId="2" borderId="1" xfId="0" applyNumberFormat="1" applyFont="1" applyFill="1" applyBorder="1"/>
    <xf numFmtId="164" fontId="2" fillId="6" borderId="1" xfId="0" applyNumberFormat="1" applyFont="1" applyFill="1" applyBorder="1"/>
    <xf numFmtId="164" fontId="2" fillId="5" borderId="1" xfId="0" applyNumberFormat="1" applyFont="1" applyFill="1" applyBorder="1"/>
    <xf numFmtId="164" fontId="2" fillId="8" borderId="8" xfId="0" applyNumberFormat="1" applyFont="1" applyFill="1" applyBorder="1"/>
    <xf numFmtId="164" fontId="2" fillId="3" borderId="8" xfId="0" applyNumberFormat="1" applyFont="1" applyFill="1" applyBorder="1"/>
    <xf numFmtId="164" fontId="2" fillId="3" borderId="1" xfId="0" applyNumberFormat="1" applyFont="1" applyFill="1" applyBorder="1"/>
    <xf numFmtId="164" fontId="2" fillId="3" borderId="4" xfId="0" applyNumberFormat="1" applyFont="1" applyFill="1" applyBorder="1"/>
    <xf numFmtId="0" fontId="2" fillId="4" borderId="12" xfId="0" applyFont="1" applyFill="1" applyBorder="1"/>
    <xf numFmtId="0" fontId="2" fillId="4" borderId="15" xfId="0" applyFont="1" applyFill="1" applyBorder="1"/>
    <xf numFmtId="0" fontId="2" fillId="4" borderId="16" xfId="0" applyFont="1" applyFill="1" applyBorder="1"/>
    <xf numFmtId="0" fontId="2" fillId="4" borderId="14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Alignment="1">
      <alignment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2" fillId="11" borderId="0" xfId="0" applyFont="1" applyFill="1"/>
    <xf numFmtId="9" fontId="2" fillId="0" borderId="0" xfId="1" applyFont="1" applyFill="1"/>
    <xf numFmtId="20" fontId="2" fillId="0" borderId="0" xfId="0" applyNumberFormat="1" applyFont="1"/>
    <xf numFmtId="0" fontId="8" fillId="11" borderId="0" xfId="0" applyFont="1" applyFill="1"/>
    <xf numFmtId="2" fontId="2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8" fillId="0" borderId="0" xfId="1" applyNumberFormat="1" applyFont="1" applyFill="1"/>
  </cellXfs>
  <cellStyles count="2">
    <cellStyle name="Normal" xfId="0" builtinId="0"/>
    <cellStyle name="Percent" xfId="1" builtinId="5"/>
  </cellStyles>
  <dxfs count="10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</dxfs>
  <tableStyles count="1" defaultTableStyle="TableStyleMedium2" defaultPivotStyle="PivotStyleLight16">
    <tableStyle name="Table Style 1" pivot="0" count="0"/>
  </tableStyles>
  <colors>
    <mruColors>
      <color rgb="FFD4D4B0"/>
      <color rgb="FFE430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GB" sz="1400" b="1" i="0" u="none" strike="noStrike" kern="1200" spc="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r>
              <a:rPr lang="en-US" b="1">
                <a:solidFill>
                  <a:sysClr val="windowText" lastClr="000000"/>
                </a:solidFill>
              </a:rPr>
              <a:t>Velocity</a:t>
            </a:r>
          </a:p>
        </c:rich>
      </c:tx>
      <c:layout>
        <c:manualLayout>
          <c:xMode val="edge"/>
          <c:yMode val="edge"/>
          <c:x val="0.4692298116264948"/>
          <c:y val="9.3240093240093257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Simulation!$C$2:$C$281</c:f>
              <c:numCache>
                <c:formatCode>General</c:formatCode>
                <c:ptCount val="28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Simulation!$D$2:$D$281</c:f>
              <c:numCache>
                <c:formatCode>General</c:formatCode>
                <c:ptCount val="280"/>
                <c:pt idx="0">
                  <c:v>0</c:v>
                </c:pt>
                <c:pt idx="1">
                  <c:v>5.7</c:v>
                </c:pt>
                <c:pt idx="2">
                  <c:v>6.9</c:v>
                </c:pt>
                <c:pt idx="3">
                  <c:v>8</c:v>
                </c:pt>
                <c:pt idx="4">
                  <c:v>10</c:v>
                </c:pt>
                <c:pt idx="5">
                  <c:v>10.1</c:v>
                </c:pt>
                <c:pt idx="6">
                  <c:v>11</c:v>
                </c:pt>
                <c:pt idx="7">
                  <c:v>12</c:v>
                </c:pt>
                <c:pt idx="8">
                  <c:v>14</c:v>
                </c:pt>
                <c:pt idx="9">
                  <c:v>16</c:v>
                </c:pt>
                <c:pt idx="10">
                  <c:v>18</c:v>
                </c:pt>
                <c:pt idx="11">
                  <c:v>20</c:v>
                </c:pt>
                <c:pt idx="12">
                  <c:v>20.2</c:v>
                </c:pt>
                <c:pt idx="13">
                  <c:v>22</c:v>
                </c:pt>
                <c:pt idx="14">
                  <c:v>23</c:v>
                </c:pt>
                <c:pt idx="15">
                  <c:v>24.5</c:v>
                </c:pt>
                <c:pt idx="16">
                  <c:v>26</c:v>
                </c:pt>
                <c:pt idx="17">
                  <c:v>28</c:v>
                </c:pt>
                <c:pt idx="18">
                  <c:v>30</c:v>
                </c:pt>
                <c:pt idx="19">
                  <c:v>30</c:v>
                </c:pt>
                <c:pt idx="20">
                  <c:v>28</c:v>
                </c:pt>
                <c:pt idx="21">
                  <c:v>26</c:v>
                </c:pt>
                <c:pt idx="22">
                  <c:v>24</c:v>
                </c:pt>
                <c:pt idx="23">
                  <c:v>22</c:v>
                </c:pt>
                <c:pt idx="24">
                  <c:v>20</c:v>
                </c:pt>
                <c:pt idx="25">
                  <c:v>19.8</c:v>
                </c:pt>
                <c:pt idx="26">
                  <c:v>18</c:v>
                </c:pt>
                <c:pt idx="27">
                  <c:v>17</c:v>
                </c:pt>
                <c:pt idx="28">
                  <c:v>16</c:v>
                </c:pt>
                <c:pt idx="29">
                  <c:v>15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  <c:pt idx="37">
                  <c:v>14</c:v>
                </c:pt>
                <c:pt idx="38">
                  <c:v>14</c:v>
                </c:pt>
                <c:pt idx="39">
                  <c:v>14</c:v>
                </c:pt>
                <c:pt idx="40">
                  <c:v>14</c:v>
                </c:pt>
                <c:pt idx="41">
                  <c:v>14</c:v>
                </c:pt>
                <c:pt idx="42">
                  <c:v>14</c:v>
                </c:pt>
                <c:pt idx="43">
                  <c:v>14</c:v>
                </c:pt>
                <c:pt idx="44">
                  <c:v>14</c:v>
                </c:pt>
                <c:pt idx="45">
                  <c:v>15</c:v>
                </c:pt>
                <c:pt idx="46">
                  <c:v>16.5</c:v>
                </c:pt>
                <c:pt idx="47">
                  <c:v>18</c:v>
                </c:pt>
                <c:pt idx="48">
                  <c:v>20</c:v>
                </c:pt>
                <c:pt idx="49">
                  <c:v>20.2</c:v>
                </c:pt>
                <c:pt idx="50">
                  <c:v>21.5</c:v>
                </c:pt>
                <c:pt idx="51">
                  <c:v>22.5</c:v>
                </c:pt>
                <c:pt idx="52">
                  <c:v>24</c:v>
                </c:pt>
                <c:pt idx="53">
                  <c:v>26</c:v>
                </c:pt>
                <c:pt idx="54">
                  <c:v>26.5</c:v>
                </c:pt>
                <c:pt idx="55">
                  <c:v>25.3</c:v>
                </c:pt>
                <c:pt idx="56">
                  <c:v>23</c:v>
                </c:pt>
                <c:pt idx="57">
                  <c:v>21.5</c:v>
                </c:pt>
                <c:pt idx="58">
                  <c:v>20</c:v>
                </c:pt>
                <c:pt idx="59">
                  <c:v>19.8</c:v>
                </c:pt>
                <c:pt idx="60">
                  <c:v>19</c:v>
                </c:pt>
                <c:pt idx="61">
                  <c:v>18</c:v>
                </c:pt>
                <c:pt idx="62">
                  <c:v>16.5</c:v>
                </c:pt>
                <c:pt idx="63">
                  <c:v>16</c:v>
                </c:pt>
                <c:pt idx="64">
                  <c:v>15.5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17</c:v>
                </c:pt>
                <c:pt idx="82">
                  <c:v>18.5</c:v>
                </c:pt>
                <c:pt idx="83">
                  <c:v>20</c:v>
                </c:pt>
                <c:pt idx="84">
                  <c:v>20.2</c:v>
                </c:pt>
                <c:pt idx="85">
                  <c:v>21</c:v>
                </c:pt>
                <c:pt idx="86">
                  <c:v>22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22</c:v>
                </c:pt>
                <c:pt idx="94">
                  <c:v>21</c:v>
                </c:pt>
                <c:pt idx="95">
                  <c:v>20</c:v>
                </c:pt>
                <c:pt idx="96">
                  <c:v>19.8</c:v>
                </c:pt>
                <c:pt idx="97">
                  <c:v>19</c:v>
                </c:pt>
                <c:pt idx="98">
                  <c:v>18</c:v>
                </c:pt>
                <c:pt idx="99">
                  <c:v>16.5</c:v>
                </c:pt>
                <c:pt idx="100">
                  <c:v>15</c:v>
                </c:pt>
                <c:pt idx="101">
                  <c:v>14.5</c:v>
                </c:pt>
                <c:pt idx="102">
                  <c:v>14.5</c:v>
                </c:pt>
                <c:pt idx="103">
                  <c:v>14.5</c:v>
                </c:pt>
                <c:pt idx="104">
                  <c:v>14.5</c:v>
                </c:pt>
                <c:pt idx="105">
                  <c:v>14.5</c:v>
                </c:pt>
                <c:pt idx="106">
                  <c:v>14.5</c:v>
                </c:pt>
                <c:pt idx="107">
                  <c:v>14.5</c:v>
                </c:pt>
                <c:pt idx="108">
                  <c:v>14.5</c:v>
                </c:pt>
                <c:pt idx="109">
                  <c:v>14.5</c:v>
                </c:pt>
                <c:pt idx="110">
                  <c:v>14.5</c:v>
                </c:pt>
                <c:pt idx="111">
                  <c:v>15.5</c:v>
                </c:pt>
                <c:pt idx="112">
                  <c:v>17</c:v>
                </c:pt>
                <c:pt idx="113">
                  <c:v>17.5</c:v>
                </c:pt>
                <c:pt idx="114">
                  <c:v>17.5</c:v>
                </c:pt>
                <c:pt idx="115">
                  <c:v>17.5</c:v>
                </c:pt>
                <c:pt idx="116">
                  <c:v>17.5</c:v>
                </c:pt>
                <c:pt idx="117">
                  <c:v>17.5</c:v>
                </c:pt>
                <c:pt idx="118">
                  <c:v>16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16</c:v>
                </c:pt>
                <c:pt idx="128">
                  <c:v>17.5</c:v>
                </c:pt>
                <c:pt idx="129">
                  <c:v>18.8</c:v>
                </c:pt>
                <c:pt idx="130">
                  <c:v>20</c:v>
                </c:pt>
                <c:pt idx="131">
                  <c:v>19.8</c:v>
                </c:pt>
                <c:pt idx="132">
                  <c:v>18</c:v>
                </c:pt>
                <c:pt idx="133">
                  <c:v>16</c:v>
                </c:pt>
                <c:pt idx="134">
                  <c:v>16</c:v>
                </c:pt>
                <c:pt idx="135">
                  <c:v>16</c:v>
                </c:pt>
                <c:pt idx="136">
                  <c:v>16</c:v>
                </c:pt>
                <c:pt idx="137">
                  <c:v>16</c:v>
                </c:pt>
                <c:pt idx="138">
                  <c:v>16</c:v>
                </c:pt>
                <c:pt idx="139">
                  <c:v>16</c:v>
                </c:pt>
                <c:pt idx="140">
                  <c:v>17</c:v>
                </c:pt>
                <c:pt idx="141">
                  <c:v>18</c:v>
                </c:pt>
                <c:pt idx="142">
                  <c:v>17</c:v>
                </c:pt>
                <c:pt idx="143">
                  <c:v>15.5</c:v>
                </c:pt>
                <c:pt idx="144">
                  <c:v>15.5</c:v>
                </c:pt>
                <c:pt idx="145">
                  <c:v>15.5</c:v>
                </c:pt>
                <c:pt idx="146">
                  <c:v>15.5</c:v>
                </c:pt>
                <c:pt idx="147">
                  <c:v>15.5</c:v>
                </c:pt>
                <c:pt idx="148">
                  <c:v>16</c:v>
                </c:pt>
                <c:pt idx="149">
                  <c:v>16.5</c:v>
                </c:pt>
                <c:pt idx="150">
                  <c:v>17.7</c:v>
                </c:pt>
                <c:pt idx="151">
                  <c:v>18.899999999999999</c:v>
                </c:pt>
                <c:pt idx="152">
                  <c:v>20</c:v>
                </c:pt>
                <c:pt idx="153">
                  <c:v>20.2</c:v>
                </c:pt>
                <c:pt idx="154">
                  <c:v>21</c:v>
                </c:pt>
                <c:pt idx="155">
                  <c:v>23</c:v>
                </c:pt>
                <c:pt idx="156">
                  <c:v>25</c:v>
                </c:pt>
                <c:pt idx="157">
                  <c:v>27</c:v>
                </c:pt>
                <c:pt idx="158">
                  <c:v>29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28</c:v>
                </c:pt>
                <c:pt idx="163">
                  <c:v>26</c:v>
                </c:pt>
                <c:pt idx="164">
                  <c:v>24</c:v>
                </c:pt>
                <c:pt idx="165">
                  <c:v>22</c:v>
                </c:pt>
                <c:pt idx="166">
                  <c:v>21</c:v>
                </c:pt>
                <c:pt idx="167">
                  <c:v>20</c:v>
                </c:pt>
                <c:pt idx="168">
                  <c:v>19.8</c:v>
                </c:pt>
                <c:pt idx="169">
                  <c:v>17.5</c:v>
                </c:pt>
                <c:pt idx="170">
                  <c:v>17.5</c:v>
                </c:pt>
                <c:pt idx="171">
                  <c:v>17.5</c:v>
                </c:pt>
                <c:pt idx="172">
                  <c:v>17.5</c:v>
                </c:pt>
                <c:pt idx="173">
                  <c:v>17.5</c:v>
                </c:pt>
                <c:pt idx="174">
                  <c:v>17.5</c:v>
                </c:pt>
                <c:pt idx="175">
                  <c:v>17.5</c:v>
                </c:pt>
                <c:pt idx="176">
                  <c:v>17.5</c:v>
                </c:pt>
                <c:pt idx="177">
                  <c:v>17.5</c:v>
                </c:pt>
                <c:pt idx="178">
                  <c:v>17.5</c:v>
                </c:pt>
                <c:pt idx="179">
                  <c:v>17.5</c:v>
                </c:pt>
                <c:pt idx="180">
                  <c:v>18</c:v>
                </c:pt>
                <c:pt idx="181">
                  <c:v>19</c:v>
                </c:pt>
                <c:pt idx="182">
                  <c:v>20</c:v>
                </c:pt>
                <c:pt idx="183">
                  <c:v>20</c:v>
                </c:pt>
                <c:pt idx="184">
                  <c:v>19</c:v>
                </c:pt>
                <c:pt idx="185">
                  <c:v>18</c:v>
                </c:pt>
                <c:pt idx="186">
                  <c:v>16.8</c:v>
                </c:pt>
                <c:pt idx="187">
                  <c:v>15.6</c:v>
                </c:pt>
                <c:pt idx="188">
                  <c:v>13.8</c:v>
                </c:pt>
                <c:pt idx="189">
                  <c:v>12.4</c:v>
                </c:pt>
                <c:pt idx="190">
                  <c:v>11</c:v>
                </c:pt>
                <c:pt idx="191">
                  <c:v>10</c:v>
                </c:pt>
                <c:pt idx="192">
                  <c:v>9.8000000000000007</c:v>
                </c:pt>
                <c:pt idx="193">
                  <c:v>8.5</c:v>
                </c:pt>
                <c:pt idx="194">
                  <c:v>8.5</c:v>
                </c:pt>
                <c:pt idx="195">
                  <c:v>8.5</c:v>
                </c:pt>
                <c:pt idx="196">
                  <c:v>8.5</c:v>
                </c:pt>
                <c:pt idx="197">
                  <c:v>8.5</c:v>
                </c:pt>
                <c:pt idx="198">
                  <c:v>8.5</c:v>
                </c:pt>
                <c:pt idx="199">
                  <c:v>8.5</c:v>
                </c:pt>
                <c:pt idx="200">
                  <c:v>8.5</c:v>
                </c:pt>
                <c:pt idx="201">
                  <c:v>8.5</c:v>
                </c:pt>
                <c:pt idx="202">
                  <c:v>8.5</c:v>
                </c:pt>
                <c:pt idx="203">
                  <c:v>8.5</c:v>
                </c:pt>
                <c:pt idx="204">
                  <c:v>8.5</c:v>
                </c:pt>
                <c:pt idx="205">
                  <c:v>8.5</c:v>
                </c:pt>
                <c:pt idx="206">
                  <c:v>9.5</c:v>
                </c:pt>
                <c:pt idx="207">
                  <c:v>10</c:v>
                </c:pt>
                <c:pt idx="208">
                  <c:v>10</c:v>
                </c:pt>
                <c:pt idx="209">
                  <c:v>10</c:v>
                </c:pt>
                <c:pt idx="210">
                  <c:v>9</c:v>
                </c:pt>
                <c:pt idx="211">
                  <c:v>8</c:v>
                </c:pt>
                <c:pt idx="212">
                  <c:v>8</c:v>
                </c:pt>
                <c:pt idx="213">
                  <c:v>8</c:v>
                </c:pt>
                <c:pt idx="214">
                  <c:v>8</c:v>
                </c:pt>
                <c:pt idx="215">
                  <c:v>8</c:v>
                </c:pt>
                <c:pt idx="216">
                  <c:v>8</c:v>
                </c:pt>
                <c:pt idx="217">
                  <c:v>8</c:v>
                </c:pt>
                <c:pt idx="218">
                  <c:v>8</c:v>
                </c:pt>
                <c:pt idx="219">
                  <c:v>9</c:v>
                </c:pt>
                <c:pt idx="220">
                  <c:v>10</c:v>
                </c:pt>
                <c:pt idx="221">
                  <c:v>10.199999999999999</c:v>
                </c:pt>
                <c:pt idx="222">
                  <c:v>12.5</c:v>
                </c:pt>
                <c:pt idx="223">
                  <c:v>15</c:v>
                </c:pt>
                <c:pt idx="224">
                  <c:v>17.5</c:v>
                </c:pt>
                <c:pt idx="225">
                  <c:v>20</c:v>
                </c:pt>
                <c:pt idx="226">
                  <c:v>20.2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21.5</c:v>
                </c:pt>
                <c:pt idx="234">
                  <c:v>22</c:v>
                </c:pt>
                <c:pt idx="235">
                  <c:v>20.5</c:v>
                </c:pt>
                <c:pt idx="236">
                  <c:v>19.8</c:v>
                </c:pt>
                <c:pt idx="237">
                  <c:v>18</c:v>
                </c:pt>
                <c:pt idx="238">
                  <c:v>16</c:v>
                </c:pt>
                <c:pt idx="239">
                  <c:v>14</c:v>
                </c:pt>
                <c:pt idx="240">
                  <c:v>12</c:v>
                </c:pt>
                <c:pt idx="241">
                  <c:v>10</c:v>
                </c:pt>
                <c:pt idx="242">
                  <c:v>9.9</c:v>
                </c:pt>
                <c:pt idx="243">
                  <c:v>8.5</c:v>
                </c:pt>
                <c:pt idx="244">
                  <c:v>8.5</c:v>
                </c:pt>
                <c:pt idx="245">
                  <c:v>8.5</c:v>
                </c:pt>
                <c:pt idx="246">
                  <c:v>8.5</c:v>
                </c:pt>
                <c:pt idx="247">
                  <c:v>8.5</c:v>
                </c:pt>
                <c:pt idx="248">
                  <c:v>8.5</c:v>
                </c:pt>
                <c:pt idx="249">
                  <c:v>8.5</c:v>
                </c:pt>
                <c:pt idx="250">
                  <c:v>8.5</c:v>
                </c:pt>
                <c:pt idx="251">
                  <c:v>8.5</c:v>
                </c:pt>
                <c:pt idx="252">
                  <c:v>8.5</c:v>
                </c:pt>
                <c:pt idx="253">
                  <c:v>9</c:v>
                </c:pt>
                <c:pt idx="254">
                  <c:v>9.5</c:v>
                </c:pt>
                <c:pt idx="255">
                  <c:v>8.5</c:v>
                </c:pt>
                <c:pt idx="256">
                  <c:v>8.5</c:v>
                </c:pt>
                <c:pt idx="257">
                  <c:v>8.5</c:v>
                </c:pt>
                <c:pt idx="258">
                  <c:v>8.5</c:v>
                </c:pt>
                <c:pt idx="259">
                  <c:v>8.5</c:v>
                </c:pt>
                <c:pt idx="260">
                  <c:v>8.5</c:v>
                </c:pt>
                <c:pt idx="261">
                  <c:v>8.5</c:v>
                </c:pt>
                <c:pt idx="262">
                  <c:v>8.5</c:v>
                </c:pt>
                <c:pt idx="263">
                  <c:v>9.5</c:v>
                </c:pt>
                <c:pt idx="264">
                  <c:v>10</c:v>
                </c:pt>
                <c:pt idx="265">
                  <c:v>10.199999999999999</c:v>
                </c:pt>
                <c:pt idx="266">
                  <c:v>12</c:v>
                </c:pt>
                <c:pt idx="267">
                  <c:v>15</c:v>
                </c:pt>
                <c:pt idx="268">
                  <c:v>18</c:v>
                </c:pt>
                <c:pt idx="269">
                  <c:v>20</c:v>
                </c:pt>
                <c:pt idx="270">
                  <c:v>18</c:v>
                </c:pt>
                <c:pt idx="271">
                  <c:v>16</c:v>
                </c:pt>
                <c:pt idx="272">
                  <c:v>14</c:v>
                </c:pt>
                <c:pt idx="273">
                  <c:v>12</c:v>
                </c:pt>
                <c:pt idx="274">
                  <c:v>10</c:v>
                </c:pt>
                <c:pt idx="275">
                  <c:v>9.8000000000000007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8B-4374-B3F5-830141E22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801344"/>
        <c:axId val="101799424"/>
      </c:scatterChart>
      <c:scatterChart>
        <c:scatterStyle val="smoothMarker"/>
        <c:varyColors val="0"/>
        <c:ser>
          <c:idx val="1"/>
          <c:order val="1"/>
          <c:tx>
            <c:v>Gear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Simulation!$C$2:$C$281</c:f>
              <c:numCache>
                <c:formatCode>General</c:formatCode>
                <c:ptCount val="28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Simulation!$J$2:$J$281</c:f>
              <c:numCache>
                <c:formatCode>General</c:formatCode>
                <c:ptCount val="28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2</c:v>
                </c:pt>
                <c:pt idx="59">
                  <c:v>2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2</c:v>
                </c:pt>
                <c:pt idx="222">
                  <c:v>2</c:v>
                </c:pt>
                <c:pt idx="223">
                  <c:v>2</c:v>
                </c:pt>
                <c:pt idx="224">
                  <c:v>2</c:v>
                </c:pt>
                <c:pt idx="225">
                  <c:v>2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3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2</c:v>
                </c:pt>
                <c:pt idx="237">
                  <c:v>2</c:v>
                </c:pt>
                <c:pt idx="238">
                  <c:v>2</c:v>
                </c:pt>
                <c:pt idx="239">
                  <c:v>2</c:v>
                </c:pt>
                <c:pt idx="240">
                  <c:v>2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2</c:v>
                </c:pt>
                <c:pt idx="266">
                  <c:v>2</c:v>
                </c:pt>
                <c:pt idx="267">
                  <c:v>2</c:v>
                </c:pt>
                <c:pt idx="268">
                  <c:v>2</c:v>
                </c:pt>
                <c:pt idx="269">
                  <c:v>2</c:v>
                </c:pt>
                <c:pt idx="270">
                  <c:v>2</c:v>
                </c:pt>
                <c:pt idx="271">
                  <c:v>2</c:v>
                </c:pt>
                <c:pt idx="272">
                  <c:v>2</c:v>
                </c:pt>
                <c:pt idx="273">
                  <c:v>2</c:v>
                </c:pt>
                <c:pt idx="274">
                  <c:v>1</c:v>
                </c:pt>
                <c:pt idx="275">
                  <c:v>1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8B-4374-B3F5-830141E22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834112"/>
        <c:axId val="101832192"/>
      </c:scatterChart>
      <c:valAx>
        <c:axId val="10179942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Velocity (mph)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1801344"/>
        <c:crosses val="max"/>
        <c:crossBetween val="midCat"/>
      </c:valAx>
      <c:valAx>
        <c:axId val="101801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1799424"/>
        <c:crosses val="autoZero"/>
        <c:crossBetween val="midCat"/>
        <c:majorUnit val="10"/>
      </c:valAx>
      <c:valAx>
        <c:axId val="101832192"/>
        <c:scaling>
          <c:orientation val="minMax"/>
          <c:max val="3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Gear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1834112"/>
        <c:crosses val="autoZero"/>
        <c:crossBetween val="midCat"/>
        <c:majorUnit val="1"/>
        <c:minorUnit val="0.5"/>
      </c:valAx>
      <c:valAx>
        <c:axId val="1018341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832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GB" sz="900" b="1" i="0" u="none" strike="noStrike" kern="1200" baseline="0">
              <a:solidFill>
                <a:sysClr val="windowText" lastClr="000000"/>
              </a:solidFill>
              <a:latin typeface="Book Antiqua"/>
              <a:ea typeface="Book Antiqua"/>
              <a:cs typeface="Book Antiqu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GB" sz="1400" b="1" i="0" u="none" strike="noStrike" kern="1200" spc="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r>
              <a:rPr lang="en-US" b="1">
                <a:solidFill>
                  <a:sysClr val="windowText" lastClr="000000"/>
                </a:solidFill>
              </a:rPr>
              <a:t>Acceleration &amp; Deceleration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0D0D0D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Simulation!$I$2:$I$278</c:f>
              <c:numCache>
                <c:formatCode>General</c:formatCode>
                <c:ptCount val="277"/>
                <c:pt idx="0">
                  <c:v>0</c:v>
                </c:pt>
                <c:pt idx="1">
                  <c:v>2.5481237762300286</c:v>
                </c:pt>
                <c:pt idx="2">
                  <c:v>0.53644711078526885</c:v>
                </c:pt>
                <c:pt idx="3">
                  <c:v>0.49174318488649682</c:v>
                </c:pt>
                <c:pt idx="4">
                  <c:v>0.89407851797544868</c:v>
                </c:pt>
                <c:pt idx="5">
                  <c:v>4.4703925898772923E-2</c:v>
                </c:pt>
                <c:pt idx="6">
                  <c:v>0.40233533308895275</c:v>
                </c:pt>
                <c:pt idx="7">
                  <c:v>0.4470392589877239</c:v>
                </c:pt>
                <c:pt idx="8">
                  <c:v>0.89407851797544957</c:v>
                </c:pt>
                <c:pt idx="9">
                  <c:v>0.8940785179754478</c:v>
                </c:pt>
                <c:pt idx="10">
                  <c:v>0.89407851797544957</c:v>
                </c:pt>
                <c:pt idx="11">
                  <c:v>0.8940785179754478</c:v>
                </c:pt>
                <c:pt idx="12">
                  <c:v>8.9407851797545845E-2</c:v>
                </c:pt>
                <c:pt idx="13">
                  <c:v>0.8046706661779055</c:v>
                </c:pt>
                <c:pt idx="14">
                  <c:v>0.44703925898772567</c:v>
                </c:pt>
                <c:pt idx="15">
                  <c:v>0.67055888848158673</c:v>
                </c:pt>
                <c:pt idx="16">
                  <c:v>0.67055888848158673</c:v>
                </c:pt>
                <c:pt idx="17">
                  <c:v>0.8940785179754478</c:v>
                </c:pt>
                <c:pt idx="18">
                  <c:v>0.8940785179754478</c:v>
                </c:pt>
                <c:pt idx="19">
                  <c:v>0</c:v>
                </c:pt>
                <c:pt idx="20">
                  <c:v>-0.8940785179754478</c:v>
                </c:pt>
                <c:pt idx="21">
                  <c:v>-0.89407851797545135</c:v>
                </c:pt>
                <c:pt idx="22">
                  <c:v>-0.8940785179754478</c:v>
                </c:pt>
                <c:pt idx="23">
                  <c:v>-0.8940785179754478</c:v>
                </c:pt>
                <c:pt idx="24">
                  <c:v>-0.8940785179754478</c:v>
                </c:pt>
                <c:pt idx="25">
                  <c:v>-8.9407851797545845E-2</c:v>
                </c:pt>
                <c:pt idx="26">
                  <c:v>-0.80467066617790195</c:v>
                </c:pt>
                <c:pt idx="27">
                  <c:v>-0.44703925898772567</c:v>
                </c:pt>
                <c:pt idx="28">
                  <c:v>-0.4470392589877239</c:v>
                </c:pt>
                <c:pt idx="29">
                  <c:v>-0.4470392589877239</c:v>
                </c:pt>
                <c:pt idx="30">
                  <c:v>-0.4470392589877239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0.4470392589877239</c:v>
                </c:pt>
                <c:pt idx="46">
                  <c:v>0.67055888848158673</c:v>
                </c:pt>
                <c:pt idx="47">
                  <c:v>0.67055888848158673</c:v>
                </c:pt>
                <c:pt idx="48">
                  <c:v>0.8940785179754478</c:v>
                </c:pt>
                <c:pt idx="49">
                  <c:v>8.9407851797545845E-2</c:v>
                </c:pt>
                <c:pt idx="50">
                  <c:v>0.58115103668404444</c:v>
                </c:pt>
                <c:pt idx="51">
                  <c:v>0.44703925898772212</c:v>
                </c:pt>
                <c:pt idx="52">
                  <c:v>0.67055888848158673</c:v>
                </c:pt>
                <c:pt idx="53">
                  <c:v>0.8940785179754478</c:v>
                </c:pt>
                <c:pt idx="54">
                  <c:v>0.22351962949386106</c:v>
                </c:pt>
                <c:pt idx="55">
                  <c:v>-0.53644711078526797</c:v>
                </c:pt>
                <c:pt idx="56">
                  <c:v>-1.0281902956717666</c:v>
                </c:pt>
                <c:pt idx="57">
                  <c:v>-0.67055888848158673</c:v>
                </c:pt>
                <c:pt idx="58">
                  <c:v>-0.67055888848158673</c:v>
                </c:pt>
                <c:pt idx="59">
                  <c:v>-8.9407851797545845E-2</c:v>
                </c:pt>
                <c:pt idx="60">
                  <c:v>-0.35763140719017983</c:v>
                </c:pt>
                <c:pt idx="61">
                  <c:v>-0.44703925898772567</c:v>
                </c:pt>
                <c:pt idx="62">
                  <c:v>-0.67055888848158673</c:v>
                </c:pt>
                <c:pt idx="63">
                  <c:v>-0.22351962949386106</c:v>
                </c:pt>
                <c:pt idx="64">
                  <c:v>-0.22351962949386284</c:v>
                </c:pt>
                <c:pt idx="65">
                  <c:v>-0.22351962949386284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0.8940785179754478</c:v>
                </c:pt>
                <c:pt idx="82">
                  <c:v>0.67055888848158496</c:v>
                </c:pt>
                <c:pt idx="83">
                  <c:v>0.67055888848158673</c:v>
                </c:pt>
                <c:pt idx="84">
                  <c:v>8.9407851797545845E-2</c:v>
                </c:pt>
                <c:pt idx="85">
                  <c:v>0.35763140719017983</c:v>
                </c:pt>
                <c:pt idx="86">
                  <c:v>0.44703925898772567</c:v>
                </c:pt>
                <c:pt idx="87">
                  <c:v>0.44703925898772567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-0.44703925898772212</c:v>
                </c:pt>
                <c:pt idx="94">
                  <c:v>-0.44703925898772567</c:v>
                </c:pt>
                <c:pt idx="95">
                  <c:v>-0.44703925898772567</c:v>
                </c:pt>
                <c:pt idx="96">
                  <c:v>-8.9407851797545845E-2</c:v>
                </c:pt>
                <c:pt idx="97">
                  <c:v>-0.35763140719017983</c:v>
                </c:pt>
                <c:pt idx="98">
                  <c:v>-0.44703925898772567</c:v>
                </c:pt>
                <c:pt idx="99">
                  <c:v>-0.67055888848158673</c:v>
                </c:pt>
                <c:pt idx="100">
                  <c:v>-0.67055888848158673</c:v>
                </c:pt>
                <c:pt idx="101">
                  <c:v>-0.22351962949386106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0.4470392589877239</c:v>
                </c:pt>
                <c:pt idx="112">
                  <c:v>0.67055888848158673</c:v>
                </c:pt>
                <c:pt idx="113">
                  <c:v>0.22351962949386284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-0.67055888848158673</c:v>
                </c:pt>
                <c:pt idx="119">
                  <c:v>-0.4470392589877239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0.44703925898772567</c:v>
                </c:pt>
                <c:pt idx="128">
                  <c:v>0.67055888848158496</c:v>
                </c:pt>
                <c:pt idx="129">
                  <c:v>0.58115103668404444</c:v>
                </c:pt>
                <c:pt idx="130">
                  <c:v>0.53644711078526797</c:v>
                </c:pt>
                <c:pt idx="131">
                  <c:v>-8.9407851797545845E-2</c:v>
                </c:pt>
                <c:pt idx="132">
                  <c:v>-0.80467066617790195</c:v>
                </c:pt>
                <c:pt idx="133">
                  <c:v>-0.8940785179754478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0.4470392589877239</c:v>
                </c:pt>
                <c:pt idx="141">
                  <c:v>0.4470392589877239</c:v>
                </c:pt>
                <c:pt idx="142">
                  <c:v>-0.44703925898772567</c:v>
                </c:pt>
                <c:pt idx="143">
                  <c:v>-0.67055888848158496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0.22351962949386106</c:v>
                </c:pt>
                <c:pt idx="149">
                  <c:v>0.22351962949386284</c:v>
                </c:pt>
                <c:pt idx="150">
                  <c:v>0.53644711078526797</c:v>
                </c:pt>
                <c:pt idx="151">
                  <c:v>0.53644711078526974</c:v>
                </c:pt>
                <c:pt idx="152">
                  <c:v>0.4917431848864986</c:v>
                </c:pt>
                <c:pt idx="153">
                  <c:v>8.9407851797545845E-2</c:v>
                </c:pt>
                <c:pt idx="154">
                  <c:v>0.35763140719017983</c:v>
                </c:pt>
                <c:pt idx="155">
                  <c:v>0.8940785179754478</c:v>
                </c:pt>
                <c:pt idx="156">
                  <c:v>0.8940785179754478</c:v>
                </c:pt>
                <c:pt idx="157">
                  <c:v>0.89407851797545135</c:v>
                </c:pt>
                <c:pt idx="158">
                  <c:v>0.8940785179754478</c:v>
                </c:pt>
                <c:pt idx="159">
                  <c:v>0.44703925898772567</c:v>
                </c:pt>
                <c:pt idx="160">
                  <c:v>0</c:v>
                </c:pt>
                <c:pt idx="161">
                  <c:v>0</c:v>
                </c:pt>
                <c:pt idx="162">
                  <c:v>-0.8940785179754478</c:v>
                </c:pt>
                <c:pt idx="163">
                  <c:v>-0.89407851797545135</c:v>
                </c:pt>
                <c:pt idx="164">
                  <c:v>-0.8940785179754478</c:v>
                </c:pt>
                <c:pt idx="165">
                  <c:v>-0.8940785179754478</c:v>
                </c:pt>
                <c:pt idx="166">
                  <c:v>-0.44703925898772567</c:v>
                </c:pt>
                <c:pt idx="167">
                  <c:v>-0.44703925898772567</c:v>
                </c:pt>
                <c:pt idx="168">
                  <c:v>-8.9407851797545845E-2</c:v>
                </c:pt>
                <c:pt idx="169">
                  <c:v>-1.0281902956717666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0.22351962949386284</c:v>
                </c:pt>
                <c:pt idx="181">
                  <c:v>0.44703925898772212</c:v>
                </c:pt>
                <c:pt idx="182">
                  <c:v>0.44703925898772567</c:v>
                </c:pt>
                <c:pt idx="183">
                  <c:v>0</c:v>
                </c:pt>
                <c:pt idx="184">
                  <c:v>-0.44703925898772212</c:v>
                </c:pt>
                <c:pt idx="185">
                  <c:v>-0.44703925898772567</c:v>
                </c:pt>
                <c:pt idx="186">
                  <c:v>-0.53644711078526797</c:v>
                </c:pt>
                <c:pt idx="187">
                  <c:v>-0.53644711078526974</c:v>
                </c:pt>
                <c:pt idx="188">
                  <c:v>-0.80467066617790373</c:v>
                </c:pt>
                <c:pt idx="189">
                  <c:v>-0.62585496258281381</c:v>
                </c:pt>
                <c:pt idx="190">
                  <c:v>-0.62585496258281381</c:v>
                </c:pt>
                <c:pt idx="191">
                  <c:v>-0.4470392589877239</c:v>
                </c:pt>
                <c:pt idx="192">
                  <c:v>-8.9407851797544069E-2</c:v>
                </c:pt>
                <c:pt idx="193">
                  <c:v>-0.58115103668404267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0.44703925898772479</c:v>
                </c:pt>
                <c:pt idx="207">
                  <c:v>0.22351962949386284</c:v>
                </c:pt>
                <c:pt idx="208">
                  <c:v>0</c:v>
                </c:pt>
                <c:pt idx="209">
                  <c:v>0</c:v>
                </c:pt>
                <c:pt idx="210">
                  <c:v>-0.4470392589877239</c:v>
                </c:pt>
                <c:pt idx="211">
                  <c:v>-0.4470392589877239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0.44703925898772479</c:v>
                </c:pt>
                <c:pt idx="220">
                  <c:v>0.4470392589877239</c:v>
                </c:pt>
                <c:pt idx="221">
                  <c:v>8.9407851797545845E-2</c:v>
                </c:pt>
                <c:pt idx="222">
                  <c:v>1.0281902956717648</c:v>
                </c:pt>
                <c:pt idx="223">
                  <c:v>1.1175981474693106</c:v>
                </c:pt>
                <c:pt idx="224">
                  <c:v>1.1175981474693106</c:v>
                </c:pt>
                <c:pt idx="225">
                  <c:v>1.1175981474693124</c:v>
                </c:pt>
                <c:pt idx="226">
                  <c:v>8.9407851797545845E-2</c:v>
                </c:pt>
                <c:pt idx="227">
                  <c:v>0.35763140719017983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0.22351962949386106</c:v>
                </c:pt>
                <c:pt idx="234">
                  <c:v>0.22351962949386461</c:v>
                </c:pt>
                <c:pt idx="235">
                  <c:v>-0.67055888848158673</c:v>
                </c:pt>
                <c:pt idx="236">
                  <c:v>-0.31292748129140691</c:v>
                </c:pt>
                <c:pt idx="237">
                  <c:v>-0.80467066617790195</c:v>
                </c:pt>
                <c:pt idx="238">
                  <c:v>-0.8940785179754478</c:v>
                </c:pt>
                <c:pt idx="239">
                  <c:v>-0.89407851797544957</c:v>
                </c:pt>
                <c:pt idx="240">
                  <c:v>-0.8940785179754478</c:v>
                </c:pt>
                <c:pt idx="241">
                  <c:v>-0.89407851797544957</c:v>
                </c:pt>
                <c:pt idx="242">
                  <c:v>-4.4703925898772923E-2</c:v>
                </c:pt>
                <c:pt idx="243">
                  <c:v>-0.62585496258281381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0.22351962949386195</c:v>
                </c:pt>
                <c:pt idx="254">
                  <c:v>0.22351962949386106</c:v>
                </c:pt>
                <c:pt idx="255">
                  <c:v>-0.4470392589877239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0.44703925898772479</c:v>
                </c:pt>
                <c:pt idx="264">
                  <c:v>0.22351962949386284</c:v>
                </c:pt>
                <c:pt idx="265">
                  <c:v>8.9407851797545845E-2</c:v>
                </c:pt>
                <c:pt idx="266">
                  <c:v>0.80467066617790373</c:v>
                </c:pt>
                <c:pt idx="267">
                  <c:v>1.3411177769631717</c:v>
                </c:pt>
                <c:pt idx="268">
                  <c:v>1.3411177769631735</c:v>
                </c:pt>
                <c:pt idx="269">
                  <c:v>0.8940785179754478</c:v>
                </c:pt>
                <c:pt idx="270">
                  <c:v>-0.8940785179754478</c:v>
                </c:pt>
                <c:pt idx="271">
                  <c:v>-0.8940785179754478</c:v>
                </c:pt>
                <c:pt idx="272">
                  <c:v>-0.89407851797544957</c:v>
                </c:pt>
                <c:pt idx="273">
                  <c:v>-0.8940785179754478</c:v>
                </c:pt>
                <c:pt idx="274">
                  <c:v>-0.89407851797544957</c:v>
                </c:pt>
                <c:pt idx="275">
                  <c:v>-8.9407851797544069E-2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DEA-41C9-AD31-9D7BB6A0D2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756864"/>
        <c:axId val="100791808"/>
      </c:scatterChart>
      <c:valAx>
        <c:axId val="100756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0791808"/>
        <c:crosses val="autoZero"/>
        <c:crossBetween val="midCat"/>
        <c:majorUnit val="10"/>
      </c:valAx>
      <c:valAx>
        <c:axId val="100791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Acceleration (m/s</a:t>
                </a:r>
                <a:r>
                  <a:rPr lang="en-US" b="1" baseline="30000">
                    <a:solidFill>
                      <a:sysClr val="windowText" lastClr="000000"/>
                    </a:solidFill>
                  </a:rPr>
                  <a:t>2</a:t>
                </a:r>
                <a:r>
                  <a:rPr lang="en-US" b="1" baseline="0">
                    <a:solidFill>
                      <a:sysClr val="windowText" lastClr="000000"/>
                    </a:solidFill>
                  </a:rPr>
                  <a:t>)</a:t>
                </a:r>
                <a:endParaRPr lang="en-US" b="1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075686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GB" sz="1400" b="1" i="0" u="none" strike="noStrike" kern="1200" spc="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r>
              <a:rPr lang="en-US" b="1">
                <a:solidFill>
                  <a:sysClr val="windowText" lastClr="000000"/>
                </a:solidFill>
              </a:rPr>
              <a:t>Resistive Forces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Gradient</c:v>
          </c:tx>
          <c:spPr>
            <a:ln w="19050" cap="rnd">
              <a:solidFill>
                <a:srgbClr val="ED7D31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Simulation!$K$2:$K$278</c:f>
              <c:numCache>
                <c:formatCode>General</c:formatCode>
                <c:ptCount val="27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709.55606786400017</c:v>
                </c:pt>
                <c:pt idx="89">
                  <c:v>709.55606786400017</c:v>
                </c:pt>
                <c:pt idx="90">
                  <c:v>709.55606786400017</c:v>
                </c:pt>
                <c:pt idx="91">
                  <c:v>709.55606786400017</c:v>
                </c:pt>
                <c:pt idx="92">
                  <c:v>709.55606786400017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-1042.6338873720001</c:v>
                </c:pt>
                <c:pt idx="155">
                  <c:v>-1042.6338873720001</c:v>
                </c:pt>
                <c:pt idx="156">
                  <c:v>-1042.6338873720001</c:v>
                </c:pt>
                <c:pt idx="157">
                  <c:v>-1042.6338873720001</c:v>
                </c:pt>
                <c:pt idx="158">
                  <c:v>-1042.6338873720001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604.07460105300004</c:v>
                </c:pt>
                <c:pt idx="229">
                  <c:v>604.07460105300004</c:v>
                </c:pt>
                <c:pt idx="230">
                  <c:v>604.07460105300004</c:v>
                </c:pt>
                <c:pt idx="231">
                  <c:v>604.07460105300004</c:v>
                </c:pt>
                <c:pt idx="232">
                  <c:v>604.07460105300004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-830.596178979</c:v>
                </c:pt>
                <c:pt idx="267">
                  <c:v>-830.596178979</c:v>
                </c:pt>
                <c:pt idx="268">
                  <c:v>-830.596178979</c:v>
                </c:pt>
                <c:pt idx="269">
                  <c:v>-830.596178979</c:v>
                </c:pt>
                <c:pt idx="270">
                  <c:v>-830.596178979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5AA-44DA-BE09-BAABEA029C3B}"/>
            </c:ext>
          </c:extLst>
        </c:ser>
        <c:ser>
          <c:idx val="1"/>
          <c:order val="1"/>
          <c:tx>
            <c:v>Aero Drag</c:v>
          </c:tx>
          <c:spPr>
            <a:ln w="1905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Simulation!$L$2:$L$278</c:f>
              <c:numCache>
                <c:formatCode>General</c:formatCode>
                <c:ptCount val="277"/>
                <c:pt idx="0">
                  <c:v>0</c:v>
                </c:pt>
                <c:pt idx="1">
                  <c:v>0.71460779450514067</c:v>
                </c:pt>
                <c:pt idx="2">
                  <c:v>2.1351604760888061</c:v>
                </c:pt>
                <c:pt idx="3">
                  <c:v>3.6750320667737468</c:v>
                </c:pt>
                <c:pt idx="4">
                  <c:v>7.0573003562586658</c:v>
                </c:pt>
                <c:pt idx="5">
                  <c:v>7.2461436690882381</c:v>
                </c:pt>
                <c:pt idx="6">
                  <c:v>9.0302901917915381</c:v>
                </c:pt>
                <c:pt idx="7">
                  <c:v>11.19118382118468</c:v>
                </c:pt>
                <c:pt idx="8">
                  <c:v>16.076682461551783</c:v>
                </c:pt>
                <c:pt idx="9">
                  <c:v>21.713796277359986</c:v>
                </c:pt>
                <c:pt idx="10">
                  <c:v>28.102525268609277</c:v>
                </c:pt>
                <c:pt idx="11">
                  <c:v>35.24286943529966</c:v>
                </c:pt>
                <c:pt idx="12">
                  <c:v>35.998242686617957</c:v>
                </c:pt>
                <c:pt idx="13">
                  <c:v>43.134828777431153</c:v>
                </c:pt>
                <c:pt idx="14">
                  <c:v>47.362664139287297</c:v>
                </c:pt>
                <c:pt idx="15">
                  <c:v>54.056736795559537</c:v>
                </c:pt>
                <c:pt idx="16">
                  <c:v>61.173592988017361</c:v>
                </c:pt>
                <c:pt idx="17">
                  <c:v>71.320397856472141</c:v>
                </c:pt>
                <c:pt idx="18">
                  <c:v>82.218817900367981</c:v>
                </c:pt>
                <c:pt idx="19">
                  <c:v>82.218817900367981</c:v>
                </c:pt>
                <c:pt idx="20">
                  <c:v>71.320397856472141</c:v>
                </c:pt>
                <c:pt idx="21">
                  <c:v>61.173592988017361</c:v>
                </c:pt>
                <c:pt idx="22">
                  <c:v>51.77840329500372</c:v>
                </c:pt>
                <c:pt idx="23">
                  <c:v>43.134828777431153</c:v>
                </c:pt>
                <c:pt idx="24">
                  <c:v>35.24286943529966</c:v>
                </c:pt>
                <c:pt idx="25">
                  <c:v>34.49501233573578</c:v>
                </c:pt>
                <c:pt idx="26">
                  <c:v>28.102525268609277</c:v>
                </c:pt>
                <c:pt idx="27">
                  <c:v>24.81420887605449</c:v>
                </c:pt>
                <c:pt idx="28">
                  <c:v>21.713796277359986</c:v>
                </c:pt>
                <c:pt idx="29">
                  <c:v>18.801287472525743</c:v>
                </c:pt>
                <c:pt idx="30">
                  <c:v>16.076682461551783</c:v>
                </c:pt>
                <c:pt idx="31">
                  <c:v>16.076682461551783</c:v>
                </c:pt>
                <c:pt idx="32">
                  <c:v>16.076682461551783</c:v>
                </c:pt>
                <c:pt idx="33">
                  <c:v>16.076682461551783</c:v>
                </c:pt>
                <c:pt idx="34">
                  <c:v>16.076682461551783</c:v>
                </c:pt>
                <c:pt idx="35">
                  <c:v>16.076682461551783</c:v>
                </c:pt>
                <c:pt idx="36">
                  <c:v>16.076682461551783</c:v>
                </c:pt>
                <c:pt idx="37">
                  <c:v>16.076682461551783</c:v>
                </c:pt>
                <c:pt idx="38">
                  <c:v>16.076682461551783</c:v>
                </c:pt>
                <c:pt idx="39">
                  <c:v>16.076682461551783</c:v>
                </c:pt>
                <c:pt idx="40">
                  <c:v>16.076682461551783</c:v>
                </c:pt>
                <c:pt idx="41">
                  <c:v>16.076682461551783</c:v>
                </c:pt>
                <c:pt idx="42">
                  <c:v>16.076682461551783</c:v>
                </c:pt>
                <c:pt idx="43">
                  <c:v>16.076682461551783</c:v>
                </c:pt>
                <c:pt idx="44">
                  <c:v>16.076682461551783</c:v>
                </c:pt>
                <c:pt idx="45">
                  <c:v>18.801287472525743</c:v>
                </c:pt>
                <c:pt idx="46">
                  <c:v>23.240514602474704</c:v>
                </c:pt>
                <c:pt idx="47">
                  <c:v>28.102525268609277</c:v>
                </c:pt>
                <c:pt idx="48">
                  <c:v>35.24286943529966</c:v>
                </c:pt>
                <c:pt idx="49">
                  <c:v>35.998242686617957</c:v>
                </c:pt>
                <c:pt idx="50">
                  <c:v>41.091375019200676</c:v>
                </c:pt>
                <c:pt idx="51">
                  <c:v>45.225258484126684</c:v>
                </c:pt>
                <c:pt idx="52">
                  <c:v>51.77840329500372</c:v>
                </c:pt>
                <c:pt idx="53">
                  <c:v>61.173592988017361</c:v>
                </c:pt>
                <c:pt idx="54">
                  <c:v>63.639830282433465</c:v>
                </c:pt>
                <c:pt idx="55">
                  <c:v>57.79978036925619</c:v>
                </c:pt>
                <c:pt idx="56">
                  <c:v>47.362664139287297</c:v>
                </c:pt>
                <c:pt idx="57">
                  <c:v>41.091375019200676</c:v>
                </c:pt>
                <c:pt idx="58">
                  <c:v>35.24286943529966</c:v>
                </c:pt>
                <c:pt idx="59">
                  <c:v>34.49501233573578</c:v>
                </c:pt>
                <c:pt idx="60">
                  <c:v>31.578745455024336</c:v>
                </c:pt>
                <c:pt idx="61">
                  <c:v>28.102525268609277</c:v>
                </c:pt>
                <c:pt idx="62">
                  <c:v>23.240514602474704</c:v>
                </c:pt>
                <c:pt idx="63">
                  <c:v>21.713796277359986</c:v>
                </c:pt>
                <c:pt idx="64">
                  <c:v>20.234053900710336</c:v>
                </c:pt>
                <c:pt idx="65">
                  <c:v>18.801287472525743</c:v>
                </c:pt>
                <c:pt idx="66">
                  <c:v>18.801287472525743</c:v>
                </c:pt>
                <c:pt idx="67">
                  <c:v>18.801287472525743</c:v>
                </c:pt>
                <c:pt idx="68">
                  <c:v>18.801287472525743</c:v>
                </c:pt>
                <c:pt idx="69">
                  <c:v>18.801287472525743</c:v>
                </c:pt>
                <c:pt idx="70">
                  <c:v>18.801287472525743</c:v>
                </c:pt>
                <c:pt idx="71">
                  <c:v>18.801287472525743</c:v>
                </c:pt>
                <c:pt idx="72">
                  <c:v>18.801287472525743</c:v>
                </c:pt>
                <c:pt idx="73">
                  <c:v>18.801287472525743</c:v>
                </c:pt>
                <c:pt idx="74">
                  <c:v>18.801287472525743</c:v>
                </c:pt>
                <c:pt idx="75">
                  <c:v>18.801287472525743</c:v>
                </c:pt>
                <c:pt idx="76">
                  <c:v>18.801287472525743</c:v>
                </c:pt>
                <c:pt idx="77">
                  <c:v>18.801287472525743</c:v>
                </c:pt>
                <c:pt idx="78">
                  <c:v>18.801287472525743</c:v>
                </c:pt>
                <c:pt idx="79">
                  <c:v>18.801287472525743</c:v>
                </c:pt>
                <c:pt idx="80">
                  <c:v>18.801287472525743</c:v>
                </c:pt>
                <c:pt idx="81">
                  <c:v>24.81420887605449</c:v>
                </c:pt>
                <c:pt idx="82">
                  <c:v>29.817147387584267</c:v>
                </c:pt>
                <c:pt idx="83">
                  <c:v>35.24286943529966</c:v>
                </c:pt>
                <c:pt idx="84">
                  <c:v>35.998242686617957</c:v>
                </c:pt>
                <c:pt idx="85">
                  <c:v>39.094897209435267</c:v>
                </c:pt>
                <c:pt idx="86">
                  <c:v>43.134828777431153</c:v>
                </c:pt>
                <c:pt idx="87">
                  <c:v>47.362664139287297</c:v>
                </c:pt>
                <c:pt idx="88">
                  <c:v>47.362664139287297</c:v>
                </c:pt>
                <c:pt idx="89">
                  <c:v>47.362664139287297</c:v>
                </c:pt>
                <c:pt idx="90">
                  <c:v>47.362664139287297</c:v>
                </c:pt>
                <c:pt idx="91">
                  <c:v>47.362664139287297</c:v>
                </c:pt>
                <c:pt idx="92">
                  <c:v>47.362664139287297</c:v>
                </c:pt>
                <c:pt idx="93">
                  <c:v>43.134828777431153</c:v>
                </c:pt>
                <c:pt idx="94">
                  <c:v>39.094897209435267</c:v>
                </c:pt>
                <c:pt idx="95">
                  <c:v>35.24286943529966</c:v>
                </c:pt>
                <c:pt idx="96">
                  <c:v>34.49501233573578</c:v>
                </c:pt>
                <c:pt idx="97">
                  <c:v>31.578745455024336</c:v>
                </c:pt>
                <c:pt idx="98">
                  <c:v>28.102525268609277</c:v>
                </c:pt>
                <c:pt idx="99">
                  <c:v>23.240514602474704</c:v>
                </c:pt>
                <c:pt idx="100">
                  <c:v>18.801287472525743</c:v>
                </c:pt>
                <c:pt idx="101">
                  <c:v>17.415496992806233</c:v>
                </c:pt>
                <c:pt idx="102">
                  <c:v>17.415496992806233</c:v>
                </c:pt>
                <c:pt idx="103">
                  <c:v>17.415496992806233</c:v>
                </c:pt>
                <c:pt idx="104">
                  <c:v>17.415496992806233</c:v>
                </c:pt>
                <c:pt idx="105">
                  <c:v>17.415496992806233</c:v>
                </c:pt>
                <c:pt idx="106">
                  <c:v>17.415496992806233</c:v>
                </c:pt>
                <c:pt idx="107">
                  <c:v>17.415496992806233</c:v>
                </c:pt>
                <c:pt idx="108">
                  <c:v>17.415496992806233</c:v>
                </c:pt>
                <c:pt idx="109">
                  <c:v>17.415496992806233</c:v>
                </c:pt>
                <c:pt idx="110">
                  <c:v>17.415496992806233</c:v>
                </c:pt>
                <c:pt idx="111">
                  <c:v>20.234053900710336</c:v>
                </c:pt>
                <c:pt idx="112">
                  <c:v>24.81420887605449</c:v>
                </c:pt>
                <c:pt idx="113">
                  <c:v>26.434879098099351</c:v>
                </c:pt>
                <c:pt idx="114">
                  <c:v>26.434879098099351</c:v>
                </c:pt>
                <c:pt idx="115">
                  <c:v>26.434879098099351</c:v>
                </c:pt>
                <c:pt idx="116">
                  <c:v>26.434879098099351</c:v>
                </c:pt>
                <c:pt idx="117">
                  <c:v>26.434879098099351</c:v>
                </c:pt>
                <c:pt idx="118">
                  <c:v>21.713796277359986</c:v>
                </c:pt>
                <c:pt idx="119">
                  <c:v>18.801287472525743</c:v>
                </c:pt>
                <c:pt idx="120">
                  <c:v>18.801287472525743</c:v>
                </c:pt>
                <c:pt idx="121">
                  <c:v>18.801287472525743</c:v>
                </c:pt>
                <c:pt idx="122">
                  <c:v>18.801287472525743</c:v>
                </c:pt>
                <c:pt idx="123">
                  <c:v>18.801287472525743</c:v>
                </c:pt>
                <c:pt idx="124">
                  <c:v>18.801287472525743</c:v>
                </c:pt>
                <c:pt idx="125">
                  <c:v>18.801287472525743</c:v>
                </c:pt>
                <c:pt idx="126">
                  <c:v>18.801287472525743</c:v>
                </c:pt>
                <c:pt idx="127">
                  <c:v>21.713796277359986</c:v>
                </c:pt>
                <c:pt idx="128">
                  <c:v>26.434879098099351</c:v>
                </c:pt>
                <c:pt idx="129">
                  <c:v>30.868469114232507</c:v>
                </c:pt>
                <c:pt idx="130">
                  <c:v>35.24286943529966</c:v>
                </c:pt>
                <c:pt idx="131">
                  <c:v>34.49501233573578</c:v>
                </c:pt>
                <c:pt idx="132">
                  <c:v>28.102525268609277</c:v>
                </c:pt>
                <c:pt idx="133">
                  <c:v>21.713796277359986</c:v>
                </c:pt>
                <c:pt idx="134">
                  <c:v>21.713796277359986</c:v>
                </c:pt>
                <c:pt idx="135">
                  <c:v>21.713796277359986</c:v>
                </c:pt>
                <c:pt idx="136">
                  <c:v>21.713796277359986</c:v>
                </c:pt>
                <c:pt idx="137">
                  <c:v>21.713796277359986</c:v>
                </c:pt>
                <c:pt idx="138">
                  <c:v>21.713796277359986</c:v>
                </c:pt>
                <c:pt idx="139">
                  <c:v>21.713796277359986</c:v>
                </c:pt>
                <c:pt idx="140">
                  <c:v>24.81420887605449</c:v>
                </c:pt>
                <c:pt idx="141">
                  <c:v>28.102525268609277</c:v>
                </c:pt>
                <c:pt idx="142">
                  <c:v>24.81420887605449</c:v>
                </c:pt>
                <c:pt idx="143">
                  <c:v>20.234053900710336</c:v>
                </c:pt>
                <c:pt idx="144">
                  <c:v>20.234053900710336</c:v>
                </c:pt>
                <c:pt idx="145">
                  <c:v>20.234053900710336</c:v>
                </c:pt>
                <c:pt idx="146">
                  <c:v>20.234053900710336</c:v>
                </c:pt>
                <c:pt idx="147">
                  <c:v>20.234053900710336</c:v>
                </c:pt>
                <c:pt idx="148">
                  <c:v>21.713796277359986</c:v>
                </c:pt>
                <c:pt idx="149">
                  <c:v>23.240514602474704</c:v>
                </c:pt>
                <c:pt idx="150">
                  <c:v>27.096300452487512</c:v>
                </c:pt>
                <c:pt idx="151">
                  <c:v>31.222667765659114</c:v>
                </c:pt>
                <c:pt idx="152">
                  <c:v>35.24286943529966</c:v>
                </c:pt>
                <c:pt idx="153">
                  <c:v>35.998242686617957</c:v>
                </c:pt>
                <c:pt idx="154">
                  <c:v>39.094897209435267</c:v>
                </c:pt>
                <c:pt idx="155">
                  <c:v>47.362664139287297</c:v>
                </c:pt>
                <c:pt idx="156">
                  <c:v>56.382046244580415</c:v>
                </c:pt>
                <c:pt idx="157">
                  <c:v>66.153043525314629</c:v>
                </c:pt>
                <c:pt idx="158">
                  <c:v>76.675655981489925</c:v>
                </c:pt>
                <c:pt idx="159">
                  <c:v>82.218817900367981</c:v>
                </c:pt>
                <c:pt idx="160">
                  <c:v>82.218817900367981</c:v>
                </c:pt>
                <c:pt idx="161">
                  <c:v>82.218817900367981</c:v>
                </c:pt>
                <c:pt idx="162">
                  <c:v>71.320397856472141</c:v>
                </c:pt>
                <c:pt idx="163">
                  <c:v>61.173592988017361</c:v>
                </c:pt>
                <c:pt idx="164">
                  <c:v>51.77840329500372</c:v>
                </c:pt>
                <c:pt idx="165">
                  <c:v>43.134828777431153</c:v>
                </c:pt>
                <c:pt idx="166">
                  <c:v>39.094897209435267</c:v>
                </c:pt>
                <c:pt idx="167">
                  <c:v>35.24286943529966</c:v>
                </c:pt>
                <c:pt idx="168">
                  <c:v>34.49501233573578</c:v>
                </c:pt>
                <c:pt idx="169">
                  <c:v>26.434879098099351</c:v>
                </c:pt>
                <c:pt idx="170">
                  <c:v>26.434879098099351</c:v>
                </c:pt>
                <c:pt idx="171">
                  <c:v>26.434879098099351</c:v>
                </c:pt>
                <c:pt idx="172">
                  <c:v>26.434879098099351</c:v>
                </c:pt>
                <c:pt idx="173">
                  <c:v>26.434879098099351</c:v>
                </c:pt>
                <c:pt idx="174">
                  <c:v>26.434879098099351</c:v>
                </c:pt>
                <c:pt idx="175">
                  <c:v>26.434879098099351</c:v>
                </c:pt>
                <c:pt idx="176">
                  <c:v>26.434879098099351</c:v>
                </c:pt>
                <c:pt idx="177">
                  <c:v>26.434879098099351</c:v>
                </c:pt>
                <c:pt idx="178">
                  <c:v>26.434879098099351</c:v>
                </c:pt>
                <c:pt idx="179">
                  <c:v>26.434879098099351</c:v>
                </c:pt>
                <c:pt idx="180">
                  <c:v>28.102525268609277</c:v>
                </c:pt>
                <c:pt idx="181">
                  <c:v>31.578745455024336</c:v>
                </c:pt>
                <c:pt idx="182">
                  <c:v>35.24286943529966</c:v>
                </c:pt>
                <c:pt idx="183">
                  <c:v>35.24286943529966</c:v>
                </c:pt>
                <c:pt idx="184">
                  <c:v>31.578745455024336</c:v>
                </c:pt>
                <c:pt idx="185">
                  <c:v>28.102525268609277</c:v>
                </c:pt>
                <c:pt idx="186">
                  <c:v>24.179094052806775</c:v>
                </c:pt>
                <c:pt idx="187">
                  <c:v>20.526244300163057</c:v>
                </c:pt>
                <c:pt idx="188">
                  <c:v>15.554309914620223</c:v>
                </c:pt>
                <c:pt idx="189">
                  <c:v>12.108154335222814</c:v>
                </c:pt>
                <c:pt idx="190">
                  <c:v>9.0302901917915381</c:v>
                </c:pt>
                <c:pt idx="191">
                  <c:v>7.0573003562586658</c:v>
                </c:pt>
                <c:pt idx="192">
                  <c:v>6.6852508444153269</c:v>
                </c:pt>
                <c:pt idx="193">
                  <c:v>4.4501352164473733</c:v>
                </c:pt>
                <c:pt idx="194">
                  <c:v>4.4501352164473733</c:v>
                </c:pt>
                <c:pt idx="195">
                  <c:v>4.4501352164473733</c:v>
                </c:pt>
                <c:pt idx="196">
                  <c:v>4.4501352164473733</c:v>
                </c:pt>
                <c:pt idx="197">
                  <c:v>4.4501352164473733</c:v>
                </c:pt>
                <c:pt idx="198">
                  <c:v>4.4501352164473733</c:v>
                </c:pt>
                <c:pt idx="199">
                  <c:v>4.4501352164473733</c:v>
                </c:pt>
                <c:pt idx="200">
                  <c:v>4.4501352164473733</c:v>
                </c:pt>
                <c:pt idx="201">
                  <c:v>4.4501352164473733</c:v>
                </c:pt>
                <c:pt idx="202">
                  <c:v>4.4501352164473733</c:v>
                </c:pt>
                <c:pt idx="203">
                  <c:v>4.4501352164473733</c:v>
                </c:pt>
                <c:pt idx="204">
                  <c:v>4.4501352164473733</c:v>
                </c:pt>
                <c:pt idx="205">
                  <c:v>4.4501352164473733</c:v>
                </c:pt>
                <c:pt idx="206">
                  <c:v>6.1412693611898339</c:v>
                </c:pt>
                <c:pt idx="207">
                  <c:v>7.0573003562586658</c:v>
                </c:pt>
                <c:pt idx="208">
                  <c:v>7.0573003562586658</c:v>
                </c:pt>
                <c:pt idx="209">
                  <c:v>7.0573003562586658</c:v>
                </c:pt>
                <c:pt idx="210">
                  <c:v>5.27221431458607</c:v>
                </c:pt>
                <c:pt idx="211">
                  <c:v>3.6750320667737468</c:v>
                </c:pt>
                <c:pt idx="212">
                  <c:v>3.6750320667737468</c:v>
                </c:pt>
                <c:pt idx="213">
                  <c:v>3.6750320667737468</c:v>
                </c:pt>
                <c:pt idx="214">
                  <c:v>3.6750320667737468</c:v>
                </c:pt>
                <c:pt idx="215">
                  <c:v>3.6750320667737468</c:v>
                </c:pt>
                <c:pt idx="216">
                  <c:v>3.6750320667737468</c:v>
                </c:pt>
                <c:pt idx="217">
                  <c:v>3.6750320667737468</c:v>
                </c:pt>
                <c:pt idx="218">
                  <c:v>3.6750320667737468</c:v>
                </c:pt>
                <c:pt idx="219">
                  <c:v>5.27221431458607</c:v>
                </c:pt>
                <c:pt idx="220">
                  <c:v>7.0573003562586658</c:v>
                </c:pt>
                <c:pt idx="221">
                  <c:v>7.436866019856418</c:v>
                </c:pt>
                <c:pt idx="222">
                  <c:v>12.342094558578854</c:v>
                </c:pt>
                <c:pt idx="223">
                  <c:v>18.801287472525743</c:v>
                </c:pt>
                <c:pt idx="224">
                  <c:v>26.434879098099351</c:v>
                </c:pt>
                <c:pt idx="225">
                  <c:v>35.24286943529966</c:v>
                </c:pt>
                <c:pt idx="226">
                  <c:v>35.998242686617957</c:v>
                </c:pt>
                <c:pt idx="227">
                  <c:v>39.094897209435267</c:v>
                </c:pt>
                <c:pt idx="228">
                  <c:v>39.094897209435267</c:v>
                </c:pt>
                <c:pt idx="229">
                  <c:v>39.094897209435267</c:v>
                </c:pt>
                <c:pt idx="230">
                  <c:v>39.094897209435267</c:v>
                </c:pt>
                <c:pt idx="231">
                  <c:v>39.094897209435267</c:v>
                </c:pt>
                <c:pt idx="232">
                  <c:v>39.094897209435267</c:v>
                </c:pt>
                <c:pt idx="233">
                  <c:v>41.091375019200676</c:v>
                </c:pt>
                <c:pt idx="234">
                  <c:v>43.134828777431153</c:v>
                </c:pt>
                <c:pt idx="235">
                  <c:v>37.14539534813494</c:v>
                </c:pt>
                <c:pt idx="236">
                  <c:v>34.49501233573578</c:v>
                </c:pt>
                <c:pt idx="237">
                  <c:v>28.102525268609277</c:v>
                </c:pt>
                <c:pt idx="238">
                  <c:v>21.713796277359986</c:v>
                </c:pt>
                <c:pt idx="239">
                  <c:v>16.076682461551783</c:v>
                </c:pt>
                <c:pt idx="240">
                  <c:v>11.19118382118468</c:v>
                </c:pt>
                <c:pt idx="241">
                  <c:v>7.0573003562586658</c:v>
                </c:pt>
                <c:pt idx="242">
                  <c:v>6.8703360813676948</c:v>
                </c:pt>
                <c:pt idx="243">
                  <c:v>4.4501352164473733</c:v>
                </c:pt>
                <c:pt idx="244">
                  <c:v>4.4501352164473733</c:v>
                </c:pt>
                <c:pt idx="245">
                  <c:v>4.4501352164473733</c:v>
                </c:pt>
                <c:pt idx="246">
                  <c:v>4.4501352164473733</c:v>
                </c:pt>
                <c:pt idx="247">
                  <c:v>4.4501352164473733</c:v>
                </c:pt>
                <c:pt idx="248">
                  <c:v>4.4501352164473733</c:v>
                </c:pt>
                <c:pt idx="249">
                  <c:v>4.4501352164473733</c:v>
                </c:pt>
                <c:pt idx="250">
                  <c:v>4.4501352164473733</c:v>
                </c:pt>
                <c:pt idx="251">
                  <c:v>4.4501352164473733</c:v>
                </c:pt>
                <c:pt idx="252">
                  <c:v>4.4501352164473733</c:v>
                </c:pt>
                <c:pt idx="253">
                  <c:v>5.27221431458607</c:v>
                </c:pt>
                <c:pt idx="254">
                  <c:v>6.1412693611898339</c:v>
                </c:pt>
                <c:pt idx="255">
                  <c:v>4.4501352164473733</c:v>
                </c:pt>
                <c:pt idx="256">
                  <c:v>4.4501352164473733</c:v>
                </c:pt>
                <c:pt idx="257">
                  <c:v>4.4501352164473733</c:v>
                </c:pt>
                <c:pt idx="258">
                  <c:v>4.4501352164473733</c:v>
                </c:pt>
                <c:pt idx="259">
                  <c:v>4.4501352164473733</c:v>
                </c:pt>
                <c:pt idx="260">
                  <c:v>4.4501352164473733</c:v>
                </c:pt>
                <c:pt idx="261">
                  <c:v>4.4501352164473733</c:v>
                </c:pt>
                <c:pt idx="262">
                  <c:v>4.4501352164473733</c:v>
                </c:pt>
                <c:pt idx="263">
                  <c:v>6.1412693611898339</c:v>
                </c:pt>
                <c:pt idx="264">
                  <c:v>7.0573003562586658</c:v>
                </c:pt>
                <c:pt idx="265">
                  <c:v>7.436866019856418</c:v>
                </c:pt>
                <c:pt idx="266">
                  <c:v>11.19118382118468</c:v>
                </c:pt>
                <c:pt idx="267">
                  <c:v>18.801287472525743</c:v>
                </c:pt>
                <c:pt idx="268">
                  <c:v>28.102525268609277</c:v>
                </c:pt>
                <c:pt idx="269">
                  <c:v>35.24286943529966</c:v>
                </c:pt>
                <c:pt idx="270">
                  <c:v>28.102525268609277</c:v>
                </c:pt>
                <c:pt idx="271">
                  <c:v>21.713796277359986</c:v>
                </c:pt>
                <c:pt idx="272">
                  <c:v>16.076682461551783</c:v>
                </c:pt>
                <c:pt idx="273">
                  <c:v>11.19118382118468</c:v>
                </c:pt>
                <c:pt idx="274">
                  <c:v>7.0573003562586658</c:v>
                </c:pt>
                <c:pt idx="275">
                  <c:v>6.6852508444153269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5AA-44DA-BE09-BAABEA029C3B}"/>
            </c:ext>
          </c:extLst>
        </c:ser>
        <c:ser>
          <c:idx val="2"/>
          <c:order val="2"/>
          <c:tx>
            <c:v>Inertia</c:v>
          </c:tx>
          <c:spPr>
            <a:ln w="19050" cap="rnd">
              <a:solidFill>
                <a:srgbClr val="548235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Simulation!$M$2:$M$278</c:f>
              <c:numCache>
                <c:formatCode>General</c:formatCode>
                <c:ptCount val="277"/>
                <c:pt idx="0">
                  <c:v>0</c:v>
                </c:pt>
                <c:pt idx="1">
                  <c:v>1465.6976967960338</c:v>
                </c:pt>
                <c:pt idx="2">
                  <c:v>308.56793616758591</c:v>
                </c:pt>
                <c:pt idx="3">
                  <c:v>282.85394148695394</c:v>
                </c:pt>
                <c:pt idx="4">
                  <c:v>514.27989361264349</c:v>
                </c:pt>
                <c:pt idx="5">
                  <c:v>25.433199554091377</c:v>
                </c:pt>
                <c:pt idx="6">
                  <c:v>228.8987959868204</c:v>
                </c:pt>
                <c:pt idx="7">
                  <c:v>254.33199554091075</c:v>
                </c:pt>
                <c:pt idx="8">
                  <c:v>508.66399108182253</c:v>
                </c:pt>
                <c:pt idx="9">
                  <c:v>508.66399108182151</c:v>
                </c:pt>
                <c:pt idx="10">
                  <c:v>508.66399108182253</c:v>
                </c:pt>
                <c:pt idx="11">
                  <c:v>508.66399108182151</c:v>
                </c:pt>
                <c:pt idx="12">
                  <c:v>50.593938462920285</c:v>
                </c:pt>
                <c:pt idx="13">
                  <c:v>455.34544616627852</c:v>
                </c:pt>
                <c:pt idx="14">
                  <c:v>252.9696923145994</c:v>
                </c:pt>
                <c:pt idx="15">
                  <c:v>379.4545384718981</c:v>
                </c:pt>
                <c:pt idx="16">
                  <c:v>379.4545384718981</c:v>
                </c:pt>
                <c:pt idx="17">
                  <c:v>505.93938462919681</c:v>
                </c:pt>
                <c:pt idx="18">
                  <c:v>505.93938462919681</c:v>
                </c:pt>
                <c:pt idx="19">
                  <c:v>0</c:v>
                </c:pt>
                <c:pt idx="20">
                  <c:v>-505.93938462919681</c:v>
                </c:pt>
                <c:pt idx="21">
                  <c:v>-505.9393846291988</c:v>
                </c:pt>
                <c:pt idx="22">
                  <c:v>-505.93938462919681</c:v>
                </c:pt>
                <c:pt idx="23">
                  <c:v>-505.93938462919681</c:v>
                </c:pt>
                <c:pt idx="24">
                  <c:v>-508.66399108182151</c:v>
                </c:pt>
                <c:pt idx="25">
                  <c:v>-50.866399108182755</c:v>
                </c:pt>
                <c:pt idx="26">
                  <c:v>-457.79759197363876</c:v>
                </c:pt>
                <c:pt idx="27">
                  <c:v>-254.33199554091178</c:v>
                </c:pt>
                <c:pt idx="28">
                  <c:v>-254.33199554091075</c:v>
                </c:pt>
                <c:pt idx="29">
                  <c:v>-254.33199554091075</c:v>
                </c:pt>
                <c:pt idx="30">
                  <c:v>-254.33199554091075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254.33199554091075</c:v>
                </c:pt>
                <c:pt idx="46">
                  <c:v>381.49799331136666</c:v>
                </c:pt>
                <c:pt idx="47">
                  <c:v>381.49799331136666</c:v>
                </c:pt>
                <c:pt idx="48">
                  <c:v>508.66399108182151</c:v>
                </c:pt>
                <c:pt idx="49">
                  <c:v>50.593938462920285</c:v>
                </c:pt>
                <c:pt idx="50">
                  <c:v>328.86060000897982</c:v>
                </c:pt>
                <c:pt idx="51">
                  <c:v>252.96969231459741</c:v>
                </c:pt>
                <c:pt idx="52">
                  <c:v>379.4545384718981</c:v>
                </c:pt>
                <c:pt idx="53">
                  <c:v>505.93938462919681</c:v>
                </c:pt>
                <c:pt idx="54">
                  <c:v>126.4848461572987</c:v>
                </c:pt>
                <c:pt idx="55">
                  <c:v>-303.56363077751769</c:v>
                </c:pt>
                <c:pt idx="56">
                  <c:v>-581.83029232357728</c:v>
                </c:pt>
                <c:pt idx="57">
                  <c:v>-379.4545384718981</c:v>
                </c:pt>
                <c:pt idx="58">
                  <c:v>-381.49799331136666</c:v>
                </c:pt>
                <c:pt idx="59">
                  <c:v>-50.866399108182755</c:v>
                </c:pt>
                <c:pt idx="60">
                  <c:v>-203.465596432729</c:v>
                </c:pt>
                <c:pt idx="61">
                  <c:v>-254.33199554091178</c:v>
                </c:pt>
                <c:pt idx="62">
                  <c:v>-381.49799331136666</c:v>
                </c:pt>
                <c:pt idx="63">
                  <c:v>-127.16599777045488</c:v>
                </c:pt>
                <c:pt idx="64">
                  <c:v>-127.16599777045589</c:v>
                </c:pt>
                <c:pt idx="65">
                  <c:v>-127.16599777045589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508.66399108182151</c:v>
                </c:pt>
                <c:pt idx="82">
                  <c:v>381.49799331136563</c:v>
                </c:pt>
                <c:pt idx="83">
                  <c:v>381.49799331136666</c:v>
                </c:pt>
                <c:pt idx="84">
                  <c:v>50.593938462920285</c:v>
                </c:pt>
                <c:pt idx="85">
                  <c:v>202.37575385167912</c:v>
                </c:pt>
                <c:pt idx="86">
                  <c:v>252.9696923145994</c:v>
                </c:pt>
                <c:pt idx="87">
                  <c:v>252.9696923145994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-252.96969231459741</c:v>
                </c:pt>
                <c:pt idx="94">
                  <c:v>-252.9696923145994</c:v>
                </c:pt>
                <c:pt idx="95">
                  <c:v>-254.33199554091178</c:v>
                </c:pt>
                <c:pt idx="96">
                  <c:v>-50.866399108182755</c:v>
                </c:pt>
                <c:pt idx="97">
                  <c:v>-203.465596432729</c:v>
                </c:pt>
                <c:pt idx="98">
                  <c:v>-254.33199554091178</c:v>
                </c:pt>
                <c:pt idx="99">
                  <c:v>-381.49799331136666</c:v>
                </c:pt>
                <c:pt idx="100">
                  <c:v>-381.49799331136666</c:v>
                </c:pt>
                <c:pt idx="101">
                  <c:v>-127.16599777045488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254.33199554091075</c:v>
                </c:pt>
                <c:pt idx="112">
                  <c:v>381.49799331136666</c:v>
                </c:pt>
                <c:pt idx="113">
                  <c:v>127.16599777045589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-381.49799331136666</c:v>
                </c:pt>
                <c:pt idx="119">
                  <c:v>-254.33199554091075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254.33199554091178</c:v>
                </c:pt>
                <c:pt idx="128">
                  <c:v>381.49799331136563</c:v>
                </c:pt>
                <c:pt idx="129">
                  <c:v>330.6315942031859</c:v>
                </c:pt>
                <c:pt idx="130">
                  <c:v>305.19839464909251</c:v>
                </c:pt>
                <c:pt idx="131">
                  <c:v>-50.866399108182755</c:v>
                </c:pt>
                <c:pt idx="132">
                  <c:v>-457.79759197363876</c:v>
                </c:pt>
                <c:pt idx="133">
                  <c:v>-508.66399108182151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254.33199554091075</c:v>
                </c:pt>
                <c:pt idx="141">
                  <c:v>254.33199554091075</c:v>
                </c:pt>
                <c:pt idx="142">
                  <c:v>-254.33199554091178</c:v>
                </c:pt>
                <c:pt idx="143">
                  <c:v>-381.49799331136563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127.16599777045488</c:v>
                </c:pt>
                <c:pt idx="149">
                  <c:v>127.16599777045589</c:v>
                </c:pt>
                <c:pt idx="150">
                  <c:v>305.19839464909251</c:v>
                </c:pt>
                <c:pt idx="151">
                  <c:v>305.19839464909353</c:v>
                </c:pt>
                <c:pt idx="152">
                  <c:v>279.76519509500315</c:v>
                </c:pt>
                <c:pt idx="153">
                  <c:v>50.593938462920285</c:v>
                </c:pt>
                <c:pt idx="154">
                  <c:v>202.37575385167912</c:v>
                </c:pt>
                <c:pt idx="155">
                  <c:v>505.93938462919681</c:v>
                </c:pt>
                <c:pt idx="156">
                  <c:v>505.93938462919681</c:v>
                </c:pt>
                <c:pt idx="157">
                  <c:v>505.9393846291988</c:v>
                </c:pt>
                <c:pt idx="158">
                  <c:v>505.93938462919681</c:v>
                </c:pt>
                <c:pt idx="159">
                  <c:v>252.9696923145994</c:v>
                </c:pt>
                <c:pt idx="160">
                  <c:v>0</c:v>
                </c:pt>
                <c:pt idx="161">
                  <c:v>0</c:v>
                </c:pt>
                <c:pt idx="162">
                  <c:v>-505.93938462919681</c:v>
                </c:pt>
                <c:pt idx="163">
                  <c:v>-505.9393846291988</c:v>
                </c:pt>
                <c:pt idx="164">
                  <c:v>-505.93938462919681</c:v>
                </c:pt>
                <c:pt idx="165">
                  <c:v>-505.93938462919681</c:v>
                </c:pt>
                <c:pt idx="166">
                  <c:v>-252.9696923145994</c:v>
                </c:pt>
                <c:pt idx="167">
                  <c:v>-254.33199554091178</c:v>
                </c:pt>
                <c:pt idx="168">
                  <c:v>-50.866399108182755</c:v>
                </c:pt>
                <c:pt idx="169">
                  <c:v>-584.96358974409566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127.16599777045589</c:v>
                </c:pt>
                <c:pt idx="181">
                  <c:v>254.33199554090976</c:v>
                </c:pt>
                <c:pt idx="182">
                  <c:v>254.33199554091178</c:v>
                </c:pt>
                <c:pt idx="183">
                  <c:v>0</c:v>
                </c:pt>
                <c:pt idx="184">
                  <c:v>-254.33199554090976</c:v>
                </c:pt>
                <c:pt idx="185">
                  <c:v>-254.33199554091178</c:v>
                </c:pt>
                <c:pt idx="186">
                  <c:v>-305.19839464909251</c:v>
                </c:pt>
                <c:pt idx="187">
                  <c:v>-305.19839464909353</c:v>
                </c:pt>
                <c:pt idx="188">
                  <c:v>-457.79759197363978</c:v>
                </c:pt>
                <c:pt idx="189">
                  <c:v>-356.06479375727525</c:v>
                </c:pt>
                <c:pt idx="190">
                  <c:v>-356.06479375727525</c:v>
                </c:pt>
                <c:pt idx="191">
                  <c:v>-257.13994680632152</c:v>
                </c:pt>
                <c:pt idx="192">
                  <c:v>-51.42798936126389</c:v>
                </c:pt>
                <c:pt idx="193">
                  <c:v>-334.28193084821885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257.13994680632203</c:v>
                </c:pt>
                <c:pt idx="207">
                  <c:v>128.56997340316127</c:v>
                </c:pt>
                <c:pt idx="208">
                  <c:v>0</c:v>
                </c:pt>
                <c:pt idx="209">
                  <c:v>0</c:v>
                </c:pt>
                <c:pt idx="210">
                  <c:v>-257.13994680632152</c:v>
                </c:pt>
                <c:pt idx="211">
                  <c:v>-257.13994680632152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257.13994680632203</c:v>
                </c:pt>
                <c:pt idx="220">
                  <c:v>257.13994680632152</c:v>
                </c:pt>
                <c:pt idx="221">
                  <c:v>50.866399108182755</c:v>
                </c:pt>
                <c:pt idx="222">
                  <c:v>584.96358974409463</c:v>
                </c:pt>
                <c:pt idx="223">
                  <c:v>635.82998885227744</c:v>
                </c:pt>
                <c:pt idx="224">
                  <c:v>635.82998885227744</c:v>
                </c:pt>
                <c:pt idx="225">
                  <c:v>635.82998885227846</c:v>
                </c:pt>
                <c:pt idx="226">
                  <c:v>50.593938462920285</c:v>
                </c:pt>
                <c:pt idx="227">
                  <c:v>202.37575385167912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126.4848461572987</c:v>
                </c:pt>
                <c:pt idx="234">
                  <c:v>126.48484615730071</c:v>
                </c:pt>
                <c:pt idx="235">
                  <c:v>-379.4545384718981</c:v>
                </c:pt>
                <c:pt idx="236">
                  <c:v>-178.03239687863763</c:v>
                </c:pt>
                <c:pt idx="237">
                  <c:v>-457.79759197363876</c:v>
                </c:pt>
                <c:pt idx="238">
                  <c:v>-508.66399108182151</c:v>
                </c:pt>
                <c:pt idx="239">
                  <c:v>-508.66399108182253</c:v>
                </c:pt>
                <c:pt idx="240">
                  <c:v>-508.66399108182151</c:v>
                </c:pt>
                <c:pt idx="241">
                  <c:v>-514.27989361264406</c:v>
                </c:pt>
                <c:pt idx="242">
                  <c:v>-25.713994680632457</c:v>
                </c:pt>
                <c:pt idx="243">
                  <c:v>-359.99592552885031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128.56997340316076</c:v>
                </c:pt>
                <c:pt idx="254">
                  <c:v>128.56997340316025</c:v>
                </c:pt>
                <c:pt idx="255">
                  <c:v>-257.13994680632152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257.13994680632203</c:v>
                </c:pt>
                <c:pt idx="264">
                  <c:v>128.56997340316127</c:v>
                </c:pt>
                <c:pt idx="265">
                  <c:v>50.866399108182755</c:v>
                </c:pt>
                <c:pt idx="266">
                  <c:v>457.79759197363978</c:v>
                </c:pt>
                <c:pt idx="267">
                  <c:v>762.99598662273229</c:v>
                </c:pt>
                <c:pt idx="268">
                  <c:v>762.99598662273331</c:v>
                </c:pt>
                <c:pt idx="269">
                  <c:v>508.66399108182151</c:v>
                </c:pt>
                <c:pt idx="270">
                  <c:v>-508.66399108182151</c:v>
                </c:pt>
                <c:pt idx="271">
                  <c:v>-508.66399108182151</c:v>
                </c:pt>
                <c:pt idx="272">
                  <c:v>-508.66399108182253</c:v>
                </c:pt>
                <c:pt idx="273">
                  <c:v>-508.66399108182151</c:v>
                </c:pt>
                <c:pt idx="274">
                  <c:v>-514.27989361264406</c:v>
                </c:pt>
                <c:pt idx="275">
                  <c:v>-51.42798936126389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5AA-44DA-BE09-BAABEA029C3B}"/>
            </c:ext>
          </c:extLst>
        </c:ser>
        <c:ser>
          <c:idx val="3"/>
          <c:order val="3"/>
          <c:tx>
            <c:v>Rolling Resistance</c:v>
          </c:tx>
          <c:spPr>
            <a:ln w="1905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Simulation!$N$2:$N$278</c:f>
              <c:numCache>
                <c:formatCode>General</c:formatCode>
                <c:ptCount val="277"/>
                <c:pt idx="0">
                  <c:v>0</c:v>
                </c:pt>
                <c:pt idx="1">
                  <c:v>60.4296693</c:v>
                </c:pt>
                <c:pt idx="2">
                  <c:v>60.4296693</c:v>
                </c:pt>
                <c:pt idx="3">
                  <c:v>60.4296693</c:v>
                </c:pt>
                <c:pt idx="4">
                  <c:v>60.4296693</c:v>
                </c:pt>
                <c:pt idx="5">
                  <c:v>60.4296693</c:v>
                </c:pt>
                <c:pt idx="6">
                  <c:v>60.4296693</c:v>
                </c:pt>
                <c:pt idx="7">
                  <c:v>60.4296693</c:v>
                </c:pt>
                <c:pt idx="8">
                  <c:v>60.4296693</c:v>
                </c:pt>
                <c:pt idx="9">
                  <c:v>60.4296693</c:v>
                </c:pt>
                <c:pt idx="10">
                  <c:v>60.4296693</c:v>
                </c:pt>
                <c:pt idx="11">
                  <c:v>60.4296693</c:v>
                </c:pt>
                <c:pt idx="12">
                  <c:v>60.4296693</c:v>
                </c:pt>
                <c:pt idx="13">
                  <c:v>60.4296693</c:v>
                </c:pt>
                <c:pt idx="14">
                  <c:v>60.4296693</c:v>
                </c:pt>
                <c:pt idx="15">
                  <c:v>60.4296693</c:v>
                </c:pt>
                <c:pt idx="16">
                  <c:v>60.4296693</c:v>
                </c:pt>
                <c:pt idx="17">
                  <c:v>60.4296693</c:v>
                </c:pt>
                <c:pt idx="18">
                  <c:v>60.4296693</c:v>
                </c:pt>
                <c:pt idx="19">
                  <c:v>60.4296693</c:v>
                </c:pt>
                <c:pt idx="20">
                  <c:v>60.4296693</c:v>
                </c:pt>
                <c:pt idx="21">
                  <c:v>60.4296693</c:v>
                </c:pt>
                <c:pt idx="22">
                  <c:v>60.4296693</c:v>
                </c:pt>
                <c:pt idx="23">
                  <c:v>60.4296693</c:v>
                </c:pt>
                <c:pt idx="24">
                  <c:v>60.4296693</c:v>
                </c:pt>
                <c:pt idx="25">
                  <c:v>60.4296693</c:v>
                </c:pt>
                <c:pt idx="26">
                  <c:v>60.4296693</c:v>
                </c:pt>
                <c:pt idx="27">
                  <c:v>60.4296693</c:v>
                </c:pt>
                <c:pt idx="28">
                  <c:v>60.4296693</c:v>
                </c:pt>
                <c:pt idx="29">
                  <c:v>60.4296693</c:v>
                </c:pt>
                <c:pt idx="30">
                  <c:v>60.4296693</c:v>
                </c:pt>
                <c:pt idx="31">
                  <c:v>60.4296693</c:v>
                </c:pt>
                <c:pt idx="32">
                  <c:v>60.4296693</c:v>
                </c:pt>
                <c:pt idx="33">
                  <c:v>60.4296693</c:v>
                </c:pt>
                <c:pt idx="34">
                  <c:v>60.4296693</c:v>
                </c:pt>
                <c:pt idx="35">
                  <c:v>60.4296693</c:v>
                </c:pt>
                <c:pt idx="36">
                  <c:v>60.4296693</c:v>
                </c:pt>
                <c:pt idx="37">
                  <c:v>60.4296693</c:v>
                </c:pt>
                <c:pt idx="38">
                  <c:v>60.4296693</c:v>
                </c:pt>
                <c:pt idx="39">
                  <c:v>60.4296693</c:v>
                </c:pt>
                <c:pt idx="40">
                  <c:v>60.4296693</c:v>
                </c:pt>
                <c:pt idx="41">
                  <c:v>60.4296693</c:v>
                </c:pt>
                <c:pt idx="42">
                  <c:v>60.4296693</c:v>
                </c:pt>
                <c:pt idx="43">
                  <c:v>60.4296693</c:v>
                </c:pt>
                <c:pt idx="44">
                  <c:v>60.4296693</c:v>
                </c:pt>
                <c:pt idx="45">
                  <c:v>60.4296693</c:v>
                </c:pt>
                <c:pt idx="46">
                  <c:v>60.4296693</c:v>
                </c:pt>
                <c:pt idx="47">
                  <c:v>60.4296693</c:v>
                </c:pt>
                <c:pt idx="48">
                  <c:v>60.4296693</c:v>
                </c:pt>
                <c:pt idx="49">
                  <c:v>60.4296693</c:v>
                </c:pt>
                <c:pt idx="50">
                  <c:v>60.4296693</c:v>
                </c:pt>
                <c:pt idx="51">
                  <c:v>60.4296693</c:v>
                </c:pt>
                <c:pt idx="52">
                  <c:v>60.4296693</c:v>
                </c:pt>
                <c:pt idx="53">
                  <c:v>60.4296693</c:v>
                </c:pt>
                <c:pt idx="54">
                  <c:v>60.4296693</c:v>
                </c:pt>
                <c:pt idx="55">
                  <c:v>720.50759550000009</c:v>
                </c:pt>
                <c:pt idx="56">
                  <c:v>720.50759550000009</c:v>
                </c:pt>
                <c:pt idx="57">
                  <c:v>720.50759550000009</c:v>
                </c:pt>
                <c:pt idx="58">
                  <c:v>720.50759550000009</c:v>
                </c:pt>
                <c:pt idx="59">
                  <c:v>720.50759550000009</c:v>
                </c:pt>
                <c:pt idx="60">
                  <c:v>720.50759550000009</c:v>
                </c:pt>
                <c:pt idx="61">
                  <c:v>720.50759550000009</c:v>
                </c:pt>
                <c:pt idx="62">
                  <c:v>720.50759550000009</c:v>
                </c:pt>
                <c:pt idx="63">
                  <c:v>60.4296693</c:v>
                </c:pt>
                <c:pt idx="64">
                  <c:v>60.4296693</c:v>
                </c:pt>
                <c:pt idx="65">
                  <c:v>60.4296693</c:v>
                </c:pt>
                <c:pt idx="66">
                  <c:v>60.4296693</c:v>
                </c:pt>
                <c:pt idx="67">
                  <c:v>60.4296693</c:v>
                </c:pt>
                <c:pt idx="68">
                  <c:v>60.4296693</c:v>
                </c:pt>
                <c:pt idx="69">
                  <c:v>60.4296693</c:v>
                </c:pt>
                <c:pt idx="70">
                  <c:v>60.4296693</c:v>
                </c:pt>
                <c:pt idx="71">
                  <c:v>60.4296693</c:v>
                </c:pt>
                <c:pt idx="72">
                  <c:v>60.4296693</c:v>
                </c:pt>
                <c:pt idx="73">
                  <c:v>60.4296693</c:v>
                </c:pt>
                <c:pt idx="74">
                  <c:v>60.4296693</c:v>
                </c:pt>
                <c:pt idx="75">
                  <c:v>60.4296693</c:v>
                </c:pt>
                <c:pt idx="76">
                  <c:v>60.4296693</c:v>
                </c:pt>
                <c:pt idx="77">
                  <c:v>60.4296693</c:v>
                </c:pt>
                <c:pt idx="78">
                  <c:v>60.4296693</c:v>
                </c:pt>
                <c:pt idx="79">
                  <c:v>60.4296693</c:v>
                </c:pt>
                <c:pt idx="80">
                  <c:v>60.4296693</c:v>
                </c:pt>
                <c:pt idx="81">
                  <c:v>60.4296693</c:v>
                </c:pt>
                <c:pt idx="82">
                  <c:v>60.4296693</c:v>
                </c:pt>
                <c:pt idx="83">
                  <c:v>60.4296693</c:v>
                </c:pt>
                <c:pt idx="84">
                  <c:v>60.4296693</c:v>
                </c:pt>
                <c:pt idx="85">
                  <c:v>60.4296693</c:v>
                </c:pt>
                <c:pt idx="86">
                  <c:v>60.4296693</c:v>
                </c:pt>
                <c:pt idx="87">
                  <c:v>60.4296693</c:v>
                </c:pt>
                <c:pt idx="88">
                  <c:v>60.4296693</c:v>
                </c:pt>
                <c:pt idx="89">
                  <c:v>60.4296693</c:v>
                </c:pt>
                <c:pt idx="90">
                  <c:v>60.4296693</c:v>
                </c:pt>
                <c:pt idx="91">
                  <c:v>60.4296693</c:v>
                </c:pt>
                <c:pt idx="92">
                  <c:v>60.4296693</c:v>
                </c:pt>
                <c:pt idx="93">
                  <c:v>60.4296693</c:v>
                </c:pt>
                <c:pt idx="94">
                  <c:v>60.4296693</c:v>
                </c:pt>
                <c:pt idx="95">
                  <c:v>60.4296693</c:v>
                </c:pt>
                <c:pt idx="96">
                  <c:v>60.4296693</c:v>
                </c:pt>
                <c:pt idx="97">
                  <c:v>60.4296693</c:v>
                </c:pt>
                <c:pt idx="98">
                  <c:v>60.4296693</c:v>
                </c:pt>
                <c:pt idx="99">
                  <c:v>60.4296693</c:v>
                </c:pt>
                <c:pt idx="100">
                  <c:v>60.4296693</c:v>
                </c:pt>
                <c:pt idx="101">
                  <c:v>60.4296693</c:v>
                </c:pt>
                <c:pt idx="102">
                  <c:v>60.4296693</c:v>
                </c:pt>
                <c:pt idx="103">
                  <c:v>60.4296693</c:v>
                </c:pt>
                <c:pt idx="104">
                  <c:v>60.4296693</c:v>
                </c:pt>
                <c:pt idx="105">
                  <c:v>60.4296693</c:v>
                </c:pt>
                <c:pt idx="106">
                  <c:v>60.4296693</c:v>
                </c:pt>
                <c:pt idx="107">
                  <c:v>60.4296693</c:v>
                </c:pt>
                <c:pt idx="108">
                  <c:v>60.4296693</c:v>
                </c:pt>
                <c:pt idx="109">
                  <c:v>60.4296693</c:v>
                </c:pt>
                <c:pt idx="110">
                  <c:v>60.4296693</c:v>
                </c:pt>
                <c:pt idx="111">
                  <c:v>60.4296693</c:v>
                </c:pt>
                <c:pt idx="112">
                  <c:v>60.4296693</c:v>
                </c:pt>
                <c:pt idx="113">
                  <c:v>60.4296693</c:v>
                </c:pt>
                <c:pt idx="114">
                  <c:v>60.4296693</c:v>
                </c:pt>
                <c:pt idx="115">
                  <c:v>60.4296693</c:v>
                </c:pt>
                <c:pt idx="116">
                  <c:v>60.4296693</c:v>
                </c:pt>
                <c:pt idx="117">
                  <c:v>60.4296693</c:v>
                </c:pt>
                <c:pt idx="118">
                  <c:v>60.4296693</c:v>
                </c:pt>
                <c:pt idx="119">
                  <c:v>60.4296693</c:v>
                </c:pt>
                <c:pt idx="120">
                  <c:v>60.4296693</c:v>
                </c:pt>
                <c:pt idx="121">
                  <c:v>60.4296693</c:v>
                </c:pt>
                <c:pt idx="122">
                  <c:v>60.4296693</c:v>
                </c:pt>
                <c:pt idx="123">
                  <c:v>60.4296693</c:v>
                </c:pt>
                <c:pt idx="124">
                  <c:v>60.4296693</c:v>
                </c:pt>
                <c:pt idx="125">
                  <c:v>60.4296693</c:v>
                </c:pt>
                <c:pt idx="126">
                  <c:v>60.4296693</c:v>
                </c:pt>
                <c:pt idx="127">
                  <c:v>464.84361000000007</c:v>
                </c:pt>
                <c:pt idx="128">
                  <c:v>464.84361000000007</c:v>
                </c:pt>
                <c:pt idx="129">
                  <c:v>464.84361000000007</c:v>
                </c:pt>
                <c:pt idx="130">
                  <c:v>464.84361000000007</c:v>
                </c:pt>
                <c:pt idx="131">
                  <c:v>464.84361000000007</c:v>
                </c:pt>
                <c:pt idx="132">
                  <c:v>464.84361000000007</c:v>
                </c:pt>
                <c:pt idx="133">
                  <c:v>464.84361000000007</c:v>
                </c:pt>
                <c:pt idx="134">
                  <c:v>464.84361000000007</c:v>
                </c:pt>
                <c:pt idx="135">
                  <c:v>464.84361000000007</c:v>
                </c:pt>
                <c:pt idx="136">
                  <c:v>464.84361000000007</c:v>
                </c:pt>
                <c:pt idx="137">
                  <c:v>464.84361000000007</c:v>
                </c:pt>
                <c:pt idx="138">
                  <c:v>464.84361000000007</c:v>
                </c:pt>
                <c:pt idx="139">
                  <c:v>464.84361000000007</c:v>
                </c:pt>
                <c:pt idx="140">
                  <c:v>464.84361000000007</c:v>
                </c:pt>
                <c:pt idx="141">
                  <c:v>464.84361000000007</c:v>
                </c:pt>
                <c:pt idx="142">
                  <c:v>464.84361000000007</c:v>
                </c:pt>
                <c:pt idx="143">
                  <c:v>464.84361000000007</c:v>
                </c:pt>
                <c:pt idx="144">
                  <c:v>464.84361000000007</c:v>
                </c:pt>
                <c:pt idx="145">
                  <c:v>464.84361000000007</c:v>
                </c:pt>
                <c:pt idx="146">
                  <c:v>464.84361000000007</c:v>
                </c:pt>
                <c:pt idx="147">
                  <c:v>464.84361000000007</c:v>
                </c:pt>
                <c:pt idx="148">
                  <c:v>464.84361000000007</c:v>
                </c:pt>
                <c:pt idx="149">
                  <c:v>464.84361000000007</c:v>
                </c:pt>
                <c:pt idx="150">
                  <c:v>464.84361000000007</c:v>
                </c:pt>
                <c:pt idx="151">
                  <c:v>464.84361000000007</c:v>
                </c:pt>
                <c:pt idx="152">
                  <c:v>464.84361000000007</c:v>
                </c:pt>
                <c:pt idx="153">
                  <c:v>464.84361000000007</c:v>
                </c:pt>
                <c:pt idx="154">
                  <c:v>464.84361000000007</c:v>
                </c:pt>
                <c:pt idx="155">
                  <c:v>464.84361000000007</c:v>
                </c:pt>
                <c:pt idx="156">
                  <c:v>464.84361000000007</c:v>
                </c:pt>
                <c:pt idx="157">
                  <c:v>464.84361000000007</c:v>
                </c:pt>
                <c:pt idx="158">
                  <c:v>464.84361000000007</c:v>
                </c:pt>
                <c:pt idx="159">
                  <c:v>464.84361000000007</c:v>
                </c:pt>
                <c:pt idx="160">
                  <c:v>464.84361000000007</c:v>
                </c:pt>
                <c:pt idx="161">
                  <c:v>464.84361000000007</c:v>
                </c:pt>
                <c:pt idx="162">
                  <c:v>464.84361000000007</c:v>
                </c:pt>
                <c:pt idx="163">
                  <c:v>464.84361000000007</c:v>
                </c:pt>
                <c:pt idx="164">
                  <c:v>464.84361000000007</c:v>
                </c:pt>
                <c:pt idx="165">
                  <c:v>464.84361000000007</c:v>
                </c:pt>
                <c:pt idx="166">
                  <c:v>464.84361000000007</c:v>
                </c:pt>
                <c:pt idx="167">
                  <c:v>464.84361000000007</c:v>
                </c:pt>
                <c:pt idx="168">
                  <c:v>464.84361000000007</c:v>
                </c:pt>
                <c:pt idx="169">
                  <c:v>464.84361000000007</c:v>
                </c:pt>
                <c:pt idx="170">
                  <c:v>464.84361000000007</c:v>
                </c:pt>
                <c:pt idx="171">
                  <c:v>464.84361000000007</c:v>
                </c:pt>
                <c:pt idx="172">
                  <c:v>464.84361000000007</c:v>
                </c:pt>
                <c:pt idx="173">
                  <c:v>464.84361000000007</c:v>
                </c:pt>
                <c:pt idx="174">
                  <c:v>464.84361000000007</c:v>
                </c:pt>
                <c:pt idx="175">
                  <c:v>464.84361000000007</c:v>
                </c:pt>
                <c:pt idx="176">
                  <c:v>464.84361000000007</c:v>
                </c:pt>
                <c:pt idx="177">
                  <c:v>464.84361000000007</c:v>
                </c:pt>
                <c:pt idx="178">
                  <c:v>464.84361000000007</c:v>
                </c:pt>
                <c:pt idx="179">
                  <c:v>464.84361000000007</c:v>
                </c:pt>
                <c:pt idx="180">
                  <c:v>92.968722</c:v>
                </c:pt>
                <c:pt idx="181">
                  <c:v>92.968722</c:v>
                </c:pt>
                <c:pt idx="182">
                  <c:v>92.968722</c:v>
                </c:pt>
                <c:pt idx="183">
                  <c:v>92.968722</c:v>
                </c:pt>
                <c:pt idx="184">
                  <c:v>92.968722</c:v>
                </c:pt>
                <c:pt idx="185">
                  <c:v>92.968722</c:v>
                </c:pt>
                <c:pt idx="186">
                  <c:v>92.968722</c:v>
                </c:pt>
                <c:pt idx="187">
                  <c:v>92.968722</c:v>
                </c:pt>
                <c:pt idx="188">
                  <c:v>92.968722</c:v>
                </c:pt>
                <c:pt idx="189">
                  <c:v>92.968722</c:v>
                </c:pt>
                <c:pt idx="190">
                  <c:v>92.968722</c:v>
                </c:pt>
                <c:pt idx="191">
                  <c:v>92.968722</c:v>
                </c:pt>
                <c:pt idx="192">
                  <c:v>92.968722</c:v>
                </c:pt>
                <c:pt idx="193">
                  <c:v>92.968722</c:v>
                </c:pt>
                <c:pt idx="194">
                  <c:v>92.968722</c:v>
                </c:pt>
                <c:pt idx="195">
                  <c:v>92.968722</c:v>
                </c:pt>
                <c:pt idx="196">
                  <c:v>92.968722</c:v>
                </c:pt>
                <c:pt idx="197">
                  <c:v>92.968722</c:v>
                </c:pt>
                <c:pt idx="198">
                  <c:v>92.968722</c:v>
                </c:pt>
                <c:pt idx="199">
                  <c:v>92.968722</c:v>
                </c:pt>
                <c:pt idx="200">
                  <c:v>92.968722</c:v>
                </c:pt>
                <c:pt idx="201">
                  <c:v>92.968722</c:v>
                </c:pt>
                <c:pt idx="202">
                  <c:v>92.968722</c:v>
                </c:pt>
                <c:pt idx="203">
                  <c:v>92.968722</c:v>
                </c:pt>
                <c:pt idx="204">
                  <c:v>92.968722</c:v>
                </c:pt>
                <c:pt idx="205">
                  <c:v>92.968722</c:v>
                </c:pt>
                <c:pt idx="206">
                  <c:v>92.968722</c:v>
                </c:pt>
                <c:pt idx="207">
                  <c:v>92.968722</c:v>
                </c:pt>
                <c:pt idx="208">
                  <c:v>92.968722</c:v>
                </c:pt>
                <c:pt idx="209">
                  <c:v>92.968722</c:v>
                </c:pt>
                <c:pt idx="210">
                  <c:v>92.968722</c:v>
                </c:pt>
                <c:pt idx="211">
                  <c:v>92.968722</c:v>
                </c:pt>
                <c:pt idx="212">
                  <c:v>92.968722</c:v>
                </c:pt>
                <c:pt idx="213">
                  <c:v>92.968722</c:v>
                </c:pt>
                <c:pt idx="214">
                  <c:v>92.968722</c:v>
                </c:pt>
                <c:pt idx="215">
                  <c:v>92.968722</c:v>
                </c:pt>
                <c:pt idx="216">
                  <c:v>92.968722</c:v>
                </c:pt>
                <c:pt idx="217">
                  <c:v>92.968722</c:v>
                </c:pt>
                <c:pt idx="218">
                  <c:v>92.968722</c:v>
                </c:pt>
                <c:pt idx="219">
                  <c:v>92.968722</c:v>
                </c:pt>
                <c:pt idx="220">
                  <c:v>92.968722</c:v>
                </c:pt>
                <c:pt idx="221">
                  <c:v>92.968722</c:v>
                </c:pt>
                <c:pt idx="222">
                  <c:v>92.968722</c:v>
                </c:pt>
                <c:pt idx="223">
                  <c:v>92.968722</c:v>
                </c:pt>
                <c:pt idx="224">
                  <c:v>92.968722</c:v>
                </c:pt>
                <c:pt idx="225">
                  <c:v>92.968722</c:v>
                </c:pt>
                <c:pt idx="226">
                  <c:v>92.968722</c:v>
                </c:pt>
                <c:pt idx="227">
                  <c:v>92.968722</c:v>
                </c:pt>
                <c:pt idx="228">
                  <c:v>92.968722</c:v>
                </c:pt>
                <c:pt idx="229">
                  <c:v>92.968722</c:v>
                </c:pt>
                <c:pt idx="230">
                  <c:v>92.968722</c:v>
                </c:pt>
                <c:pt idx="231">
                  <c:v>92.968722</c:v>
                </c:pt>
                <c:pt idx="232">
                  <c:v>92.968722</c:v>
                </c:pt>
                <c:pt idx="233">
                  <c:v>92.968722</c:v>
                </c:pt>
                <c:pt idx="234">
                  <c:v>92.968722</c:v>
                </c:pt>
                <c:pt idx="235">
                  <c:v>92.968722</c:v>
                </c:pt>
                <c:pt idx="236">
                  <c:v>92.968722</c:v>
                </c:pt>
                <c:pt idx="237">
                  <c:v>92.968722</c:v>
                </c:pt>
                <c:pt idx="238">
                  <c:v>92.968722</c:v>
                </c:pt>
                <c:pt idx="239">
                  <c:v>92.968722</c:v>
                </c:pt>
                <c:pt idx="240">
                  <c:v>92.968722</c:v>
                </c:pt>
                <c:pt idx="241">
                  <c:v>92.968722</c:v>
                </c:pt>
                <c:pt idx="242">
                  <c:v>92.968722</c:v>
                </c:pt>
                <c:pt idx="243">
                  <c:v>92.968722</c:v>
                </c:pt>
                <c:pt idx="244">
                  <c:v>92.968722</c:v>
                </c:pt>
                <c:pt idx="245">
                  <c:v>92.968722</c:v>
                </c:pt>
                <c:pt idx="246">
                  <c:v>92.968722</c:v>
                </c:pt>
                <c:pt idx="247">
                  <c:v>92.968722</c:v>
                </c:pt>
                <c:pt idx="248">
                  <c:v>92.968722</c:v>
                </c:pt>
                <c:pt idx="249">
                  <c:v>92.968722</c:v>
                </c:pt>
                <c:pt idx="250">
                  <c:v>92.968722</c:v>
                </c:pt>
                <c:pt idx="251">
                  <c:v>92.968722</c:v>
                </c:pt>
                <c:pt idx="252">
                  <c:v>92.968722</c:v>
                </c:pt>
                <c:pt idx="253">
                  <c:v>92.968722</c:v>
                </c:pt>
                <c:pt idx="254">
                  <c:v>92.968722</c:v>
                </c:pt>
                <c:pt idx="255">
                  <c:v>92.968722</c:v>
                </c:pt>
                <c:pt idx="256">
                  <c:v>92.968722</c:v>
                </c:pt>
                <c:pt idx="257">
                  <c:v>92.968722</c:v>
                </c:pt>
                <c:pt idx="258">
                  <c:v>92.968722</c:v>
                </c:pt>
                <c:pt idx="259">
                  <c:v>92.968722</c:v>
                </c:pt>
                <c:pt idx="260">
                  <c:v>92.968722</c:v>
                </c:pt>
                <c:pt idx="261">
                  <c:v>92.968722</c:v>
                </c:pt>
                <c:pt idx="262">
                  <c:v>92.968722</c:v>
                </c:pt>
                <c:pt idx="263">
                  <c:v>92.968722</c:v>
                </c:pt>
                <c:pt idx="264">
                  <c:v>92.968722</c:v>
                </c:pt>
                <c:pt idx="265">
                  <c:v>92.968722</c:v>
                </c:pt>
                <c:pt idx="266">
                  <c:v>92.968722</c:v>
                </c:pt>
                <c:pt idx="267">
                  <c:v>92.968722</c:v>
                </c:pt>
                <c:pt idx="268">
                  <c:v>92.968722</c:v>
                </c:pt>
                <c:pt idx="269">
                  <c:v>92.968722</c:v>
                </c:pt>
                <c:pt idx="270">
                  <c:v>92.968722</c:v>
                </c:pt>
                <c:pt idx="271">
                  <c:v>92.968722</c:v>
                </c:pt>
                <c:pt idx="272">
                  <c:v>92.968722</c:v>
                </c:pt>
                <c:pt idx="273">
                  <c:v>92.968722</c:v>
                </c:pt>
                <c:pt idx="274">
                  <c:v>92.968722</c:v>
                </c:pt>
                <c:pt idx="275">
                  <c:v>92.968722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5AA-44DA-BE09-BAABEA029C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139008"/>
        <c:axId val="102140928"/>
      </c:scatterChart>
      <c:valAx>
        <c:axId val="1021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140928"/>
        <c:crosses val="autoZero"/>
        <c:crossBetween val="midCat"/>
        <c:majorUnit val="10"/>
      </c:valAx>
      <c:valAx>
        <c:axId val="10214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Force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1390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GB" sz="1000" b="1" i="0" u="none" strike="noStrike" kern="1200" baseline="0">
              <a:solidFill>
                <a:sysClr val="windowText" lastClr="000000"/>
              </a:solidFill>
              <a:latin typeface="Book Antiqua"/>
              <a:ea typeface="Book Antiqua"/>
              <a:cs typeface="Book Antiqu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GB" sz="1400" b="1" i="0" u="none" strike="noStrike" kern="1200" spc="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r>
              <a:rPr lang="en-US" b="1">
                <a:solidFill>
                  <a:sysClr val="windowText" lastClr="000000"/>
                </a:solidFill>
              </a:rPr>
              <a:t>Total Resistive Force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0D0D0D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Simulation!$O$2:$O$278</c:f>
              <c:numCache>
                <c:formatCode>General</c:formatCode>
                <c:ptCount val="277"/>
                <c:pt idx="0">
                  <c:v>0</c:v>
                </c:pt>
                <c:pt idx="1">
                  <c:v>1526.8419738905391</c:v>
                </c:pt>
                <c:pt idx="2">
                  <c:v>371.13276594367471</c:v>
                </c:pt>
                <c:pt idx="3">
                  <c:v>346.95864285372767</c:v>
                </c:pt>
                <c:pt idx="4">
                  <c:v>581.76686326890217</c:v>
                </c:pt>
                <c:pt idx="5">
                  <c:v>93.109012523179615</c:v>
                </c:pt>
                <c:pt idx="6">
                  <c:v>298.35875547861195</c:v>
                </c:pt>
                <c:pt idx="7">
                  <c:v>325.95284866209545</c:v>
                </c:pt>
                <c:pt idx="8">
                  <c:v>585.17034284337433</c:v>
                </c:pt>
                <c:pt idx="9">
                  <c:v>590.80745665918153</c:v>
                </c:pt>
                <c:pt idx="10">
                  <c:v>597.19618565043186</c:v>
                </c:pt>
                <c:pt idx="11">
                  <c:v>604.33652981712112</c:v>
                </c:pt>
                <c:pt idx="12">
                  <c:v>147.02185044953825</c:v>
                </c:pt>
                <c:pt idx="13">
                  <c:v>558.90994424370967</c:v>
                </c:pt>
                <c:pt idx="14">
                  <c:v>360.76202575388669</c:v>
                </c:pt>
                <c:pt idx="15">
                  <c:v>493.94094456745762</c:v>
                </c:pt>
                <c:pt idx="16">
                  <c:v>501.05780075991549</c:v>
                </c:pt>
                <c:pt idx="17">
                  <c:v>637.68945178566889</c:v>
                </c:pt>
                <c:pt idx="18">
                  <c:v>648.58787182956473</c:v>
                </c:pt>
                <c:pt idx="19">
                  <c:v>142.64848720036798</c:v>
                </c:pt>
                <c:pt idx="20">
                  <c:v>-374.18931747272467</c:v>
                </c:pt>
                <c:pt idx="21">
                  <c:v>-384.33612234118141</c:v>
                </c:pt>
                <c:pt idx="22">
                  <c:v>-393.73131203419308</c:v>
                </c:pt>
                <c:pt idx="23">
                  <c:v>-402.37488655176566</c:v>
                </c:pt>
                <c:pt idx="24">
                  <c:v>-412.99145234652184</c:v>
                </c:pt>
                <c:pt idx="25">
                  <c:v>44.058282527553025</c:v>
                </c:pt>
                <c:pt idx="26">
                  <c:v>-369.26539740502949</c:v>
                </c:pt>
                <c:pt idx="27">
                  <c:v>-169.08811736485728</c:v>
                </c:pt>
                <c:pt idx="28">
                  <c:v>-172.18852996355076</c:v>
                </c:pt>
                <c:pt idx="29">
                  <c:v>-175.10103876838502</c:v>
                </c:pt>
                <c:pt idx="30">
                  <c:v>-177.82564377935898</c:v>
                </c:pt>
                <c:pt idx="31">
                  <c:v>76.506351761551784</c:v>
                </c:pt>
                <c:pt idx="32">
                  <c:v>76.506351761551784</c:v>
                </c:pt>
                <c:pt idx="33">
                  <c:v>76.506351761551784</c:v>
                </c:pt>
                <c:pt idx="34">
                  <c:v>76.506351761551784</c:v>
                </c:pt>
                <c:pt idx="35">
                  <c:v>76.506351761551784</c:v>
                </c:pt>
                <c:pt idx="36">
                  <c:v>76.506351761551784</c:v>
                </c:pt>
                <c:pt idx="37">
                  <c:v>76.506351761551784</c:v>
                </c:pt>
                <c:pt idx="38">
                  <c:v>76.506351761551784</c:v>
                </c:pt>
                <c:pt idx="39">
                  <c:v>76.506351761551784</c:v>
                </c:pt>
                <c:pt idx="40">
                  <c:v>76.506351761551784</c:v>
                </c:pt>
                <c:pt idx="41">
                  <c:v>76.506351761551784</c:v>
                </c:pt>
                <c:pt idx="42">
                  <c:v>76.506351761551784</c:v>
                </c:pt>
                <c:pt idx="43">
                  <c:v>76.506351761551784</c:v>
                </c:pt>
                <c:pt idx="44">
                  <c:v>76.506351761551784</c:v>
                </c:pt>
                <c:pt idx="45">
                  <c:v>333.56295231343648</c:v>
                </c:pt>
                <c:pt idx="46">
                  <c:v>465.16817721384137</c:v>
                </c:pt>
                <c:pt idx="47">
                  <c:v>470.03018787997593</c:v>
                </c:pt>
                <c:pt idx="48">
                  <c:v>604.33652981712112</c:v>
                </c:pt>
                <c:pt idx="49">
                  <c:v>147.02185044953825</c:v>
                </c:pt>
                <c:pt idx="50">
                  <c:v>430.38164432818047</c:v>
                </c:pt>
                <c:pt idx="51">
                  <c:v>358.62462009872411</c:v>
                </c:pt>
                <c:pt idx="52">
                  <c:v>491.66261106690183</c:v>
                </c:pt>
                <c:pt idx="53">
                  <c:v>627.54264691721414</c:v>
                </c:pt>
                <c:pt idx="54">
                  <c:v>250.55434573973218</c:v>
                </c:pt>
                <c:pt idx="55">
                  <c:v>474.74374509173856</c:v>
                </c:pt>
                <c:pt idx="56">
                  <c:v>186.0399673157101</c:v>
                </c:pt>
                <c:pt idx="57">
                  <c:v>382.14443204730264</c:v>
                </c:pt>
                <c:pt idx="58">
                  <c:v>374.2524716239331</c:v>
                </c:pt>
                <c:pt idx="59">
                  <c:v>704.13620872755314</c:v>
                </c:pt>
                <c:pt idx="60">
                  <c:v>548.62074452229547</c:v>
                </c:pt>
                <c:pt idx="61">
                  <c:v>494.27812522769761</c:v>
                </c:pt>
                <c:pt idx="62">
                  <c:v>362.25011679110816</c:v>
                </c:pt>
                <c:pt idx="63">
                  <c:v>-45.022532193094889</c:v>
                </c:pt>
                <c:pt idx="64">
                  <c:v>-46.502274569745552</c:v>
                </c:pt>
                <c:pt idx="65">
                  <c:v>-47.935040997930145</c:v>
                </c:pt>
                <c:pt idx="66">
                  <c:v>79.230956772525744</c:v>
                </c:pt>
                <c:pt idx="67">
                  <c:v>79.230956772525744</c:v>
                </c:pt>
                <c:pt idx="68">
                  <c:v>79.230956772525744</c:v>
                </c:pt>
                <c:pt idx="69">
                  <c:v>79.230956772525744</c:v>
                </c:pt>
                <c:pt idx="70">
                  <c:v>79.230956772525744</c:v>
                </c:pt>
                <c:pt idx="71">
                  <c:v>79.230956772525744</c:v>
                </c:pt>
                <c:pt idx="72">
                  <c:v>79.230956772525744</c:v>
                </c:pt>
                <c:pt idx="73">
                  <c:v>79.230956772525744</c:v>
                </c:pt>
                <c:pt idx="74">
                  <c:v>79.230956772525744</c:v>
                </c:pt>
                <c:pt idx="75">
                  <c:v>79.230956772525744</c:v>
                </c:pt>
                <c:pt idx="76">
                  <c:v>79.230956772525744</c:v>
                </c:pt>
                <c:pt idx="77">
                  <c:v>79.230956772525744</c:v>
                </c:pt>
                <c:pt idx="78">
                  <c:v>79.230956772525744</c:v>
                </c:pt>
                <c:pt idx="79">
                  <c:v>79.230956772525744</c:v>
                </c:pt>
                <c:pt idx="80">
                  <c:v>79.230956772525744</c:v>
                </c:pt>
                <c:pt idx="81">
                  <c:v>593.90786925787597</c:v>
                </c:pt>
                <c:pt idx="82">
                  <c:v>471.7448099989499</c:v>
                </c:pt>
                <c:pt idx="83">
                  <c:v>477.17053204666632</c:v>
                </c:pt>
                <c:pt idx="84">
                  <c:v>147.02185044953825</c:v>
                </c:pt>
                <c:pt idx="85">
                  <c:v>301.90032036111438</c:v>
                </c:pt>
                <c:pt idx="86">
                  <c:v>356.53419039203055</c:v>
                </c:pt>
                <c:pt idx="87">
                  <c:v>360.76202575388669</c:v>
                </c:pt>
                <c:pt idx="88">
                  <c:v>817.34840130328746</c:v>
                </c:pt>
                <c:pt idx="89">
                  <c:v>817.34840130328746</c:v>
                </c:pt>
                <c:pt idx="90">
                  <c:v>817.34840130328746</c:v>
                </c:pt>
                <c:pt idx="91">
                  <c:v>817.34840130328746</c:v>
                </c:pt>
                <c:pt idx="92">
                  <c:v>817.34840130328746</c:v>
                </c:pt>
                <c:pt idx="93">
                  <c:v>-149.40519423716626</c:v>
                </c:pt>
                <c:pt idx="94">
                  <c:v>-153.44512580516414</c:v>
                </c:pt>
                <c:pt idx="95">
                  <c:v>-158.65945680561211</c:v>
                </c:pt>
                <c:pt idx="96">
                  <c:v>44.058282527553025</c:v>
                </c:pt>
                <c:pt idx="97">
                  <c:v>-111.45718167770465</c:v>
                </c:pt>
                <c:pt idx="98">
                  <c:v>-165.79980097230251</c:v>
                </c:pt>
                <c:pt idx="99">
                  <c:v>-297.82780940889194</c:v>
                </c:pt>
                <c:pt idx="100">
                  <c:v>-302.2670365388409</c:v>
                </c:pt>
                <c:pt idx="101">
                  <c:v>-49.320831477648653</c:v>
                </c:pt>
                <c:pt idx="102">
                  <c:v>77.845166292806226</c:v>
                </c:pt>
                <c:pt idx="103">
                  <c:v>77.845166292806226</c:v>
                </c:pt>
                <c:pt idx="104">
                  <c:v>77.845166292806226</c:v>
                </c:pt>
                <c:pt idx="105">
                  <c:v>77.845166292806226</c:v>
                </c:pt>
                <c:pt idx="106">
                  <c:v>77.845166292806226</c:v>
                </c:pt>
                <c:pt idx="107">
                  <c:v>77.845166292806226</c:v>
                </c:pt>
                <c:pt idx="108">
                  <c:v>77.845166292806226</c:v>
                </c:pt>
                <c:pt idx="109">
                  <c:v>77.845166292806226</c:v>
                </c:pt>
                <c:pt idx="110">
                  <c:v>77.845166292806226</c:v>
                </c:pt>
                <c:pt idx="111">
                  <c:v>334.99571874162109</c:v>
                </c:pt>
                <c:pt idx="112">
                  <c:v>466.74187148742112</c:v>
                </c:pt>
                <c:pt idx="113">
                  <c:v>214.03054616855525</c:v>
                </c:pt>
                <c:pt idx="114">
                  <c:v>86.864548398099345</c:v>
                </c:pt>
                <c:pt idx="115">
                  <c:v>86.864548398099345</c:v>
                </c:pt>
                <c:pt idx="116">
                  <c:v>86.864548398099345</c:v>
                </c:pt>
                <c:pt idx="117">
                  <c:v>86.864548398099345</c:v>
                </c:pt>
                <c:pt idx="118">
                  <c:v>-299.35452773400669</c:v>
                </c:pt>
                <c:pt idx="119">
                  <c:v>-175.10103876838502</c:v>
                </c:pt>
                <c:pt idx="120">
                  <c:v>79.230956772525744</c:v>
                </c:pt>
                <c:pt idx="121">
                  <c:v>79.230956772525744</c:v>
                </c:pt>
                <c:pt idx="122">
                  <c:v>79.230956772525744</c:v>
                </c:pt>
                <c:pt idx="123">
                  <c:v>79.230956772525744</c:v>
                </c:pt>
                <c:pt idx="124">
                  <c:v>79.230956772525744</c:v>
                </c:pt>
                <c:pt idx="125">
                  <c:v>79.230956772525744</c:v>
                </c:pt>
                <c:pt idx="126">
                  <c:v>79.230956772525744</c:v>
                </c:pt>
                <c:pt idx="127">
                  <c:v>740.88940181827184</c:v>
                </c:pt>
                <c:pt idx="128">
                  <c:v>872.77648240946507</c:v>
                </c:pt>
                <c:pt idx="129">
                  <c:v>826.34367331741851</c:v>
                </c:pt>
                <c:pt idx="130">
                  <c:v>805.28487408439219</c:v>
                </c:pt>
                <c:pt idx="131">
                  <c:v>448.47222322755312</c:v>
                </c:pt>
                <c:pt idx="132">
                  <c:v>35.14854329497058</c:v>
                </c:pt>
                <c:pt idx="133">
                  <c:v>-22.106584804461477</c:v>
                </c:pt>
                <c:pt idx="134">
                  <c:v>486.55740627736003</c:v>
                </c:pt>
                <c:pt idx="135">
                  <c:v>486.55740627736003</c:v>
                </c:pt>
                <c:pt idx="136">
                  <c:v>486.55740627736003</c:v>
                </c:pt>
                <c:pt idx="137">
                  <c:v>486.55740627736003</c:v>
                </c:pt>
                <c:pt idx="138">
                  <c:v>486.55740627736003</c:v>
                </c:pt>
                <c:pt idx="139">
                  <c:v>486.55740627736003</c:v>
                </c:pt>
                <c:pt idx="140">
                  <c:v>743.98981441696537</c:v>
                </c:pt>
                <c:pt idx="141">
                  <c:v>747.27813080952012</c:v>
                </c:pt>
                <c:pt idx="142">
                  <c:v>235.32582333514279</c:v>
                </c:pt>
                <c:pt idx="143">
                  <c:v>103.57967058934474</c:v>
                </c:pt>
                <c:pt idx="144">
                  <c:v>485.07766390071038</c:v>
                </c:pt>
                <c:pt idx="145">
                  <c:v>485.07766390071038</c:v>
                </c:pt>
                <c:pt idx="146">
                  <c:v>485.07766390071038</c:v>
                </c:pt>
                <c:pt idx="147">
                  <c:v>485.07766390071038</c:v>
                </c:pt>
                <c:pt idx="148">
                  <c:v>613.72340404781494</c:v>
                </c:pt>
                <c:pt idx="149">
                  <c:v>615.25012237293072</c:v>
                </c:pt>
                <c:pt idx="150">
                  <c:v>797.13830510158004</c:v>
                </c:pt>
                <c:pt idx="151">
                  <c:v>801.26467241475279</c:v>
                </c:pt>
                <c:pt idx="152">
                  <c:v>779.85167453030294</c:v>
                </c:pt>
                <c:pt idx="153">
                  <c:v>551.43579114953832</c:v>
                </c:pt>
                <c:pt idx="154">
                  <c:v>-336.31962631088555</c:v>
                </c:pt>
                <c:pt idx="155">
                  <c:v>-24.48822860351595</c:v>
                </c:pt>
                <c:pt idx="156">
                  <c:v>-15.468846498222774</c:v>
                </c:pt>
                <c:pt idx="157">
                  <c:v>-5.6978492174866346</c:v>
                </c:pt>
                <c:pt idx="158">
                  <c:v>4.8247632386867281</c:v>
                </c:pt>
                <c:pt idx="159">
                  <c:v>800.03212021496745</c:v>
                </c:pt>
                <c:pt idx="160">
                  <c:v>547.06242790036799</c:v>
                </c:pt>
                <c:pt idx="161">
                  <c:v>547.06242790036799</c:v>
                </c:pt>
                <c:pt idx="162">
                  <c:v>30.224623227275401</c:v>
                </c:pt>
                <c:pt idx="163">
                  <c:v>20.077818358818661</c:v>
                </c:pt>
                <c:pt idx="164">
                  <c:v>10.682628665806988</c:v>
                </c:pt>
                <c:pt idx="165">
                  <c:v>2.0390541482344133</c:v>
                </c:pt>
                <c:pt idx="166">
                  <c:v>250.96881489483593</c:v>
                </c:pt>
                <c:pt idx="167">
                  <c:v>245.75448389438796</c:v>
                </c:pt>
                <c:pt idx="168">
                  <c:v>448.47222322755312</c:v>
                </c:pt>
                <c:pt idx="169">
                  <c:v>-93.685100645996215</c:v>
                </c:pt>
                <c:pt idx="170">
                  <c:v>491.27848909809944</c:v>
                </c:pt>
                <c:pt idx="171">
                  <c:v>491.27848909809944</c:v>
                </c:pt>
                <c:pt idx="172">
                  <c:v>491.27848909809944</c:v>
                </c:pt>
                <c:pt idx="173">
                  <c:v>491.27848909809944</c:v>
                </c:pt>
                <c:pt idx="174">
                  <c:v>491.27848909809944</c:v>
                </c:pt>
                <c:pt idx="175">
                  <c:v>491.27848909809944</c:v>
                </c:pt>
                <c:pt idx="176">
                  <c:v>491.27848909809944</c:v>
                </c:pt>
                <c:pt idx="177">
                  <c:v>491.27848909809944</c:v>
                </c:pt>
                <c:pt idx="178">
                  <c:v>491.27848909809944</c:v>
                </c:pt>
                <c:pt idx="179">
                  <c:v>491.27848909809944</c:v>
                </c:pt>
                <c:pt idx="180">
                  <c:v>248.23724503906516</c:v>
                </c:pt>
                <c:pt idx="181">
                  <c:v>378.87946299593409</c:v>
                </c:pt>
                <c:pt idx="182">
                  <c:v>382.54358697621143</c:v>
                </c:pt>
                <c:pt idx="183">
                  <c:v>128.21159143529965</c:v>
                </c:pt>
                <c:pt idx="184">
                  <c:v>-129.78452808588543</c:v>
                </c:pt>
                <c:pt idx="185">
                  <c:v>-133.26074827230252</c:v>
                </c:pt>
                <c:pt idx="186">
                  <c:v>-188.05057859628573</c:v>
                </c:pt>
                <c:pt idx="187">
                  <c:v>-191.70342834893046</c:v>
                </c:pt>
                <c:pt idx="188">
                  <c:v>-349.27456005901956</c:v>
                </c:pt>
                <c:pt idx="189">
                  <c:v>-250.98791742205242</c:v>
                </c:pt>
                <c:pt idx="190">
                  <c:v>-254.06578156548369</c:v>
                </c:pt>
                <c:pt idx="191">
                  <c:v>-157.11392445006283</c:v>
                </c:pt>
                <c:pt idx="192">
                  <c:v>48.225983483151438</c:v>
                </c:pt>
                <c:pt idx="193">
                  <c:v>-236.86307363177144</c:v>
                </c:pt>
                <c:pt idx="194">
                  <c:v>97.418857216447378</c:v>
                </c:pt>
                <c:pt idx="195">
                  <c:v>97.418857216447378</c:v>
                </c:pt>
                <c:pt idx="196">
                  <c:v>97.418857216447378</c:v>
                </c:pt>
                <c:pt idx="197">
                  <c:v>97.418857216447378</c:v>
                </c:pt>
                <c:pt idx="198">
                  <c:v>97.418857216447378</c:v>
                </c:pt>
                <c:pt idx="199">
                  <c:v>97.418857216447378</c:v>
                </c:pt>
                <c:pt idx="200">
                  <c:v>97.418857216447378</c:v>
                </c:pt>
                <c:pt idx="201">
                  <c:v>97.418857216447378</c:v>
                </c:pt>
                <c:pt idx="202">
                  <c:v>97.418857216447378</c:v>
                </c:pt>
                <c:pt idx="203">
                  <c:v>97.418857216447378</c:v>
                </c:pt>
                <c:pt idx="204">
                  <c:v>97.418857216447378</c:v>
                </c:pt>
                <c:pt idx="205">
                  <c:v>97.418857216447378</c:v>
                </c:pt>
                <c:pt idx="206">
                  <c:v>356.24993816751186</c:v>
                </c:pt>
                <c:pt idx="207">
                  <c:v>228.59599575941996</c:v>
                </c:pt>
                <c:pt idx="208">
                  <c:v>100.02602235625866</c:v>
                </c:pt>
                <c:pt idx="209">
                  <c:v>100.02602235625866</c:v>
                </c:pt>
                <c:pt idx="210">
                  <c:v>-158.89901049173545</c:v>
                </c:pt>
                <c:pt idx="211">
                  <c:v>-160.49619273954778</c:v>
                </c:pt>
                <c:pt idx="212">
                  <c:v>96.643754066773752</c:v>
                </c:pt>
                <c:pt idx="213">
                  <c:v>96.643754066773752</c:v>
                </c:pt>
                <c:pt idx="214">
                  <c:v>96.643754066773752</c:v>
                </c:pt>
                <c:pt idx="215">
                  <c:v>96.643754066773752</c:v>
                </c:pt>
                <c:pt idx="216">
                  <c:v>96.643754066773752</c:v>
                </c:pt>
                <c:pt idx="217">
                  <c:v>96.643754066773752</c:v>
                </c:pt>
                <c:pt idx="218">
                  <c:v>96.643754066773752</c:v>
                </c:pt>
                <c:pt idx="219">
                  <c:v>355.38088312090809</c:v>
                </c:pt>
                <c:pt idx="220">
                  <c:v>357.16596916258021</c:v>
                </c:pt>
                <c:pt idx="221">
                  <c:v>151.27198712803917</c:v>
                </c:pt>
                <c:pt idx="222">
                  <c:v>690.27440630267347</c:v>
                </c:pt>
                <c:pt idx="223">
                  <c:v>747.5999983248031</c:v>
                </c:pt>
                <c:pt idx="224">
                  <c:v>755.23358995037677</c:v>
                </c:pt>
                <c:pt idx="225">
                  <c:v>764.04158028757809</c:v>
                </c:pt>
                <c:pt idx="226">
                  <c:v>179.56090314953826</c:v>
                </c:pt>
                <c:pt idx="227">
                  <c:v>334.4393730611144</c:v>
                </c:pt>
                <c:pt idx="228">
                  <c:v>736.13822026243531</c:v>
                </c:pt>
                <c:pt idx="229">
                  <c:v>736.13822026243531</c:v>
                </c:pt>
                <c:pt idx="230">
                  <c:v>736.13822026243531</c:v>
                </c:pt>
                <c:pt idx="231">
                  <c:v>736.13822026243531</c:v>
                </c:pt>
                <c:pt idx="232">
                  <c:v>736.13822026243531</c:v>
                </c:pt>
                <c:pt idx="233">
                  <c:v>260.54494317649937</c:v>
                </c:pt>
                <c:pt idx="234">
                  <c:v>262.58839693473186</c:v>
                </c:pt>
                <c:pt idx="235">
                  <c:v>-249.34042112376318</c:v>
                </c:pt>
                <c:pt idx="236">
                  <c:v>-50.568662542901862</c:v>
                </c:pt>
                <c:pt idx="237">
                  <c:v>-336.72634470502948</c:v>
                </c:pt>
                <c:pt idx="238">
                  <c:v>-393.98147280446153</c:v>
                </c:pt>
                <c:pt idx="239">
                  <c:v>-399.61858662027072</c:v>
                </c:pt>
                <c:pt idx="240">
                  <c:v>-404.50408526063683</c:v>
                </c:pt>
                <c:pt idx="241">
                  <c:v>-414.25387125638537</c:v>
                </c:pt>
                <c:pt idx="242">
                  <c:v>74.125063400735229</c:v>
                </c:pt>
                <c:pt idx="243">
                  <c:v>-262.5770683124029</c:v>
                </c:pt>
                <c:pt idx="244">
                  <c:v>97.418857216447378</c:v>
                </c:pt>
                <c:pt idx="245">
                  <c:v>97.418857216447378</c:v>
                </c:pt>
                <c:pt idx="246">
                  <c:v>97.418857216447378</c:v>
                </c:pt>
                <c:pt idx="247">
                  <c:v>97.418857216447378</c:v>
                </c:pt>
                <c:pt idx="248">
                  <c:v>97.418857216447378</c:v>
                </c:pt>
                <c:pt idx="249">
                  <c:v>97.418857216447378</c:v>
                </c:pt>
                <c:pt idx="250">
                  <c:v>97.418857216447378</c:v>
                </c:pt>
                <c:pt idx="251">
                  <c:v>97.418857216447378</c:v>
                </c:pt>
                <c:pt idx="252">
                  <c:v>97.418857216447378</c:v>
                </c:pt>
                <c:pt idx="253">
                  <c:v>226.81090971774682</c:v>
                </c:pt>
                <c:pt idx="254">
                  <c:v>227.67996476435007</c:v>
                </c:pt>
                <c:pt idx="255">
                  <c:v>-159.72108958987417</c:v>
                </c:pt>
                <c:pt idx="256">
                  <c:v>97.418857216447378</c:v>
                </c:pt>
                <c:pt idx="257">
                  <c:v>97.418857216447378</c:v>
                </c:pt>
                <c:pt idx="258">
                  <c:v>97.418857216447378</c:v>
                </c:pt>
                <c:pt idx="259">
                  <c:v>97.418857216447378</c:v>
                </c:pt>
                <c:pt idx="260">
                  <c:v>97.418857216447378</c:v>
                </c:pt>
                <c:pt idx="261">
                  <c:v>97.418857216447378</c:v>
                </c:pt>
                <c:pt idx="262">
                  <c:v>97.418857216447378</c:v>
                </c:pt>
                <c:pt idx="263">
                  <c:v>356.24993816751186</c:v>
                </c:pt>
                <c:pt idx="264">
                  <c:v>228.59599575941996</c:v>
                </c:pt>
                <c:pt idx="265">
                  <c:v>151.27198712803917</c:v>
                </c:pt>
                <c:pt idx="266">
                  <c:v>-268.63868118417548</c:v>
                </c:pt>
                <c:pt idx="267">
                  <c:v>44.169817116257988</c:v>
                </c:pt>
                <c:pt idx="268">
                  <c:v>53.471054912342581</c:v>
                </c:pt>
                <c:pt idx="269">
                  <c:v>-193.72059646187881</c:v>
                </c:pt>
                <c:pt idx="270">
                  <c:v>-1218.1889227922122</c:v>
                </c:pt>
                <c:pt idx="271">
                  <c:v>-393.98147280446153</c:v>
                </c:pt>
                <c:pt idx="272">
                  <c:v>-399.61858662027072</c:v>
                </c:pt>
                <c:pt idx="273">
                  <c:v>-404.50408526063683</c:v>
                </c:pt>
                <c:pt idx="274">
                  <c:v>-414.25387125638537</c:v>
                </c:pt>
                <c:pt idx="275">
                  <c:v>48.225983483151438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377-4F39-AEC2-B10F71D1CB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567296"/>
        <c:axId val="102594048"/>
      </c:scatterChart>
      <c:valAx>
        <c:axId val="102567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594048"/>
        <c:crosses val="autoZero"/>
        <c:crossBetween val="midCat"/>
        <c:majorUnit val="10"/>
      </c:valAx>
      <c:valAx>
        <c:axId val="102594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Force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567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GB" sz="1400" b="1">
                <a:latin typeface="Book Antiqua"/>
                <a:ea typeface="Book Antiqua"/>
                <a:cs typeface="Book Antiqua"/>
              </a:defRPr>
            </a:pPr>
            <a:r>
              <a:rPr lang="en-US" sz="1400" b="1"/>
              <a:t>Power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0824900222009695E-2"/>
          <c:y val="0.1717122593718339"/>
          <c:w val="0.9337622551474779"/>
          <c:h val="0.7226948759064693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12"/>
            <c:bubble3D val="0"/>
            <c:spPr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884F-48DD-9EA1-735FBD9954AD}"/>
              </c:ext>
            </c:extLst>
          </c:dPt>
          <c:yVal>
            <c:numRef>
              <c:f>Simulation!$X$2:$X$278</c:f>
              <c:numCache>
                <c:formatCode>General</c:formatCode>
                <c:ptCount val="277"/>
                <c:pt idx="0">
                  <c:v>0</c:v>
                </c:pt>
                <c:pt idx="1">
                  <c:v>3.8905823362164709</c:v>
                </c:pt>
                <c:pt idx="2">
                  <c:v>1.1447853250473214</c:v>
                </c:pt>
                <c:pt idx="3">
                  <c:v>1.2408330768057352</c:v>
                </c:pt>
                <c:pt idx="4">
                  <c:v>2.6007262745934274</c:v>
                </c:pt>
                <c:pt idx="5">
                  <c:v>0.42039617803075358</c:v>
                </c:pt>
                <c:pt idx="6">
                  <c:v>1.4671588465782415</c:v>
                </c:pt>
                <c:pt idx="7">
                  <c:v>1.7485646391700918</c:v>
                </c:pt>
                <c:pt idx="8">
                  <c:v>3.6623176302481246</c:v>
                </c:pt>
                <c:pt idx="9">
                  <c:v>4.2258260420694809</c:v>
                </c:pt>
                <c:pt idx="10">
                  <c:v>4.8054625254623611</c:v>
                </c:pt>
                <c:pt idx="11">
                  <c:v>5.4032430893731709</c:v>
                </c:pt>
                <c:pt idx="12">
                  <c:v>1.3276356894153047</c:v>
                </c:pt>
                <c:pt idx="13">
                  <c:v>5.4968031209427215</c:v>
                </c:pt>
                <c:pt idx="14">
                  <c:v>3.7093201392703397</c:v>
                </c:pt>
                <c:pt idx="15">
                  <c:v>5.4098693491567547</c:v>
                </c:pt>
                <c:pt idx="16">
                  <c:v>5.8238052070050159</c:v>
                </c:pt>
                <c:pt idx="17">
                  <c:v>7.9820221597354992</c:v>
                </c:pt>
                <c:pt idx="18">
                  <c:v>8.6983272483334115</c:v>
                </c:pt>
                <c:pt idx="19">
                  <c:v>1.9130842204131711</c:v>
                </c:pt>
                <c:pt idx="20">
                  <c:v>4.6837648257156159</c:v>
                </c:pt>
                <c:pt idx="21">
                  <c:v>4.4671467186740434</c:v>
                </c:pt>
                <c:pt idx="22">
                  <c:v>4.2243204953287234</c:v>
                </c:pt>
                <c:pt idx="23">
                  <c:v>3.957302164626161</c:v>
                </c:pt>
                <c:pt idx="24">
                  <c:v>3.692467856505063</c:v>
                </c:pt>
                <c:pt idx="25">
                  <c:v>0.38997648307310429</c:v>
                </c:pt>
                <c:pt idx="26">
                  <c:v>2.9713703332635344</c:v>
                </c:pt>
                <c:pt idx="27">
                  <c:v>1.2850134537370574</c:v>
                </c:pt>
                <c:pt idx="28">
                  <c:v>1.2316005254574607</c:v>
                </c:pt>
                <c:pt idx="29">
                  <c:v>1.1741555792849943</c:v>
                </c:pt>
                <c:pt idx="30">
                  <c:v>1.1129306163379553</c:v>
                </c:pt>
                <c:pt idx="31">
                  <c:v>0.47881879919073594</c:v>
                </c:pt>
                <c:pt idx="32">
                  <c:v>0.47881879919073594</c:v>
                </c:pt>
                <c:pt idx="33">
                  <c:v>0.47881879919073594</c:v>
                </c:pt>
                <c:pt idx="34">
                  <c:v>0.47881879919073594</c:v>
                </c:pt>
                <c:pt idx="35">
                  <c:v>0.47881879919073594</c:v>
                </c:pt>
                <c:pt idx="36">
                  <c:v>0.47881879919073594</c:v>
                </c:pt>
                <c:pt idx="37">
                  <c:v>0.47881879919073594</c:v>
                </c:pt>
                <c:pt idx="38">
                  <c:v>0.47881879919073594</c:v>
                </c:pt>
                <c:pt idx="39">
                  <c:v>0.47881879919073594</c:v>
                </c:pt>
                <c:pt idx="40">
                  <c:v>0.47881879919073594</c:v>
                </c:pt>
                <c:pt idx="41">
                  <c:v>0.47881879919073594</c:v>
                </c:pt>
                <c:pt idx="42">
                  <c:v>0.47881879919073594</c:v>
                </c:pt>
                <c:pt idx="43">
                  <c:v>0.47881879919073594</c:v>
                </c:pt>
                <c:pt idx="44">
                  <c:v>0.47881879919073594</c:v>
                </c:pt>
                <c:pt idx="45">
                  <c:v>2.2367360254193436</c:v>
                </c:pt>
                <c:pt idx="46">
                  <c:v>3.43114921456471</c:v>
                </c:pt>
                <c:pt idx="47">
                  <c:v>3.782195044051055</c:v>
                </c:pt>
                <c:pt idx="48">
                  <c:v>5.4032430893731709</c:v>
                </c:pt>
                <c:pt idx="49">
                  <c:v>1.3276356894153047</c:v>
                </c:pt>
                <c:pt idx="50">
                  <c:v>4.1365460642913439</c:v>
                </c:pt>
                <c:pt idx="51">
                  <c:v>3.6071838995329744</c:v>
                </c:pt>
                <c:pt idx="52">
                  <c:v>5.2750197437596196</c:v>
                </c:pt>
                <c:pt idx="53">
                  <c:v>7.2939411963877285</c:v>
                </c:pt>
                <c:pt idx="54">
                  <c:v>2.9682021699745644</c:v>
                </c:pt>
                <c:pt idx="55">
                  <c:v>5.3693960279761574</c:v>
                </c:pt>
                <c:pt idx="56">
                  <c:v>1.9128448900110564</c:v>
                </c:pt>
                <c:pt idx="57">
                  <c:v>3.6729216201672847</c:v>
                </c:pt>
                <c:pt idx="58">
                  <c:v>3.3461109517817471</c:v>
                </c:pt>
                <c:pt idx="59">
                  <c:v>6.2325752737246205</c:v>
                </c:pt>
                <c:pt idx="60">
                  <c:v>4.6598452108342707</c:v>
                </c:pt>
                <c:pt idx="61">
                  <c:v>3.9773110830413674</c:v>
                </c:pt>
                <c:pt idx="62">
                  <c:v>2.6720103923454741</c:v>
                </c:pt>
                <c:pt idx="63">
                  <c:v>0.32202943086963359</c:v>
                </c:pt>
                <c:pt idx="64">
                  <c:v>0.32221930665599258</c:v>
                </c:pt>
                <c:pt idx="65">
                  <c:v>0.32143267810891313</c:v>
                </c:pt>
                <c:pt idx="66">
                  <c:v>0.53129022306717477</c:v>
                </c:pt>
                <c:pt idx="67">
                  <c:v>0.53129022306717477</c:v>
                </c:pt>
                <c:pt idx="68">
                  <c:v>0.53129022306717477</c:v>
                </c:pt>
                <c:pt idx="69">
                  <c:v>0.53129022306717477</c:v>
                </c:pt>
                <c:pt idx="70">
                  <c:v>0.53129022306717477</c:v>
                </c:pt>
                <c:pt idx="71">
                  <c:v>0.53129022306717477</c:v>
                </c:pt>
                <c:pt idx="72">
                  <c:v>0.53129022306717477</c:v>
                </c:pt>
                <c:pt idx="73">
                  <c:v>0.53129022306717477</c:v>
                </c:pt>
                <c:pt idx="74">
                  <c:v>0.53129022306717477</c:v>
                </c:pt>
                <c:pt idx="75">
                  <c:v>0.53129022306717477</c:v>
                </c:pt>
                <c:pt idx="76">
                  <c:v>0.53129022306717477</c:v>
                </c:pt>
                <c:pt idx="77">
                  <c:v>0.53129022306717477</c:v>
                </c:pt>
                <c:pt idx="78">
                  <c:v>0.53129022306717477</c:v>
                </c:pt>
                <c:pt idx="79">
                  <c:v>0.53129022306717477</c:v>
                </c:pt>
                <c:pt idx="80">
                  <c:v>0.53129022306717477</c:v>
                </c:pt>
                <c:pt idx="81">
                  <c:v>4.5135022742603255</c:v>
                </c:pt>
                <c:pt idx="82">
                  <c:v>3.9014363304248536</c:v>
                </c:pt>
                <c:pt idx="83">
                  <c:v>4.2662792211383964</c:v>
                </c:pt>
                <c:pt idx="84">
                  <c:v>1.3276356894153047</c:v>
                </c:pt>
                <c:pt idx="85">
                  <c:v>2.8341872055501716</c:v>
                </c:pt>
                <c:pt idx="86">
                  <c:v>3.5064651660861141</c:v>
                </c:pt>
                <c:pt idx="87">
                  <c:v>3.7093201392703397</c:v>
                </c:pt>
                <c:pt idx="88">
                  <c:v>8.4038969440287214</c:v>
                </c:pt>
                <c:pt idx="89">
                  <c:v>8.4038969440287214</c:v>
                </c:pt>
                <c:pt idx="90">
                  <c:v>8.4038969440287214</c:v>
                </c:pt>
                <c:pt idx="91">
                  <c:v>8.4038969440287214</c:v>
                </c:pt>
                <c:pt idx="92">
                  <c:v>8.4038969440287214</c:v>
                </c:pt>
                <c:pt idx="93">
                  <c:v>1.469379721055396</c:v>
                </c:pt>
                <c:pt idx="94">
                  <c:v>1.4405159020395926</c:v>
                </c:pt>
                <c:pt idx="95">
                  <c:v>1.4185401200355137</c:v>
                </c:pt>
                <c:pt idx="96">
                  <c:v>0.38997648307310429</c:v>
                </c:pt>
                <c:pt idx="97">
                  <c:v>0.94668898221516373</c:v>
                </c:pt>
                <c:pt idx="98">
                  <c:v>1.3341423630054652</c:v>
                </c:pt>
                <c:pt idx="99">
                  <c:v>2.1968219331974557</c:v>
                </c:pt>
                <c:pt idx="100">
                  <c:v>2.026878480461082</c:v>
                </c:pt>
                <c:pt idx="101">
                  <c:v>0.31970104536818394</c:v>
                </c:pt>
                <c:pt idx="102">
                  <c:v>0.50459775910202787</c:v>
                </c:pt>
                <c:pt idx="103">
                  <c:v>0.50459775910202787</c:v>
                </c:pt>
                <c:pt idx="104">
                  <c:v>0.50459775910202787</c:v>
                </c:pt>
                <c:pt idx="105">
                  <c:v>0.50459775910202787</c:v>
                </c:pt>
                <c:pt idx="106">
                  <c:v>0.50459775910202787</c:v>
                </c:pt>
                <c:pt idx="107">
                  <c:v>0.50459775910202787</c:v>
                </c:pt>
                <c:pt idx="108">
                  <c:v>0.50459775910202787</c:v>
                </c:pt>
                <c:pt idx="109">
                  <c:v>0.50459775910202787</c:v>
                </c:pt>
                <c:pt idx="110">
                  <c:v>0.50459775910202787</c:v>
                </c:pt>
                <c:pt idx="111">
                  <c:v>2.321221686989873</c:v>
                </c:pt>
                <c:pt idx="112">
                  <c:v>3.547082986260766</c:v>
                </c:pt>
                <c:pt idx="113">
                  <c:v>1.6744009932987547</c:v>
                </c:pt>
                <c:pt idx="114">
                  <c:v>0.67955760859331871</c:v>
                </c:pt>
                <c:pt idx="115">
                  <c:v>0.67955760859331871</c:v>
                </c:pt>
                <c:pt idx="116">
                  <c:v>0.67955760859331871</c:v>
                </c:pt>
                <c:pt idx="117">
                  <c:v>0.67955760859331871</c:v>
                </c:pt>
                <c:pt idx="118">
                  <c:v>2.1411716200452884</c:v>
                </c:pt>
                <c:pt idx="119">
                  <c:v>1.1741555792849943</c:v>
                </c:pt>
                <c:pt idx="120">
                  <c:v>0.53129022306717477</c:v>
                </c:pt>
                <c:pt idx="121">
                  <c:v>0.53129022306717477</c:v>
                </c:pt>
                <c:pt idx="122">
                  <c:v>0.53129022306717477</c:v>
                </c:pt>
                <c:pt idx="123">
                  <c:v>0.53129022306717477</c:v>
                </c:pt>
                <c:pt idx="124">
                  <c:v>0.53129022306717477</c:v>
                </c:pt>
                <c:pt idx="125">
                  <c:v>0.53129022306717477</c:v>
                </c:pt>
                <c:pt idx="126">
                  <c:v>0.53129022306717477</c:v>
                </c:pt>
                <c:pt idx="127">
                  <c:v>5.2993063868911765</c:v>
                </c:pt>
                <c:pt idx="128">
                  <c:v>6.827893659269197</c:v>
                </c:pt>
                <c:pt idx="129">
                  <c:v>6.9448715917134427</c:v>
                </c:pt>
                <c:pt idx="130">
                  <c:v>7.1998790676941899</c:v>
                </c:pt>
                <c:pt idx="131">
                  <c:v>3.9695968688948078</c:v>
                </c:pt>
                <c:pt idx="132">
                  <c:v>0.2828300174834687</c:v>
                </c:pt>
                <c:pt idx="133">
                  <c:v>0.15812018063577191</c:v>
                </c:pt>
                <c:pt idx="134">
                  <c:v>3.4801641977155224</c:v>
                </c:pt>
                <c:pt idx="135">
                  <c:v>3.4801641977155224</c:v>
                </c:pt>
                <c:pt idx="136">
                  <c:v>3.4801641977155224</c:v>
                </c:pt>
                <c:pt idx="137">
                  <c:v>3.4801641977155224</c:v>
                </c:pt>
                <c:pt idx="138">
                  <c:v>3.4801641977155224</c:v>
                </c:pt>
                <c:pt idx="139">
                  <c:v>3.4801641977155224</c:v>
                </c:pt>
                <c:pt idx="140">
                  <c:v>5.6540751406333705</c:v>
                </c:pt>
                <c:pt idx="141">
                  <c:v>6.0131279133867519</c:v>
                </c:pt>
                <c:pt idx="142">
                  <c:v>1.788397988635112</c:v>
                </c:pt>
                <c:pt idx="143">
                  <c:v>0.71771477739002543</c:v>
                </c:pt>
                <c:pt idx="144">
                  <c:v>3.3611557710358841</c:v>
                </c:pt>
                <c:pt idx="145">
                  <c:v>3.3611557710358841</c:v>
                </c:pt>
                <c:pt idx="146">
                  <c:v>3.3611557710358841</c:v>
                </c:pt>
                <c:pt idx="147">
                  <c:v>3.3611557710358841</c:v>
                </c:pt>
                <c:pt idx="148">
                  <c:v>4.3897352923033424</c:v>
                </c:pt>
                <c:pt idx="149">
                  <c:v>4.5381758201620768</c:v>
                </c:pt>
                <c:pt idx="150">
                  <c:v>6.3074324748531323</c:v>
                </c:pt>
                <c:pt idx="151">
                  <c:v>6.7699188662363881</c:v>
                </c:pt>
                <c:pt idx="152">
                  <c:v>6.9724862940472505</c:v>
                </c:pt>
                <c:pt idx="153">
                  <c:v>4.9795716385869406</c:v>
                </c:pt>
                <c:pt idx="154">
                  <c:v>3.1573096071099784</c:v>
                </c:pt>
                <c:pt idx="155">
                  <c:v>0.25178559008326856</c:v>
                </c:pt>
                <c:pt idx="156">
                  <c:v>0.17287954189900903</c:v>
                </c:pt>
                <c:pt idx="157">
                  <c:v>6.877338188424327E-2</c:v>
                </c:pt>
                <c:pt idx="158">
                  <c:v>6.2548898907398093E-2</c:v>
                </c:pt>
                <c:pt idx="159">
                  <c:v>10.729372985618308</c:v>
                </c:pt>
                <c:pt idx="160">
                  <c:v>7.3367514716581752</c:v>
                </c:pt>
                <c:pt idx="161">
                  <c:v>7.3367514716581752</c:v>
                </c:pt>
                <c:pt idx="162">
                  <c:v>0.3783246087797219</c:v>
                </c:pt>
                <c:pt idx="163">
                  <c:v>0.23336489907162691</c:v>
                </c:pt>
                <c:pt idx="164">
                  <c:v>0.11461330566728105</c:v>
                </c:pt>
                <c:pt idx="165">
                  <c:v>2.0053819620176262E-2</c:v>
                </c:pt>
                <c:pt idx="166">
                  <c:v>2.3560511738319105</c:v>
                </c:pt>
                <c:pt idx="167">
                  <c:v>2.1972380474611564</c:v>
                </c:pt>
                <c:pt idx="168">
                  <c:v>3.9695968688948078</c:v>
                </c:pt>
                <c:pt idx="169">
                  <c:v>0.73291606449208901</c:v>
                </c:pt>
                <c:pt idx="170">
                  <c:v>3.8433635051529049</c:v>
                </c:pt>
                <c:pt idx="171">
                  <c:v>3.8433635051529049</c:v>
                </c:pt>
                <c:pt idx="172">
                  <c:v>3.8433635051529049</c:v>
                </c:pt>
                <c:pt idx="173">
                  <c:v>3.8433635051529049</c:v>
                </c:pt>
                <c:pt idx="174">
                  <c:v>3.8433635051529049</c:v>
                </c:pt>
                <c:pt idx="175">
                  <c:v>3.8433635051529049</c:v>
                </c:pt>
                <c:pt idx="176">
                  <c:v>3.8433635051529049</c:v>
                </c:pt>
                <c:pt idx="177">
                  <c:v>3.8433635051529049</c:v>
                </c:pt>
                <c:pt idx="178">
                  <c:v>3.8433635051529049</c:v>
                </c:pt>
                <c:pt idx="179">
                  <c:v>3.8433635051529049</c:v>
                </c:pt>
                <c:pt idx="180">
                  <c:v>1.9974922933575208</c:v>
                </c:pt>
                <c:pt idx="181">
                  <c:v>3.2181058932840161</c:v>
                </c:pt>
                <c:pt idx="182">
                  <c:v>3.4202400330470319</c:v>
                </c:pt>
                <c:pt idx="183">
                  <c:v>1.1463122965774641</c:v>
                </c:pt>
                <c:pt idx="184">
                  <c:v>1.1023568060081284</c:v>
                </c:pt>
                <c:pt idx="185">
                  <c:v>1.0723101508763959</c:v>
                </c:pt>
                <c:pt idx="186">
                  <c:v>1.4123086539726593</c:v>
                </c:pt>
                <c:pt idx="187">
                  <c:v>1.3369037534503898</c:v>
                </c:pt>
                <c:pt idx="188">
                  <c:v>2.1547242790662553</c:v>
                </c:pt>
                <c:pt idx="189">
                  <c:v>1.391298012478408</c:v>
                </c:pt>
                <c:pt idx="190">
                  <c:v>1.2493511659768795</c:v>
                </c:pt>
                <c:pt idx="191">
                  <c:v>0.70236092362809377</c:v>
                </c:pt>
                <c:pt idx="192">
                  <c:v>0.21127729761857006</c:v>
                </c:pt>
                <c:pt idx="193">
                  <c:v>0.90004028980216599</c:v>
                </c:pt>
                <c:pt idx="194">
                  <c:v>0.37017545680250818</c:v>
                </c:pt>
                <c:pt idx="195">
                  <c:v>0.37017545680250818</c:v>
                </c:pt>
                <c:pt idx="196">
                  <c:v>0.37017545680250818</c:v>
                </c:pt>
                <c:pt idx="197">
                  <c:v>0.37017545680250818</c:v>
                </c:pt>
                <c:pt idx="198">
                  <c:v>0.37017545680250818</c:v>
                </c:pt>
                <c:pt idx="199">
                  <c:v>0.37017545680250818</c:v>
                </c:pt>
                <c:pt idx="200">
                  <c:v>0.37017545680250818</c:v>
                </c:pt>
                <c:pt idx="201">
                  <c:v>0.37017545680250818</c:v>
                </c:pt>
                <c:pt idx="202">
                  <c:v>0.37017545680250818</c:v>
                </c:pt>
                <c:pt idx="203">
                  <c:v>0.37017545680250818</c:v>
                </c:pt>
                <c:pt idx="204">
                  <c:v>0.37017545680250818</c:v>
                </c:pt>
                <c:pt idx="205">
                  <c:v>0.37017545680250818</c:v>
                </c:pt>
                <c:pt idx="206">
                  <c:v>1.5129482295418575</c:v>
                </c:pt>
                <c:pt idx="207">
                  <c:v>1.0219138455185206</c:v>
                </c:pt>
                <c:pt idx="208">
                  <c:v>0.44715558913631415</c:v>
                </c:pt>
                <c:pt idx="209">
                  <c:v>0.44715558913631415</c:v>
                </c:pt>
                <c:pt idx="210">
                  <c:v>0.63930686313697238</c:v>
                </c:pt>
                <c:pt idx="211">
                  <c:v>0.57398479258110724</c:v>
                </c:pt>
                <c:pt idx="212">
                  <c:v>0.34562841763041924</c:v>
                </c:pt>
                <c:pt idx="213">
                  <c:v>0.34562841763041924</c:v>
                </c:pt>
                <c:pt idx="214">
                  <c:v>0.34562841763041924</c:v>
                </c:pt>
                <c:pt idx="215">
                  <c:v>0.34562841763041924</c:v>
                </c:pt>
                <c:pt idx="216">
                  <c:v>0.34562841763041924</c:v>
                </c:pt>
                <c:pt idx="217">
                  <c:v>0.34562841763041924</c:v>
                </c:pt>
                <c:pt idx="218">
                  <c:v>0.34562841763041924</c:v>
                </c:pt>
                <c:pt idx="219">
                  <c:v>1.4298228598389644</c:v>
                </c:pt>
                <c:pt idx="220">
                  <c:v>1.5966721019007222</c:v>
                </c:pt>
                <c:pt idx="221">
                  <c:v>0.68977007371945576</c:v>
                </c:pt>
                <c:pt idx="222">
                  <c:v>3.8572469886467307</c:v>
                </c:pt>
                <c:pt idx="223">
                  <c:v>5.0130982390551582</c:v>
                </c:pt>
                <c:pt idx="224">
                  <c:v>5.9083336272459661</c:v>
                </c:pt>
                <c:pt idx="225">
                  <c:v>6.8311316377513753</c:v>
                </c:pt>
                <c:pt idx="226">
                  <c:v>1.6214696163601494</c:v>
                </c:pt>
                <c:pt idx="227">
                  <c:v>3.1396581197007527</c:v>
                </c:pt>
                <c:pt idx="228">
                  <c:v>6.9107363744718846</c:v>
                </c:pt>
                <c:pt idx="229">
                  <c:v>6.9107363744718846</c:v>
                </c:pt>
                <c:pt idx="230">
                  <c:v>6.9107363744718846</c:v>
                </c:pt>
                <c:pt idx="231">
                  <c:v>6.9107363744718846</c:v>
                </c:pt>
                <c:pt idx="232">
                  <c:v>6.9107363744718846</c:v>
                </c:pt>
                <c:pt idx="233">
                  <c:v>2.5041870941083517</c:v>
                </c:pt>
                <c:pt idx="234">
                  <c:v>2.5825210924584927</c:v>
                </c:pt>
                <c:pt idx="235">
                  <c:v>2.2850316204445114</c:v>
                </c:pt>
                <c:pt idx="236">
                  <c:v>0.44760231313734694</c:v>
                </c:pt>
                <c:pt idx="237">
                  <c:v>2.7095381211344653</c:v>
                </c:pt>
                <c:pt idx="238">
                  <c:v>2.8180029705183798</c:v>
                </c:pt>
                <c:pt idx="239">
                  <c:v>2.5010327557662655</c:v>
                </c:pt>
                <c:pt idx="240">
                  <c:v>2.169950478389068</c:v>
                </c:pt>
                <c:pt idx="241">
                  <c:v>1.8518774363925063</c:v>
                </c:pt>
                <c:pt idx="242">
                  <c:v>0.32805445280931933</c:v>
                </c:pt>
                <c:pt idx="243">
                  <c:v>0.99774919338713797</c:v>
                </c:pt>
                <c:pt idx="244">
                  <c:v>0.37017545680250818</c:v>
                </c:pt>
                <c:pt idx="245">
                  <c:v>0.37017545680250818</c:v>
                </c:pt>
                <c:pt idx="246">
                  <c:v>0.37017545680250818</c:v>
                </c:pt>
                <c:pt idx="247">
                  <c:v>0.37017545680250818</c:v>
                </c:pt>
                <c:pt idx="248">
                  <c:v>0.37017545680250818</c:v>
                </c:pt>
                <c:pt idx="249">
                  <c:v>0.37017545680250818</c:v>
                </c:pt>
                <c:pt idx="250">
                  <c:v>0.37017545680250818</c:v>
                </c:pt>
                <c:pt idx="251">
                  <c:v>0.37017545680250818</c:v>
                </c:pt>
                <c:pt idx="252">
                  <c:v>0.37017545680250818</c:v>
                </c:pt>
                <c:pt idx="253">
                  <c:v>0.91254042909497857</c:v>
                </c:pt>
                <c:pt idx="254">
                  <c:v>0.96692788597875912</c:v>
                </c:pt>
                <c:pt idx="255">
                  <c:v>0.60691357904723875</c:v>
                </c:pt>
                <c:pt idx="256">
                  <c:v>0.37017545680250818</c:v>
                </c:pt>
                <c:pt idx="257">
                  <c:v>0.37017545680250818</c:v>
                </c:pt>
                <c:pt idx="258">
                  <c:v>0.37017545680250818</c:v>
                </c:pt>
                <c:pt idx="259">
                  <c:v>0.37017545680250818</c:v>
                </c:pt>
                <c:pt idx="260">
                  <c:v>0.37017545680250818</c:v>
                </c:pt>
                <c:pt idx="261">
                  <c:v>0.37017545680250818</c:v>
                </c:pt>
                <c:pt idx="262">
                  <c:v>0.37017545680250818</c:v>
                </c:pt>
                <c:pt idx="263">
                  <c:v>1.5129482295418575</c:v>
                </c:pt>
                <c:pt idx="264">
                  <c:v>1.0219138455185206</c:v>
                </c:pt>
                <c:pt idx="265">
                  <c:v>0.68977007371945576</c:v>
                </c:pt>
                <c:pt idx="266">
                  <c:v>1.4411044436641598</c:v>
                </c:pt>
                <c:pt idx="267">
                  <c:v>0.29618463469912903</c:v>
                </c:pt>
                <c:pt idx="268">
                  <c:v>0.43026589377549979</c:v>
                </c:pt>
                <c:pt idx="269">
                  <c:v>1.7320142378595651</c:v>
                </c:pt>
                <c:pt idx="270">
                  <c:v>9.8024089203375251</c:v>
                </c:pt>
                <c:pt idx="271">
                  <c:v>2.8180029705183798</c:v>
                </c:pt>
                <c:pt idx="272">
                  <c:v>2.5010327557662655</c:v>
                </c:pt>
                <c:pt idx="273">
                  <c:v>2.169950478389068</c:v>
                </c:pt>
                <c:pt idx="274">
                  <c:v>1.8518774363925063</c:v>
                </c:pt>
                <c:pt idx="275">
                  <c:v>0.21127729761857006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E33-4D5E-86DE-4F7248D60920}"/>
            </c:ext>
          </c:extLst>
        </c:ser>
        <c:ser>
          <c:idx val="1"/>
          <c:order val="1"/>
          <c:tx>
            <c:v>Average Power (kW)</c:v>
          </c:tx>
          <c:spPr>
            <a:ln w="12700"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Simulation!$AL$2:$AL$278</c:f>
              <c:numCache>
                <c:formatCode>General</c:formatCode>
                <c:ptCount val="277"/>
                <c:pt idx="0">
                  <c:v>0</c:v>
                </c:pt>
                <c:pt idx="1">
                  <c:v>2.3289729133329846</c:v>
                </c:pt>
                <c:pt idx="2">
                  <c:v>2.3289729133329846</c:v>
                </c:pt>
                <c:pt idx="3">
                  <c:v>2.3289729133329846</c:v>
                </c:pt>
                <c:pt idx="4">
                  <c:v>2.3289729133329846</c:v>
                </c:pt>
                <c:pt idx="5">
                  <c:v>2.3289729133329846</c:v>
                </c:pt>
                <c:pt idx="6">
                  <c:v>2.3289729133329846</c:v>
                </c:pt>
                <c:pt idx="7">
                  <c:v>2.3289729133329846</c:v>
                </c:pt>
                <c:pt idx="8">
                  <c:v>2.3289729133329846</c:v>
                </c:pt>
                <c:pt idx="9">
                  <c:v>2.3289729133329846</c:v>
                </c:pt>
                <c:pt idx="10">
                  <c:v>2.3289729133329846</c:v>
                </c:pt>
                <c:pt idx="11">
                  <c:v>2.3289729133329846</c:v>
                </c:pt>
                <c:pt idx="12">
                  <c:v>2.3289729133329846</c:v>
                </c:pt>
                <c:pt idx="13">
                  <c:v>2.3289729133329846</c:v>
                </c:pt>
                <c:pt idx="14">
                  <c:v>2.3289729133329846</c:v>
                </c:pt>
                <c:pt idx="15">
                  <c:v>2.3289729133329802</c:v>
                </c:pt>
                <c:pt idx="16">
                  <c:v>2.3289729133329802</c:v>
                </c:pt>
                <c:pt idx="17">
                  <c:v>2.3289729133329802</c:v>
                </c:pt>
                <c:pt idx="18">
                  <c:v>2.3289729133329802</c:v>
                </c:pt>
                <c:pt idx="19">
                  <c:v>2.3289729133329802</c:v>
                </c:pt>
                <c:pt idx="20">
                  <c:v>2.3289729133329802</c:v>
                </c:pt>
                <c:pt idx="21">
                  <c:v>2.3289729133329802</c:v>
                </c:pt>
                <c:pt idx="22">
                  <c:v>2.3289729133329802</c:v>
                </c:pt>
                <c:pt idx="23">
                  <c:v>2.3289729133329802</c:v>
                </c:pt>
                <c:pt idx="24">
                  <c:v>2.3289729133329802</c:v>
                </c:pt>
                <c:pt idx="25">
                  <c:v>2.3289729133329802</c:v>
                </c:pt>
                <c:pt idx="26">
                  <c:v>2.3289729133329802</c:v>
                </c:pt>
                <c:pt idx="27">
                  <c:v>2.3289729133329802</c:v>
                </c:pt>
                <c:pt idx="28">
                  <c:v>2.3289729133329802</c:v>
                </c:pt>
                <c:pt idx="29">
                  <c:v>2.3289729133329802</c:v>
                </c:pt>
                <c:pt idx="30">
                  <c:v>2.3289729133329802</c:v>
                </c:pt>
                <c:pt idx="31">
                  <c:v>2.3289729133329802</c:v>
                </c:pt>
                <c:pt idx="32">
                  <c:v>2.3289729133329802</c:v>
                </c:pt>
                <c:pt idx="33">
                  <c:v>2.3289729133329802</c:v>
                </c:pt>
                <c:pt idx="34">
                  <c:v>2.3289729133329802</c:v>
                </c:pt>
                <c:pt idx="35">
                  <c:v>2.3289729133329802</c:v>
                </c:pt>
                <c:pt idx="36">
                  <c:v>2.3289729133329802</c:v>
                </c:pt>
                <c:pt idx="37">
                  <c:v>2.3289729133329802</c:v>
                </c:pt>
                <c:pt idx="38">
                  <c:v>2.3289729133329802</c:v>
                </c:pt>
                <c:pt idx="39">
                  <c:v>2.3289729133329802</c:v>
                </c:pt>
                <c:pt idx="40">
                  <c:v>2.3289729133329802</c:v>
                </c:pt>
                <c:pt idx="41">
                  <c:v>2.3289729133329802</c:v>
                </c:pt>
                <c:pt idx="42">
                  <c:v>2.3289729133329802</c:v>
                </c:pt>
                <c:pt idx="43">
                  <c:v>2.3289729133329802</c:v>
                </c:pt>
                <c:pt idx="44">
                  <c:v>2.3289729133329802</c:v>
                </c:pt>
                <c:pt idx="45">
                  <c:v>2.3289729133329802</c:v>
                </c:pt>
                <c:pt idx="46">
                  <c:v>2.3289729133329802</c:v>
                </c:pt>
                <c:pt idx="47">
                  <c:v>2.3289729133329802</c:v>
                </c:pt>
                <c:pt idx="48">
                  <c:v>2.3289729133329802</c:v>
                </c:pt>
                <c:pt idx="49">
                  <c:v>2.3289729133329802</c:v>
                </c:pt>
                <c:pt idx="50">
                  <c:v>2.3289729133329802</c:v>
                </c:pt>
                <c:pt idx="51">
                  <c:v>2.3289729133329802</c:v>
                </c:pt>
                <c:pt idx="52">
                  <c:v>2.3289729133329802</c:v>
                </c:pt>
                <c:pt idx="53">
                  <c:v>2.3289729133329802</c:v>
                </c:pt>
                <c:pt idx="54">
                  <c:v>2.3289729133329802</c:v>
                </c:pt>
                <c:pt idx="55">
                  <c:v>2.3289729133329802</c:v>
                </c:pt>
                <c:pt idx="56">
                  <c:v>2.3289729133329802</c:v>
                </c:pt>
                <c:pt idx="57">
                  <c:v>2.3289729133329802</c:v>
                </c:pt>
                <c:pt idx="58">
                  <c:v>2.3289729133329802</c:v>
                </c:pt>
                <c:pt idx="59">
                  <c:v>2.3289729133329802</c:v>
                </c:pt>
                <c:pt idx="60">
                  <c:v>2.3289729133329802</c:v>
                </c:pt>
                <c:pt idx="61">
                  <c:v>2.3289729133329802</c:v>
                </c:pt>
                <c:pt idx="62">
                  <c:v>2.3289729133329802</c:v>
                </c:pt>
                <c:pt idx="63">
                  <c:v>2.3289729133329802</c:v>
                </c:pt>
                <c:pt idx="64">
                  <c:v>2.3289729133329802</c:v>
                </c:pt>
                <c:pt idx="65">
                  <c:v>2.3289729133329802</c:v>
                </c:pt>
                <c:pt idx="66">
                  <c:v>2.3289729133329802</c:v>
                </c:pt>
                <c:pt idx="67">
                  <c:v>2.3289729133329802</c:v>
                </c:pt>
                <c:pt idx="68">
                  <c:v>2.3289729133329802</c:v>
                </c:pt>
                <c:pt idx="69">
                  <c:v>2.3289729133329802</c:v>
                </c:pt>
                <c:pt idx="70">
                  <c:v>2.3289729133329802</c:v>
                </c:pt>
                <c:pt idx="71">
                  <c:v>2.3289729133329802</c:v>
                </c:pt>
                <c:pt idx="72">
                  <c:v>2.3289729133329802</c:v>
                </c:pt>
                <c:pt idx="73">
                  <c:v>2.3289729133329802</c:v>
                </c:pt>
                <c:pt idx="74">
                  <c:v>2.3289729133329802</c:v>
                </c:pt>
                <c:pt idx="75">
                  <c:v>2.3289729133329802</c:v>
                </c:pt>
                <c:pt idx="76">
                  <c:v>2.3289729133329802</c:v>
                </c:pt>
                <c:pt idx="77">
                  <c:v>2.3289729133329802</c:v>
                </c:pt>
                <c:pt idx="78">
                  <c:v>2.3289729133329802</c:v>
                </c:pt>
                <c:pt idx="79">
                  <c:v>2.3289729133329802</c:v>
                </c:pt>
                <c:pt idx="80">
                  <c:v>2.3289729133329802</c:v>
                </c:pt>
                <c:pt idx="81">
                  <c:v>2.3289729133329802</c:v>
                </c:pt>
                <c:pt idx="82">
                  <c:v>2.3289729133329802</c:v>
                </c:pt>
                <c:pt idx="83">
                  <c:v>2.3289729133329802</c:v>
                </c:pt>
                <c:pt idx="84">
                  <c:v>2.3289729133329802</c:v>
                </c:pt>
                <c:pt idx="85">
                  <c:v>2.3289729133329802</c:v>
                </c:pt>
                <c:pt idx="86">
                  <c:v>2.3289729133329802</c:v>
                </c:pt>
                <c:pt idx="87">
                  <c:v>2.3289729133329802</c:v>
                </c:pt>
                <c:pt idx="88">
                  <c:v>2.3289729133329802</c:v>
                </c:pt>
                <c:pt idx="89">
                  <c:v>2.3289729133329802</c:v>
                </c:pt>
                <c:pt idx="90">
                  <c:v>2.3289729133329802</c:v>
                </c:pt>
                <c:pt idx="91">
                  <c:v>2.3289729133329802</c:v>
                </c:pt>
                <c:pt idx="92">
                  <c:v>2.3289729133329802</c:v>
                </c:pt>
                <c:pt idx="93">
                  <c:v>2.3289729133329802</c:v>
                </c:pt>
                <c:pt idx="94">
                  <c:v>2.3289729133329802</c:v>
                </c:pt>
                <c:pt idx="95">
                  <c:v>2.3289729133329802</c:v>
                </c:pt>
                <c:pt idx="96">
                  <c:v>2.3289729133329802</c:v>
                </c:pt>
                <c:pt idx="97">
                  <c:v>2.3289729133329802</c:v>
                </c:pt>
                <c:pt idx="98">
                  <c:v>2.3289729133329802</c:v>
                </c:pt>
                <c:pt idx="99">
                  <c:v>2.3289729133329802</c:v>
                </c:pt>
                <c:pt idx="100">
                  <c:v>2.3289729133329802</c:v>
                </c:pt>
                <c:pt idx="101">
                  <c:v>2.3289729133329802</c:v>
                </c:pt>
                <c:pt idx="102">
                  <c:v>2.3289729133329802</c:v>
                </c:pt>
                <c:pt idx="103">
                  <c:v>2.3289729133329802</c:v>
                </c:pt>
                <c:pt idx="104">
                  <c:v>2.3289729133329802</c:v>
                </c:pt>
                <c:pt idx="105">
                  <c:v>2.3289729133329802</c:v>
                </c:pt>
                <c:pt idx="106">
                  <c:v>2.3289729133329802</c:v>
                </c:pt>
                <c:pt idx="107">
                  <c:v>2.3289729133329802</c:v>
                </c:pt>
                <c:pt idx="108">
                  <c:v>2.3289729133329802</c:v>
                </c:pt>
                <c:pt idx="109">
                  <c:v>2.3289729133329802</c:v>
                </c:pt>
                <c:pt idx="110">
                  <c:v>2.3289729133329802</c:v>
                </c:pt>
                <c:pt idx="111">
                  <c:v>2.3289729133329802</c:v>
                </c:pt>
                <c:pt idx="112">
                  <c:v>2.3289729133329802</c:v>
                </c:pt>
                <c:pt idx="113">
                  <c:v>2.3289729133329802</c:v>
                </c:pt>
                <c:pt idx="114">
                  <c:v>2.3289729133329802</c:v>
                </c:pt>
                <c:pt idx="115">
                  <c:v>2.3289729133329802</c:v>
                </c:pt>
                <c:pt idx="116">
                  <c:v>2.3289729133329802</c:v>
                </c:pt>
                <c:pt idx="117">
                  <c:v>2.3289729133329802</c:v>
                </c:pt>
                <c:pt idx="118">
                  <c:v>2.3289729133329802</c:v>
                </c:pt>
                <c:pt idx="119">
                  <c:v>2.3289729133329802</c:v>
                </c:pt>
                <c:pt idx="120">
                  <c:v>2.3289729133329802</c:v>
                </c:pt>
                <c:pt idx="121">
                  <c:v>2.3289729133329802</c:v>
                </c:pt>
                <c:pt idx="122">
                  <c:v>2.3289729133329802</c:v>
                </c:pt>
                <c:pt idx="123">
                  <c:v>2.3289729133329802</c:v>
                </c:pt>
                <c:pt idx="124">
                  <c:v>2.3289729133329802</c:v>
                </c:pt>
                <c:pt idx="125">
                  <c:v>2.3289729133329802</c:v>
                </c:pt>
                <c:pt idx="126">
                  <c:v>2.3289729133329802</c:v>
                </c:pt>
                <c:pt idx="127">
                  <c:v>2.3289729133329802</c:v>
                </c:pt>
                <c:pt idx="128">
                  <c:v>2.3289729133329802</c:v>
                </c:pt>
                <c:pt idx="129">
                  <c:v>2.3289729133329802</c:v>
                </c:pt>
                <c:pt idx="130">
                  <c:v>2.3289729133329802</c:v>
                </c:pt>
                <c:pt idx="131">
                  <c:v>2.3289729133329802</c:v>
                </c:pt>
                <c:pt idx="132">
                  <c:v>2.3289729133329802</c:v>
                </c:pt>
                <c:pt idx="133">
                  <c:v>2.3289729133329802</c:v>
                </c:pt>
                <c:pt idx="134">
                  <c:v>2.3289729133329802</c:v>
                </c:pt>
                <c:pt idx="135">
                  <c:v>2.3289729133329802</c:v>
                </c:pt>
                <c:pt idx="136">
                  <c:v>2.3289729133329802</c:v>
                </c:pt>
                <c:pt idx="137">
                  <c:v>2.3289729133329802</c:v>
                </c:pt>
                <c:pt idx="138">
                  <c:v>2.3289729133329802</c:v>
                </c:pt>
                <c:pt idx="139">
                  <c:v>2.3289729133329802</c:v>
                </c:pt>
                <c:pt idx="140">
                  <c:v>2.3289729133329802</c:v>
                </c:pt>
                <c:pt idx="141">
                  <c:v>2.3289729133329802</c:v>
                </c:pt>
                <c:pt idx="142">
                  <c:v>2.3289729133329802</c:v>
                </c:pt>
                <c:pt idx="143">
                  <c:v>2.3289729133329802</c:v>
                </c:pt>
                <c:pt idx="144">
                  <c:v>2.3289729133329802</c:v>
                </c:pt>
                <c:pt idx="145">
                  <c:v>2.3289729133329802</c:v>
                </c:pt>
                <c:pt idx="146">
                  <c:v>2.3289729133329802</c:v>
                </c:pt>
                <c:pt idx="147">
                  <c:v>2.3289729133329802</c:v>
                </c:pt>
                <c:pt idx="148">
                  <c:v>2.3289729133329802</c:v>
                </c:pt>
                <c:pt idx="149">
                  <c:v>2.3289729133329802</c:v>
                </c:pt>
                <c:pt idx="150">
                  <c:v>2.3289729133329802</c:v>
                </c:pt>
                <c:pt idx="151">
                  <c:v>2.3289729133329802</c:v>
                </c:pt>
                <c:pt idx="152">
                  <c:v>2.3289729133329802</c:v>
                </c:pt>
                <c:pt idx="153">
                  <c:v>2.3289729133329802</c:v>
                </c:pt>
                <c:pt idx="154">
                  <c:v>2.3289729133329802</c:v>
                </c:pt>
                <c:pt idx="155">
                  <c:v>2.3289729133329802</c:v>
                </c:pt>
                <c:pt idx="156">
                  <c:v>2.3289729133329802</c:v>
                </c:pt>
                <c:pt idx="157">
                  <c:v>2.3289729133329802</c:v>
                </c:pt>
                <c:pt idx="158">
                  <c:v>2.3289729133329802</c:v>
                </c:pt>
                <c:pt idx="159">
                  <c:v>2.3289729133329802</c:v>
                </c:pt>
                <c:pt idx="160">
                  <c:v>2.3289729133329802</c:v>
                </c:pt>
                <c:pt idx="161">
                  <c:v>2.3289729133329802</c:v>
                </c:pt>
                <c:pt idx="162">
                  <c:v>2.3289729133329802</c:v>
                </c:pt>
                <c:pt idx="163">
                  <c:v>2.3289729133329802</c:v>
                </c:pt>
                <c:pt idx="164">
                  <c:v>2.3289729133329802</c:v>
                </c:pt>
                <c:pt idx="165">
                  <c:v>2.3289729133329802</c:v>
                </c:pt>
                <c:pt idx="166">
                  <c:v>2.3289729133329802</c:v>
                </c:pt>
                <c:pt idx="167">
                  <c:v>2.3289729133329802</c:v>
                </c:pt>
                <c:pt idx="168">
                  <c:v>2.3289729133329802</c:v>
                </c:pt>
                <c:pt idx="169">
                  <c:v>2.3289729133329802</c:v>
                </c:pt>
                <c:pt idx="170">
                  <c:v>2.3289729133329802</c:v>
                </c:pt>
                <c:pt idx="171">
                  <c:v>2.3289729133329802</c:v>
                </c:pt>
                <c:pt idx="172">
                  <c:v>2.3289729133329802</c:v>
                </c:pt>
                <c:pt idx="173">
                  <c:v>2.3289729133329802</c:v>
                </c:pt>
                <c:pt idx="174">
                  <c:v>2.3289729133329802</c:v>
                </c:pt>
                <c:pt idx="175">
                  <c:v>2.3289729133329802</c:v>
                </c:pt>
                <c:pt idx="176">
                  <c:v>2.3289729133329802</c:v>
                </c:pt>
                <c:pt idx="177">
                  <c:v>2.3289729133329802</c:v>
                </c:pt>
                <c:pt idx="178">
                  <c:v>2.3289729133329802</c:v>
                </c:pt>
                <c:pt idx="179">
                  <c:v>2.3289729133329802</c:v>
                </c:pt>
                <c:pt idx="180">
                  <c:v>2.3289729133329802</c:v>
                </c:pt>
                <c:pt idx="181">
                  <c:v>2.3289729133329802</c:v>
                </c:pt>
                <c:pt idx="182">
                  <c:v>2.3289729133329802</c:v>
                </c:pt>
                <c:pt idx="183">
                  <c:v>2.3289729133329802</c:v>
                </c:pt>
                <c:pt idx="184">
                  <c:v>2.3289729133329802</c:v>
                </c:pt>
                <c:pt idx="185">
                  <c:v>2.3289729133329802</c:v>
                </c:pt>
                <c:pt idx="186">
                  <c:v>2.3289729133329802</c:v>
                </c:pt>
                <c:pt idx="187">
                  <c:v>2.3289729133329802</c:v>
                </c:pt>
                <c:pt idx="188">
                  <c:v>2.3289729133329802</c:v>
                </c:pt>
                <c:pt idx="189">
                  <c:v>2.3289729133329802</c:v>
                </c:pt>
                <c:pt idx="190">
                  <c:v>2.3289729133329802</c:v>
                </c:pt>
                <c:pt idx="191">
                  <c:v>2.3289729133329802</c:v>
                </c:pt>
                <c:pt idx="192">
                  <c:v>2.3289729133329802</c:v>
                </c:pt>
                <c:pt idx="193">
                  <c:v>2.3289729133329802</c:v>
                </c:pt>
                <c:pt idx="194">
                  <c:v>2.3289729133329802</c:v>
                </c:pt>
                <c:pt idx="195">
                  <c:v>2.3289729133329802</c:v>
                </c:pt>
                <c:pt idx="196">
                  <c:v>2.3289729133329802</c:v>
                </c:pt>
                <c:pt idx="197">
                  <c:v>2.3289729133329802</c:v>
                </c:pt>
                <c:pt idx="198">
                  <c:v>2.3289729133329802</c:v>
                </c:pt>
                <c:pt idx="199">
                  <c:v>2.3289729133329802</c:v>
                </c:pt>
                <c:pt idx="200">
                  <c:v>2.3289729133329802</c:v>
                </c:pt>
                <c:pt idx="201">
                  <c:v>2.3289729133329802</c:v>
                </c:pt>
                <c:pt idx="202">
                  <c:v>2.3289729133329802</c:v>
                </c:pt>
                <c:pt idx="203">
                  <c:v>2.3289729133329802</c:v>
                </c:pt>
                <c:pt idx="204">
                  <c:v>2.3289729133329802</c:v>
                </c:pt>
                <c:pt idx="205">
                  <c:v>2.3289729133329802</c:v>
                </c:pt>
                <c:pt idx="206">
                  <c:v>2.3289729133329802</c:v>
                </c:pt>
                <c:pt idx="207">
                  <c:v>2.3289729133329802</c:v>
                </c:pt>
                <c:pt idx="208">
                  <c:v>2.3289729133329802</c:v>
                </c:pt>
                <c:pt idx="209">
                  <c:v>2.3289729133329802</c:v>
                </c:pt>
                <c:pt idx="210">
                  <c:v>2.3289729133329802</c:v>
                </c:pt>
                <c:pt idx="211">
                  <c:v>2.3289729133329802</c:v>
                </c:pt>
                <c:pt idx="212">
                  <c:v>2.3289729133329802</c:v>
                </c:pt>
                <c:pt idx="213">
                  <c:v>2.3289729133329802</c:v>
                </c:pt>
                <c:pt idx="214">
                  <c:v>2.3289729133329802</c:v>
                </c:pt>
                <c:pt idx="215">
                  <c:v>2.3289729133329802</c:v>
                </c:pt>
                <c:pt idx="216">
                  <c:v>2.3289729133329802</c:v>
                </c:pt>
                <c:pt idx="217">
                  <c:v>2.3289729133329802</c:v>
                </c:pt>
                <c:pt idx="218">
                  <c:v>2.3289729133329802</c:v>
                </c:pt>
                <c:pt idx="219">
                  <c:v>2.3289729133329802</c:v>
                </c:pt>
                <c:pt idx="220">
                  <c:v>2.3289729133329802</c:v>
                </c:pt>
                <c:pt idx="221">
                  <c:v>2.3289729133329802</c:v>
                </c:pt>
                <c:pt idx="222">
                  <c:v>2.3289729133329802</c:v>
                </c:pt>
                <c:pt idx="223">
                  <c:v>2.3289729133329802</c:v>
                </c:pt>
                <c:pt idx="224">
                  <c:v>2.3289729133329802</c:v>
                </c:pt>
                <c:pt idx="225">
                  <c:v>2.3289729133329802</c:v>
                </c:pt>
                <c:pt idx="226">
                  <c:v>2.3289729133329802</c:v>
                </c:pt>
                <c:pt idx="227">
                  <c:v>2.3289729133329802</c:v>
                </c:pt>
                <c:pt idx="228">
                  <c:v>2.3289729133329802</c:v>
                </c:pt>
                <c:pt idx="229">
                  <c:v>2.3289729133329802</c:v>
                </c:pt>
                <c:pt idx="230">
                  <c:v>2.3289729133329802</c:v>
                </c:pt>
                <c:pt idx="231">
                  <c:v>2.3289729133329802</c:v>
                </c:pt>
                <c:pt idx="232">
                  <c:v>2.3289729133329802</c:v>
                </c:pt>
                <c:pt idx="233">
                  <c:v>2.3289729133329802</c:v>
                </c:pt>
                <c:pt idx="234">
                  <c:v>2.3289729133329802</c:v>
                </c:pt>
                <c:pt idx="235">
                  <c:v>2.3289729133329802</c:v>
                </c:pt>
                <c:pt idx="236">
                  <c:v>2.3289729133329802</c:v>
                </c:pt>
                <c:pt idx="237">
                  <c:v>2.3289729133329802</c:v>
                </c:pt>
                <c:pt idx="238">
                  <c:v>2.3289729133329802</c:v>
                </c:pt>
                <c:pt idx="239">
                  <c:v>2.3289729133329802</c:v>
                </c:pt>
                <c:pt idx="240">
                  <c:v>2.3289729133329802</c:v>
                </c:pt>
                <c:pt idx="241">
                  <c:v>2.3289729133329802</c:v>
                </c:pt>
                <c:pt idx="242">
                  <c:v>2.3289729133329802</c:v>
                </c:pt>
                <c:pt idx="243">
                  <c:v>2.3289729133329802</c:v>
                </c:pt>
                <c:pt idx="244">
                  <c:v>2.3289729133329802</c:v>
                </c:pt>
                <c:pt idx="245">
                  <c:v>2.3289729133329802</c:v>
                </c:pt>
                <c:pt idx="246">
                  <c:v>2.3289729133329802</c:v>
                </c:pt>
                <c:pt idx="247">
                  <c:v>2.3289729133329802</c:v>
                </c:pt>
                <c:pt idx="248">
                  <c:v>2.3289729133329802</c:v>
                </c:pt>
                <c:pt idx="249">
                  <c:v>2.3289729133329802</c:v>
                </c:pt>
                <c:pt idx="250">
                  <c:v>2.3289729133329802</c:v>
                </c:pt>
                <c:pt idx="251">
                  <c:v>2.3289729133329802</c:v>
                </c:pt>
                <c:pt idx="252">
                  <c:v>2.3289729133329802</c:v>
                </c:pt>
                <c:pt idx="253">
                  <c:v>2.3289729133329802</c:v>
                </c:pt>
                <c:pt idx="254">
                  <c:v>2.3289729133329802</c:v>
                </c:pt>
                <c:pt idx="255">
                  <c:v>2.3289729133329802</c:v>
                </c:pt>
                <c:pt idx="256">
                  <c:v>2.3289729133329802</c:v>
                </c:pt>
                <c:pt idx="257">
                  <c:v>2.3289729133329802</c:v>
                </c:pt>
                <c:pt idx="258">
                  <c:v>2.3289729133329802</c:v>
                </c:pt>
                <c:pt idx="259">
                  <c:v>2.3289729133329802</c:v>
                </c:pt>
                <c:pt idx="260">
                  <c:v>2.3289729133329802</c:v>
                </c:pt>
                <c:pt idx="261">
                  <c:v>2.3289729133329802</c:v>
                </c:pt>
                <c:pt idx="262">
                  <c:v>2.3289729133329802</c:v>
                </c:pt>
                <c:pt idx="263">
                  <c:v>2.3289729133329802</c:v>
                </c:pt>
                <c:pt idx="264">
                  <c:v>2.3289729133329802</c:v>
                </c:pt>
                <c:pt idx="265">
                  <c:v>2.3289729133329802</c:v>
                </c:pt>
                <c:pt idx="266">
                  <c:v>2.3289729133329802</c:v>
                </c:pt>
                <c:pt idx="267">
                  <c:v>2.3289729133329802</c:v>
                </c:pt>
                <c:pt idx="268">
                  <c:v>2.3289729133329802</c:v>
                </c:pt>
                <c:pt idx="269">
                  <c:v>2.3289729133329802</c:v>
                </c:pt>
                <c:pt idx="270">
                  <c:v>2.3289729133329802</c:v>
                </c:pt>
                <c:pt idx="271">
                  <c:v>2.3289729133329802</c:v>
                </c:pt>
                <c:pt idx="272">
                  <c:v>2.3289729133329802</c:v>
                </c:pt>
                <c:pt idx="273">
                  <c:v>2.3289729133329802</c:v>
                </c:pt>
                <c:pt idx="274">
                  <c:v>2.3289729133329802</c:v>
                </c:pt>
                <c:pt idx="275">
                  <c:v>2.3289729133329802</c:v>
                </c:pt>
                <c:pt idx="276">
                  <c:v>2.3289729133329802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84F-48DD-9EA1-735FBD995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636544"/>
        <c:axId val="102646912"/>
      </c:scatterChart>
      <c:valAx>
        <c:axId val="102636544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646912"/>
        <c:crosses val="autoZero"/>
        <c:crossBetween val="midCat"/>
        <c:majorUnit val="10"/>
      </c:valAx>
      <c:valAx>
        <c:axId val="10264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636544"/>
        <c:crosses val="autoZero"/>
        <c:crossBetween val="midCat"/>
        <c:majorUnit val="5"/>
      </c:valAx>
      <c:spPr>
        <a:noFill/>
        <a:ln w="0">
          <a:solidFill>
            <a:schemeClr val="tx1"/>
          </a:solidFill>
        </a:ln>
        <a:effectLst/>
      </c:spPr>
    </c:plotArea>
    <c:legend>
      <c:legendPos val="tr"/>
      <c:layout/>
      <c:overlay val="0"/>
      <c:txPr>
        <a:bodyPr/>
        <a:lstStyle/>
        <a:p>
          <a:pPr>
            <a:defRPr>
              <a:latin typeface="Book Antiqua"/>
              <a:ea typeface="Book Antiqua"/>
              <a:cs typeface="Book Antiqu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GB" sz="1400" b="1" i="0" u="none" strike="noStrike" kern="1200" spc="0" baseline="0">
                <a:solidFill>
                  <a:srgbClr val="0D0D0D"/>
                </a:solidFill>
                <a:latin typeface="Book Antiqua"/>
                <a:ea typeface="Book Antiqua"/>
                <a:cs typeface="Book Antiqua"/>
              </a:defRPr>
            </a:pPr>
            <a:r>
              <a:rPr lang="en-US" b="1"/>
              <a:t>Workdone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areaChart>
        <c:grouping val="stacked"/>
        <c:varyColors val="0"/>
        <c:ser>
          <c:idx val="0"/>
          <c:order val="0"/>
          <c:spPr>
            <a:solidFill>
              <a:srgbClr val="0D0D0D"/>
            </a:solidFill>
            <a:ln>
              <a:solidFill>
                <a:srgbClr val="ED7D31"/>
              </a:solidFill>
              <a:prstDash val="solid"/>
            </a:ln>
            <a:effectLst/>
          </c:spPr>
          <c:cat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cat>
          <c:val>
            <c:numRef>
              <c:f>Simulation!$AE$2:$AE$278</c:f>
              <c:numCache>
                <c:formatCode>General</c:formatCode>
                <c:ptCount val="277"/>
                <c:pt idx="0">
                  <c:v>0</c:v>
                </c:pt>
                <c:pt idx="1">
                  <c:v>1.9452911681082354</c:v>
                </c:pt>
                <c:pt idx="2">
                  <c:v>1.5180848875627524</c:v>
                </c:pt>
                <c:pt idx="3">
                  <c:v>2.5747286343719007</c:v>
                </c:pt>
                <c:pt idx="4">
                  <c:v>6.6578592629591737</c:v>
                </c:pt>
                <c:pt idx="5">
                  <c:v>1.4838736382966702</c:v>
                </c:pt>
                <c:pt idx="6">
                  <c:v>6.1620671556286144</c:v>
                </c:pt>
                <c:pt idx="7">
                  <c:v>8.4076816400095247</c:v>
                </c:pt>
                <c:pt idx="8">
                  <c:v>18.494704032753031</c:v>
                </c:pt>
                <c:pt idx="9">
                  <c:v>22.634580737834654</c:v>
                </c:pt>
                <c:pt idx="10">
                  <c:v>27.417833409165802</c:v>
                </c:pt>
                <c:pt idx="11">
                  <c:v>32.878734198835744</c:v>
                </c:pt>
                <c:pt idx="12">
                  <c:v>9.3197396415391207</c:v>
                </c:pt>
                <c:pt idx="13">
                  <c:v>40.701328563707698</c:v>
                </c:pt>
                <c:pt idx="14">
                  <c:v>29.900345818292216</c:v>
                </c:pt>
                <c:pt idx="15">
                  <c:v>46.182619362291234</c:v>
                </c:pt>
                <c:pt idx="16">
                  <c:v>52.503843866229843</c:v>
                </c:pt>
                <c:pt idx="17">
                  <c:v>74.517878305530687</c:v>
                </c:pt>
                <c:pt idx="18">
                  <c:v>84.199807763867412</c:v>
                </c:pt>
                <c:pt idx="19">
                  <c:v>20.431739474012669</c:v>
                </c:pt>
                <c:pt idx="20">
                  <c:v>-58.446693932322717</c:v>
                </c:pt>
                <c:pt idx="21">
                  <c:v>-64.670539419573458</c:v>
                </c:pt>
                <c:pt idx="22">
                  <c:v>-70.651760284372898</c:v>
                </c:pt>
                <c:pt idx="23">
                  <c:v>-76.33995630306103</c:v>
                </c:pt>
                <c:pt idx="24">
                  <c:v>-82.231259164367756</c:v>
                </c:pt>
                <c:pt idx="25">
                  <c:v>9.1644473522179482</c:v>
                </c:pt>
                <c:pt idx="26">
                  <c:v>-79.929861964789055</c:v>
                </c:pt>
                <c:pt idx="27">
                  <c:v>-37.923014690581283</c:v>
                </c:pt>
                <c:pt idx="28">
                  <c:v>-39.888462018253506</c:v>
                </c:pt>
                <c:pt idx="29">
                  <c:v>-41.776455510960091</c:v>
                </c:pt>
                <c:pt idx="30">
                  <c:v>-43.57918313403335</c:v>
                </c:pt>
                <c:pt idx="31">
                  <c:v>19.227994921787982</c:v>
                </c:pt>
                <c:pt idx="32">
                  <c:v>19.706813720978715</c:v>
                </c:pt>
                <c:pt idx="33">
                  <c:v>20.185632520169452</c:v>
                </c:pt>
                <c:pt idx="34">
                  <c:v>20.66445131936019</c:v>
                </c:pt>
                <c:pt idx="35">
                  <c:v>21.143270118550927</c:v>
                </c:pt>
                <c:pt idx="36">
                  <c:v>21.62208891774166</c:v>
                </c:pt>
                <c:pt idx="37">
                  <c:v>22.100907716932401</c:v>
                </c:pt>
                <c:pt idx="38">
                  <c:v>22.579726516123138</c:v>
                </c:pt>
                <c:pt idx="39">
                  <c:v>23.058545315313872</c:v>
                </c:pt>
                <c:pt idx="40">
                  <c:v>23.537364114504609</c:v>
                </c:pt>
                <c:pt idx="41">
                  <c:v>24.016182913695349</c:v>
                </c:pt>
                <c:pt idx="42">
                  <c:v>24.495001712886086</c:v>
                </c:pt>
                <c:pt idx="43">
                  <c:v>24.97382051207682</c:v>
                </c:pt>
                <c:pt idx="44">
                  <c:v>25.452639311267557</c:v>
                </c:pt>
                <c:pt idx="45">
                  <c:v>113.13410816571046</c:v>
                </c:pt>
                <c:pt idx="46">
                  <c:v>161.04566722543277</c:v>
                </c:pt>
                <c:pt idx="47">
                  <c:v>166.35354535417892</c:v>
                </c:pt>
                <c:pt idx="48">
                  <c:v>219.02045862774156</c:v>
                </c:pt>
                <c:pt idx="49">
                  <c:v>54.603947067635431</c:v>
                </c:pt>
                <c:pt idx="50">
                  <c:v>163.85532351877788</c:v>
                </c:pt>
                <c:pt idx="51">
                  <c:v>140.06294283675484</c:v>
                </c:pt>
                <c:pt idx="52">
                  <c:v>197.13188367408347</c:v>
                </c:pt>
                <c:pt idx="53">
                  <c:v>258.62632265191723</c:v>
                </c:pt>
                <c:pt idx="54">
                  <c:v>106.20003348910883</c:v>
                </c:pt>
                <c:pt idx="55">
                  <c:v>206.72174707708209</c:v>
                </c:pt>
                <c:pt idx="56">
                  <c:v>83.017468226479849</c:v>
                </c:pt>
                <c:pt idx="57">
                  <c:v>174.32711010696309</c:v>
                </c:pt>
                <c:pt idx="58">
                  <c:v>174.19853614975779</c:v>
                </c:pt>
                <c:pt idx="59">
                  <c:v>334.00937489642399</c:v>
                </c:pt>
                <c:pt idx="60">
                  <c:v>264.99803948981213</c:v>
                </c:pt>
                <c:pt idx="61">
                  <c:v>242.83693779235907</c:v>
                </c:pt>
                <c:pt idx="62">
                  <c:v>180.76555154276579</c:v>
                </c:pt>
                <c:pt idx="63">
                  <c:v>-22.793645653741255</c:v>
                </c:pt>
                <c:pt idx="64">
                  <c:v>-23.870214120499579</c:v>
                </c:pt>
                <c:pt idx="65">
                  <c:v>-24.93246139864803</c:v>
                </c:pt>
                <c:pt idx="66">
                  <c:v>41.741701858977699</c:v>
                </c:pt>
                <c:pt idx="67">
                  <c:v>42.272992082044873</c:v>
                </c:pt>
                <c:pt idx="68">
                  <c:v>42.804282305112046</c:v>
                </c:pt>
                <c:pt idx="69">
                  <c:v>43.33557252817922</c:v>
                </c:pt>
                <c:pt idx="70">
                  <c:v>43.866862751246387</c:v>
                </c:pt>
                <c:pt idx="71">
                  <c:v>44.398152974313561</c:v>
                </c:pt>
                <c:pt idx="72">
                  <c:v>44.929443197380728</c:v>
                </c:pt>
                <c:pt idx="73">
                  <c:v>45.460733420447902</c:v>
                </c:pt>
                <c:pt idx="74">
                  <c:v>45.992023643515076</c:v>
                </c:pt>
                <c:pt idx="75">
                  <c:v>46.523313866582249</c:v>
                </c:pt>
                <c:pt idx="76">
                  <c:v>47.054604089649416</c:v>
                </c:pt>
                <c:pt idx="77">
                  <c:v>47.58589431271659</c:v>
                </c:pt>
                <c:pt idx="78">
                  <c:v>48.117184535783757</c:v>
                </c:pt>
                <c:pt idx="79">
                  <c:v>48.648474758850938</c:v>
                </c:pt>
                <c:pt idx="80">
                  <c:v>49.179764981918105</c:v>
                </c:pt>
                <c:pt idx="81">
                  <c:v>372.89493789403645</c:v>
                </c:pt>
                <c:pt idx="82">
                  <c:v>299.93609842955368</c:v>
                </c:pt>
                <c:pt idx="83">
                  <c:v>307.49207486354965</c:v>
                </c:pt>
                <c:pt idx="84">
                  <c:v>96.062986319277627</c:v>
                </c:pt>
                <c:pt idx="85">
                  <c:v>200.03963219364101</c:v>
                </c:pt>
                <c:pt idx="86">
                  <c:v>239.66689410198566</c:v>
                </c:pt>
                <c:pt idx="87">
                  <c:v>246.13758245888644</c:v>
                </c:pt>
                <c:pt idx="88">
                  <c:v>566.05726720388213</c:v>
                </c:pt>
                <c:pt idx="89">
                  <c:v>574.46116414791072</c:v>
                </c:pt>
                <c:pt idx="90">
                  <c:v>582.86506109193942</c:v>
                </c:pt>
                <c:pt idx="91">
                  <c:v>591.26895803596824</c:v>
                </c:pt>
                <c:pt idx="92">
                  <c:v>599.67285497999694</c:v>
                </c:pt>
                <c:pt idx="93">
                  <c:v>-111.11850190544821</c:v>
                </c:pt>
                <c:pt idx="94">
                  <c:v>-115.5979713389105</c:v>
                </c:pt>
                <c:pt idx="95">
                  <c:v>-120.98019413722872</c:v>
                </c:pt>
                <c:pt idx="96">
                  <c:v>33.987041373280228</c:v>
                </c:pt>
                <c:pt idx="97">
                  <c:v>-86.945909156076837</c:v>
                </c:pt>
                <c:pt idx="98">
                  <c:v>-130.70889206445204</c:v>
                </c:pt>
                <c:pt idx="99">
                  <c:v>-237.09034288129502</c:v>
                </c:pt>
                <c:pt idx="100">
                  <c:v>-242.75247934322221</c:v>
                </c:pt>
                <c:pt idx="101">
                  <c:v>-39.935070236077451</c:v>
                </c:pt>
                <c:pt idx="102">
                  <c:v>63.535817840036351</c:v>
                </c:pt>
                <c:pt idx="103">
                  <c:v>64.040415599138385</c:v>
                </c:pt>
                <c:pt idx="104">
                  <c:v>64.545013358240411</c:v>
                </c:pt>
                <c:pt idx="105">
                  <c:v>65.049611117342437</c:v>
                </c:pt>
                <c:pt idx="106">
                  <c:v>65.554208876444477</c:v>
                </c:pt>
                <c:pt idx="107">
                  <c:v>66.058806635546503</c:v>
                </c:pt>
                <c:pt idx="108">
                  <c:v>66.563404394648529</c:v>
                </c:pt>
                <c:pt idx="109">
                  <c:v>67.068002153750555</c:v>
                </c:pt>
                <c:pt idx="110">
                  <c:v>67.572599912852581</c:v>
                </c:pt>
                <c:pt idx="111">
                  <c:v>293.03551845273768</c:v>
                </c:pt>
                <c:pt idx="112">
                  <c:v>411.67027834661712</c:v>
                </c:pt>
                <c:pt idx="113">
                  <c:v>190.42723296644834</c:v>
                </c:pt>
                <c:pt idx="114">
                  <c:v>77.964673637327749</c:v>
                </c:pt>
                <c:pt idx="115">
                  <c:v>78.644231245921063</c:v>
                </c:pt>
                <c:pt idx="116">
                  <c:v>79.32378885451439</c:v>
                </c:pt>
                <c:pt idx="117">
                  <c:v>80.003346463107704</c:v>
                </c:pt>
                <c:pt idx="118">
                  <c:v>-277.95084092712898</c:v>
                </c:pt>
                <c:pt idx="119">
                  <c:v>-163.79470331025669</c:v>
                </c:pt>
                <c:pt idx="120">
                  <c:v>74.646276340938073</c:v>
                </c:pt>
                <c:pt idx="121">
                  <c:v>75.177566564005232</c:v>
                </c:pt>
                <c:pt idx="122">
                  <c:v>75.708856787072406</c:v>
                </c:pt>
                <c:pt idx="123">
                  <c:v>76.24014701013958</c:v>
                </c:pt>
                <c:pt idx="124">
                  <c:v>76.771437233206754</c:v>
                </c:pt>
                <c:pt idx="125">
                  <c:v>77.302727456273928</c:v>
                </c:pt>
                <c:pt idx="126">
                  <c:v>77.834017679341088</c:v>
                </c:pt>
                <c:pt idx="127">
                  <c:v>732.96031463688576</c:v>
                </c:pt>
                <c:pt idx="128">
                  <c:v>869.97119352888512</c:v>
                </c:pt>
                <c:pt idx="129">
                  <c:v>830.39238569216184</c:v>
                </c:pt>
                <c:pt idx="130">
                  <c:v>816.21429050915174</c:v>
                </c:pt>
                <c:pt idx="131">
                  <c:v>458.54858376445469</c:v>
                </c:pt>
                <c:pt idx="132">
                  <c:v>36.235239073257056</c:v>
                </c:pt>
                <c:pt idx="133">
                  <c:v>-22.958061977185107</c:v>
                </c:pt>
                <c:pt idx="134">
                  <c:v>508.77825467977357</c:v>
                </c:pt>
                <c:pt idx="135">
                  <c:v>512.25841887748913</c:v>
                </c:pt>
                <c:pt idx="136">
                  <c:v>515.7385830752047</c:v>
                </c:pt>
                <c:pt idx="137">
                  <c:v>519.21874727292027</c:v>
                </c:pt>
                <c:pt idx="138">
                  <c:v>522.69891147063584</c:v>
                </c:pt>
                <c:pt idx="139">
                  <c:v>526.1790756683514</c:v>
                </c:pt>
                <c:pt idx="140">
                  <c:v>810.0626713250964</c:v>
                </c:pt>
                <c:pt idx="141">
                  <c:v>819.48911579605806</c:v>
                </c:pt>
                <c:pt idx="142">
                  <c:v>259.90682768952405</c:v>
                </c:pt>
                <c:pt idx="143">
                  <c:v>115.1515480098313</c:v>
                </c:pt>
                <c:pt idx="144">
                  <c:v>542.63149313881581</c:v>
                </c:pt>
                <c:pt idx="145">
                  <c:v>545.99264890985182</c:v>
                </c:pt>
                <c:pt idx="146">
                  <c:v>549.35380468088772</c:v>
                </c:pt>
                <c:pt idx="147">
                  <c:v>552.7149604519235</c:v>
                </c:pt>
                <c:pt idx="148">
                  <c:v>703.61969566507219</c:v>
                </c:pt>
                <c:pt idx="149">
                  <c:v>709.8394585130485</c:v>
                </c:pt>
                <c:pt idx="150">
                  <c:v>925.78498294037843</c:v>
                </c:pt>
                <c:pt idx="151">
                  <c:v>937.13228750216706</c:v>
                </c:pt>
                <c:pt idx="152">
                  <c:v>918.86910626101724</c:v>
                </c:pt>
                <c:pt idx="153">
                  <c:v>654.6904137504556</c:v>
                </c:pt>
                <c:pt idx="154">
                  <c:v>-402.39159202234043</c:v>
                </c:pt>
                <c:pt idx="155">
                  <c:v>-29.539923316551832</c:v>
                </c:pt>
                <c:pt idx="156">
                  <c:v>-18.825890594634497</c:v>
                </c:pt>
                <c:pt idx="157">
                  <c:v>-7.0006208433575638</c:v>
                </c:pt>
                <c:pt idx="158">
                  <c:v>5.9883021698793133</c:v>
                </c:pt>
                <c:pt idx="159">
                  <c:v>1003.5182553448806</c:v>
                </c:pt>
                <c:pt idx="160">
                  <c:v>693.54311661584734</c:v>
                </c:pt>
                <c:pt idx="161">
                  <c:v>700.87986808750543</c:v>
                </c:pt>
                <c:pt idx="162">
                  <c:v>39.114711069872037</c:v>
                </c:pt>
                <c:pt idx="163">
                  <c:v>26.225726869130259</c:v>
                </c:pt>
                <c:pt idx="164">
                  <c:v>14.073081269621275</c:v>
                </c:pt>
                <c:pt idx="165">
                  <c:v>2.7071744949982492</c:v>
                </c:pt>
                <c:pt idx="166">
                  <c:v>335.6138800667037</c:v>
                </c:pt>
                <c:pt idx="167">
                  <c:v>330.89306375741285</c:v>
                </c:pt>
                <c:pt idx="168">
                  <c:v>607.82948419774141</c:v>
                </c:pt>
                <c:pt idx="169">
                  <c:v>-127.75564622456533</c:v>
                </c:pt>
                <c:pt idx="170">
                  <c:v>673.78554660764894</c:v>
                </c:pt>
                <c:pt idx="171">
                  <c:v>677.6289101128018</c:v>
                </c:pt>
                <c:pt idx="172">
                  <c:v>681.47227361795478</c:v>
                </c:pt>
                <c:pt idx="173">
                  <c:v>685.31563712310765</c:v>
                </c:pt>
                <c:pt idx="174">
                  <c:v>689.15900062826063</c:v>
                </c:pt>
                <c:pt idx="175">
                  <c:v>693.00236413341349</c:v>
                </c:pt>
                <c:pt idx="176">
                  <c:v>696.84572763856647</c:v>
                </c:pt>
                <c:pt idx="177">
                  <c:v>700.68909114371934</c:v>
                </c:pt>
                <c:pt idx="178">
                  <c:v>704.53245464887232</c:v>
                </c:pt>
                <c:pt idx="179">
                  <c:v>708.3758181540253</c:v>
                </c:pt>
                <c:pt idx="180">
                  <c:v>359.90372254539523</c:v>
                </c:pt>
                <c:pt idx="181">
                  <c:v>552.44715748023566</c:v>
                </c:pt>
                <c:pt idx="182">
                  <c:v>561.12457982169622</c:v>
                </c:pt>
                <c:pt idx="183">
                  <c:v>189.2103076730763</c:v>
                </c:pt>
                <c:pt idx="184">
                  <c:v>-192.66296030058913</c:v>
                </c:pt>
                <c:pt idx="185">
                  <c:v>-198.92544754480346</c:v>
                </c:pt>
                <c:pt idx="186">
                  <c:v>-282.17590642408504</c:v>
                </c:pt>
                <c:pt idx="187">
                  <c:v>-289.04544741265869</c:v>
                </c:pt>
                <c:pt idx="188">
                  <c:v>-528.92235473456105</c:v>
                </c:pt>
                <c:pt idx="189">
                  <c:v>-381.55225977694158</c:v>
                </c:pt>
                <c:pt idx="190">
                  <c:v>-387.56008942390054</c:v>
                </c:pt>
                <c:pt idx="191">
                  <c:v>-240.40409693942399</c:v>
                </c:pt>
                <c:pt idx="192">
                  <c:v>74.005263217884234</c:v>
                </c:pt>
                <c:pt idx="193">
                  <c:v>-364.44749075948067</c:v>
                </c:pt>
                <c:pt idx="194">
                  <c:v>150.26292792688642</c:v>
                </c:pt>
                <c:pt idx="195">
                  <c:v>150.63310338368893</c:v>
                </c:pt>
                <c:pt idx="196">
                  <c:v>151.00327884049145</c:v>
                </c:pt>
                <c:pt idx="197">
                  <c:v>151.37345429729396</c:v>
                </c:pt>
                <c:pt idx="198">
                  <c:v>151.74362975409647</c:v>
                </c:pt>
                <c:pt idx="199">
                  <c:v>152.11380521089902</c:v>
                </c:pt>
                <c:pt idx="200">
                  <c:v>152.4839806677015</c:v>
                </c:pt>
                <c:pt idx="201">
                  <c:v>152.85415612450404</c:v>
                </c:pt>
                <c:pt idx="202">
                  <c:v>153.22433158130656</c:v>
                </c:pt>
                <c:pt idx="203">
                  <c:v>153.59450703810907</c:v>
                </c:pt>
                <c:pt idx="204">
                  <c:v>153.96468249491159</c:v>
                </c:pt>
                <c:pt idx="205">
                  <c:v>154.3348579517141</c:v>
                </c:pt>
                <c:pt idx="206">
                  <c:v>565.8187491923992</c:v>
                </c:pt>
                <c:pt idx="207">
                  <c:v>364.06702660442846</c:v>
                </c:pt>
                <c:pt idx="208">
                  <c:v>159.75080577483973</c:v>
                </c:pt>
                <c:pt idx="209">
                  <c:v>160.19796136397608</c:v>
                </c:pt>
                <c:pt idx="210">
                  <c:v>-255.16157589714675</c:v>
                </c:pt>
                <c:pt idx="211">
                  <c:v>-258.33620552094209</c:v>
                </c:pt>
                <c:pt idx="212">
                  <c:v>155.90433848264149</c:v>
                </c:pt>
                <c:pt idx="213">
                  <c:v>156.24996690027191</c:v>
                </c:pt>
                <c:pt idx="214">
                  <c:v>156.59559531790237</c:v>
                </c:pt>
                <c:pt idx="215">
                  <c:v>156.94122373553279</c:v>
                </c:pt>
                <c:pt idx="216">
                  <c:v>157.28685215316321</c:v>
                </c:pt>
                <c:pt idx="217">
                  <c:v>157.6324805707936</c:v>
                </c:pt>
                <c:pt idx="218">
                  <c:v>157.97810898842403</c:v>
                </c:pt>
                <c:pt idx="219">
                  <c:v>582.27152928842156</c:v>
                </c:pt>
                <c:pt idx="220">
                  <c:v>586.71313056444012</c:v>
                </c:pt>
                <c:pt idx="221">
                  <c:v>249.17605790530214</c:v>
                </c:pt>
                <c:pt idx="222">
                  <c:v>1140.5262185910215</c:v>
                </c:pt>
                <c:pt idx="223">
                  <c:v>1239.8394564831231</c:v>
                </c:pt>
                <c:pt idx="224">
                  <c:v>1257.9855149599919</c:v>
                </c:pt>
                <c:pt idx="225">
                  <c:v>1279.0610878525688</c:v>
                </c:pt>
                <c:pt idx="226">
                  <c:v>302.2114335957591</c:v>
                </c:pt>
                <c:pt idx="227">
                  <c:v>565.96075295843866</c:v>
                </c:pt>
                <c:pt idx="228">
                  <c:v>1252.6532385441553</c:v>
                </c:pt>
                <c:pt idx="229">
                  <c:v>1259.5639749186271</c:v>
                </c:pt>
                <c:pt idx="230">
                  <c:v>1266.4747112930993</c:v>
                </c:pt>
                <c:pt idx="231">
                  <c:v>1273.385447667571</c:v>
                </c:pt>
                <c:pt idx="232">
                  <c:v>1280.2961840420428</c:v>
                </c:pt>
                <c:pt idx="233">
                  <c:v>455.61645885480721</c:v>
                </c:pt>
                <c:pt idx="234">
                  <c:v>461.74303259934049</c:v>
                </c:pt>
                <c:pt idx="235">
                  <c:v>-440.81603907087504</c:v>
                </c:pt>
                <c:pt idx="236">
                  <c:v>-89.857294671194026</c:v>
                </c:pt>
                <c:pt idx="237">
                  <c:v>-601.18629712149084</c:v>
                </c:pt>
                <c:pt idx="238">
                  <c:v>-706.40289463469537</c:v>
                </c:pt>
                <c:pt idx="239">
                  <c:v>-719.18983344027424</c:v>
                </c:pt>
                <c:pt idx="240">
                  <c:v>-730.33299934314789</c:v>
                </c:pt>
                <c:pt idx="241">
                  <c:v>-749.9733241902378</c:v>
                </c:pt>
                <c:pt idx="242">
                  <c:v>134.52717826188234</c:v>
                </c:pt>
                <c:pt idx="243">
                  <c:v>-477.6225388744233</c:v>
                </c:pt>
                <c:pt idx="244">
                  <c:v>177.57316662816331</c:v>
                </c:pt>
                <c:pt idx="245">
                  <c:v>177.94334208496585</c:v>
                </c:pt>
                <c:pt idx="246">
                  <c:v>178.31351754176836</c:v>
                </c:pt>
                <c:pt idx="247">
                  <c:v>178.68369299857088</c:v>
                </c:pt>
                <c:pt idx="248">
                  <c:v>179.05386845537339</c:v>
                </c:pt>
                <c:pt idx="249">
                  <c:v>179.4240439121759</c:v>
                </c:pt>
                <c:pt idx="250">
                  <c:v>179.79421936897845</c:v>
                </c:pt>
                <c:pt idx="251">
                  <c:v>180.16439482578093</c:v>
                </c:pt>
                <c:pt idx="252">
                  <c:v>180.53457028258347</c:v>
                </c:pt>
                <c:pt idx="253">
                  <c:v>421.20838339404054</c:v>
                </c:pt>
                <c:pt idx="254">
                  <c:v>423.76377967139683</c:v>
                </c:pt>
                <c:pt idx="255">
                  <c:v>-297.91959563478292</c:v>
                </c:pt>
                <c:pt idx="256">
                  <c:v>182.08059719040571</c:v>
                </c:pt>
                <c:pt idx="257">
                  <c:v>182.45077264720825</c:v>
                </c:pt>
                <c:pt idx="258">
                  <c:v>182.82094810401074</c:v>
                </c:pt>
                <c:pt idx="259">
                  <c:v>183.19112356081325</c:v>
                </c:pt>
                <c:pt idx="260">
                  <c:v>183.5612990176158</c:v>
                </c:pt>
                <c:pt idx="261">
                  <c:v>183.93147447441831</c:v>
                </c:pt>
                <c:pt idx="262">
                  <c:v>184.30164993122082</c:v>
                </c:pt>
                <c:pt idx="263">
                  <c:v>675.40397832374208</c:v>
                </c:pt>
                <c:pt idx="264">
                  <c:v>434.38491831455821</c:v>
                </c:pt>
                <c:pt idx="265">
                  <c:v>288.13454216704531</c:v>
                </c:pt>
                <c:pt idx="266">
                  <c:v>-513.02117274074453</c:v>
                </c:pt>
                <c:pt idx="267">
                  <c:v>84.617975569309976</c:v>
                </c:pt>
                <c:pt idx="268">
                  <c:v>102.83115824626805</c:v>
                </c:pt>
                <c:pt idx="269">
                  <c:v>-374.19301601837032</c:v>
                </c:pt>
                <c:pt idx="270">
                  <c:v>-2363.4152485207155</c:v>
                </c:pt>
                <c:pt idx="271">
                  <c:v>-767.35982139072155</c:v>
                </c:pt>
                <c:pt idx="272">
                  <c:v>-781.01893606675355</c:v>
                </c:pt>
                <c:pt idx="273">
                  <c:v>-792.91798772401978</c:v>
                </c:pt>
                <c:pt idx="274">
                  <c:v>-814.06680226378296</c:v>
                </c:pt>
                <c:pt idx="275">
                  <c:v>94.984236515091538</c:v>
                </c:pt>
                <c:pt idx="27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5E6-4684-857D-8DD1E985F6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708352"/>
        <c:axId val="102710272"/>
      </c:areaChart>
      <c:catAx>
        <c:axId val="102708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rgbClr val="F2F2F2"/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710272"/>
        <c:crosses val="autoZero"/>
        <c:auto val="1"/>
        <c:lblAlgn val="ctr"/>
        <c:lblOffset val="100"/>
        <c:noMultiLvlLbl val="0"/>
      </c:catAx>
      <c:valAx>
        <c:axId val="102710272"/>
        <c:scaling>
          <c:orientation val="minMax"/>
          <c:max val="2500"/>
          <c:min val="-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/>
                    <a:ea typeface="Book Antiqua"/>
                    <a:cs typeface="Book Antiqua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Energy (kJ)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102708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GB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Book Antiqua" panose="02040602050305030304" pitchFamily="18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Book Antiqua" panose="02040602050305030304" pitchFamily="18" charset="0"/>
              </a:rPr>
              <a:t>Fuel Mass Flow Rate Consumption</a:t>
            </a:r>
          </a:p>
        </c:rich>
      </c:tx>
      <c:layout>
        <c:manualLayout>
          <c:xMode val="edge"/>
          <c:yMode val="edge"/>
          <c:x val="0.38310798297685883"/>
          <c:y val="3.603603603603603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3.9963446000072726E-2"/>
          <c:y val="2.4388167695254315E-2"/>
          <c:w val="0.91289817338938173"/>
          <c:h val="0.77335798934224098"/>
        </c:manualLayout>
      </c:layout>
      <c:scatterChart>
        <c:scatterStyle val="smoothMarker"/>
        <c:varyColors val="0"/>
        <c:ser>
          <c:idx val="0"/>
          <c:order val="0"/>
          <c:tx>
            <c:v>Fuel used (in g)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Simulation!$AJ$2:$AJ$278</c:f>
              <c:numCache>
                <c:formatCode>General</c:formatCode>
                <c:ptCount val="277"/>
                <c:pt idx="0">
                  <c:v>0</c:v>
                </c:pt>
                <c:pt idx="1">
                  <c:v>0</c:v>
                </c:pt>
                <c:pt idx="2">
                  <c:v>0.24696307316523858</c:v>
                </c:pt>
                <c:pt idx="3">
                  <c:v>0.26086164853914506</c:v>
                </c:pt>
                <c:pt idx="4">
                  <c:v>0.44470103764687718</c:v>
                </c:pt>
                <c:pt idx="5">
                  <c:v>0.12267700493290778</c:v>
                </c:pt>
                <c:pt idx="6">
                  <c:v>0.28839392179595308</c:v>
                </c:pt>
                <c:pt idx="7">
                  <c:v>0.3437088049327971</c:v>
                </c:pt>
                <c:pt idx="8">
                  <c:v>0.54269488426394707</c:v>
                </c:pt>
                <c:pt idx="9">
                  <c:v>0.57695792455107497</c:v>
                </c:pt>
                <c:pt idx="10">
                  <c:v>0.49818688322456678</c:v>
                </c:pt>
                <c:pt idx="11">
                  <c:v>0.53993840256182046</c:v>
                </c:pt>
                <c:pt idx="12">
                  <c:v>0.27546691395346767</c:v>
                </c:pt>
                <c:pt idx="13">
                  <c:v>0.60894511414162811</c:v>
                </c:pt>
                <c:pt idx="14">
                  <c:v>0.50432781366888935</c:v>
                </c:pt>
                <c:pt idx="15">
                  <c:v>0.56084631508997262</c:v>
                </c:pt>
                <c:pt idx="16">
                  <c:v>0.5819645772528611</c:v>
                </c:pt>
                <c:pt idx="17">
                  <c:v>0.69498606549345021</c:v>
                </c:pt>
                <c:pt idx="18">
                  <c:v>0.7221596393179649</c:v>
                </c:pt>
                <c:pt idx="19">
                  <c:v>0.40563168248086484</c:v>
                </c:pt>
                <c:pt idx="20">
                  <c:v>0.55970805829532211</c:v>
                </c:pt>
                <c:pt idx="21">
                  <c:v>0.53382227952646122</c:v>
                </c:pt>
                <c:pt idx="22">
                  <c:v>0.48876019666867404</c:v>
                </c:pt>
                <c:pt idx="23">
                  <c:v>0.53804402795647199</c:v>
                </c:pt>
                <c:pt idx="24">
                  <c:v>0.47673726891854434</c:v>
                </c:pt>
                <c:pt idx="25">
                  <c:v>9.3500308233945922E-2</c:v>
                </c:pt>
                <c:pt idx="26">
                  <c:v>0.41424535688768677</c:v>
                </c:pt>
                <c:pt idx="27">
                  <c:v>0.2639037173617601</c:v>
                </c:pt>
                <c:pt idx="28">
                  <c:v>0.25293428331640494</c:v>
                </c:pt>
                <c:pt idx="29">
                  <c:v>0.24362181320187923</c:v>
                </c:pt>
                <c:pt idx="30">
                  <c:v>0.23091844002925549</c:v>
                </c:pt>
                <c:pt idx="31">
                  <c:v>0.125603644457672</c:v>
                </c:pt>
                <c:pt idx="32">
                  <c:v>0.125603644457672</c:v>
                </c:pt>
                <c:pt idx="33">
                  <c:v>0.125603644457672</c:v>
                </c:pt>
                <c:pt idx="34">
                  <c:v>0.125603644457672</c:v>
                </c:pt>
                <c:pt idx="35">
                  <c:v>0.125603644457672</c:v>
                </c:pt>
                <c:pt idx="36">
                  <c:v>0.125603644457672</c:v>
                </c:pt>
                <c:pt idx="37">
                  <c:v>0.125603644457672</c:v>
                </c:pt>
                <c:pt idx="38">
                  <c:v>0.125603644457672</c:v>
                </c:pt>
                <c:pt idx="39">
                  <c:v>0.125603644457672</c:v>
                </c:pt>
                <c:pt idx="40">
                  <c:v>0.125603644457672</c:v>
                </c:pt>
                <c:pt idx="41">
                  <c:v>0.125603644457672</c:v>
                </c:pt>
                <c:pt idx="42">
                  <c:v>0.125603644457672</c:v>
                </c:pt>
                <c:pt idx="43">
                  <c:v>0.125603644457672</c:v>
                </c:pt>
                <c:pt idx="44">
                  <c:v>0.125603644457672</c:v>
                </c:pt>
                <c:pt idx="45">
                  <c:v>0.4048749710243939</c:v>
                </c:pt>
                <c:pt idx="46">
                  <c:v>0.50048309736644869</c:v>
                </c:pt>
                <c:pt idx="47">
                  <c:v>0.48244492845445813</c:v>
                </c:pt>
                <c:pt idx="48">
                  <c:v>0.53993840256182046</c:v>
                </c:pt>
                <c:pt idx="49">
                  <c:v>0.27546691395346767</c:v>
                </c:pt>
                <c:pt idx="50">
                  <c:v>0.56476840463945688</c:v>
                </c:pt>
                <c:pt idx="51">
                  <c:v>0.52616032061365181</c:v>
                </c:pt>
                <c:pt idx="52">
                  <c:v>0.54686632788564049</c:v>
                </c:pt>
                <c:pt idx="53">
                  <c:v>0.63507559770869837</c:v>
                </c:pt>
                <c:pt idx="54">
                  <c:v>0.47130240673092277</c:v>
                </c:pt>
                <c:pt idx="55">
                  <c:v>0.55665040728174997</c:v>
                </c:pt>
                <c:pt idx="56">
                  <c:v>0.36121371582948364</c:v>
                </c:pt>
                <c:pt idx="57">
                  <c:v>0.49937898615581311</c:v>
                </c:pt>
                <c:pt idx="58">
                  <c:v>0.45420350561210099</c:v>
                </c:pt>
                <c:pt idx="59">
                  <c:v>0.59494193290116826</c:v>
                </c:pt>
                <c:pt idx="60">
                  <c:v>0.51112082734833708</c:v>
                </c:pt>
                <c:pt idx="61">
                  <c:v>0.46018083838795548</c:v>
                </c:pt>
                <c:pt idx="62">
                  <c:v>0.41621052007244447</c:v>
                </c:pt>
                <c:pt idx="63">
                  <c:v>8.2052928041626408E-2</c:v>
                </c:pt>
                <c:pt idx="64">
                  <c:v>8.4524499244849019E-2</c:v>
                </c:pt>
                <c:pt idx="65">
                  <c:v>8.4318151013504275E-2</c:v>
                </c:pt>
                <c:pt idx="66">
                  <c:v>0.1393679370875833</c:v>
                </c:pt>
                <c:pt idx="67">
                  <c:v>0.1393679370875833</c:v>
                </c:pt>
                <c:pt idx="68">
                  <c:v>0.1393679370875833</c:v>
                </c:pt>
                <c:pt idx="69">
                  <c:v>0.1393679370875833</c:v>
                </c:pt>
                <c:pt idx="70">
                  <c:v>0.1393679370875833</c:v>
                </c:pt>
                <c:pt idx="71">
                  <c:v>0.1393679370875833</c:v>
                </c:pt>
                <c:pt idx="72">
                  <c:v>0.1393679370875833</c:v>
                </c:pt>
                <c:pt idx="73">
                  <c:v>0.1393679370875833</c:v>
                </c:pt>
                <c:pt idx="74">
                  <c:v>0.1393679370875833</c:v>
                </c:pt>
                <c:pt idx="75">
                  <c:v>0.1393679370875833</c:v>
                </c:pt>
                <c:pt idx="76">
                  <c:v>0.1393679370875833</c:v>
                </c:pt>
                <c:pt idx="77">
                  <c:v>0.1393679370875833</c:v>
                </c:pt>
                <c:pt idx="78">
                  <c:v>0.1393679370875833</c:v>
                </c:pt>
                <c:pt idx="79">
                  <c:v>0.1393679370875833</c:v>
                </c:pt>
                <c:pt idx="80">
                  <c:v>0.1393679370875833</c:v>
                </c:pt>
                <c:pt idx="81">
                  <c:v>0.61623476184043502</c:v>
                </c:pt>
                <c:pt idx="82">
                  <c:v>0.45140201607746971</c:v>
                </c:pt>
                <c:pt idx="83">
                  <c:v>0.50981869241144406</c:v>
                </c:pt>
                <c:pt idx="84">
                  <c:v>0.27546691395346767</c:v>
                </c:pt>
                <c:pt idx="85">
                  <c:v>0.44147228400906152</c:v>
                </c:pt>
                <c:pt idx="86">
                  <c:v>0.51146902608634426</c:v>
                </c:pt>
                <c:pt idx="87">
                  <c:v>0.50432781366888935</c:v>
                </c:pt>
                <c:pt idx="88">
                  <c:v>1.0575409289035607</c:v>
                </c:pt>
                <c:pt idx="89">
                  <c:v>1.0575409289035607</c:v>
                </c:pt>
                <c:pt idx="90">
                  <c:v>1.0575409289035607</c:v>
                </c:pt>
                <c:pt idx="91">
                  <c:v>1.0575409289035607</c:v>
                </c:pt>
                <c:pt idx="92">
                  <c:v>1.0575409289035607</c:v>
                </c:pt>
                <c:pt idx="93">
                  <c:v>0.30176709004468721</c:v>
                </c:pt>
                <c:pt idx="94">
                  <c:v>0.29583931620436271</c:v>
                </c:pt>
                <c:pt idx="95">
                  <c:v>0.28532165240349644</c:v>
                </c:pt>
                <c:pt idx="96">
                  <c:v>9.3500308233945922E-2</c:v>
                </c:pt>
                <c:pt idx="97">
                  <c:v>0.21325736725788119</c:v>
                </c:pt>
                <c:pt idx="98">
                  <c:v>0.27116971848461829</c:v>
                </c:pt>
                <c:pt idx="99">
                  <c:v>0.37851534910117507</c:v>
                </c:pt>
                <c:pt idx="100">
                  <c:v>0.36688833940196219</c:v>
                </c:pt>
                <c:pt idx="101">
                  <c:v>8.3863909485257238E-2</c:v>
                </c:pt>
                <c:pt idx="102">
                  <c:v>0.1323659756791257</c:v>
                </c:pt>
                <c:pt idx="103">
                  <c:v>0.1323659756791257</c:v>
                </c:pt>
                <c:pt idx="104">
                  <c:v>0.1323659756791257</c:v>
                </c:pt>
                <c:pt idx="105">
                  <c:v>0.1323659756791257</c:v>
                </c:pt>
                <c:pt idx="106">
                  <c:v>0.1323659756791257</c:v>
                </c:pt>
                <c:pt idx="107">
                  <c:v>0.1323659756791257</c:v>
                </c:pt>
                <c:pt idx="108">
                  <c:v>0.1323659756791257</c:v>
                </c:pt>
                <c:pt idx="109">
                  <c:v>0.1323659756791257</c:v>
                </c:pt>
                <c:pt idx="110">
                  <c:v>0.1323659756791257</c:v>
                </c:pt>
                <c:pt idx="111">
                  <c:v>0.42016784840983856</c:v>
                </c:pt>
                <c:pt idx="112">
                  <c:v>0.51739372687259733</c:v>
                </c:pt>
                <c:pt idx="113">
                  <c:v>0.34387238919615515</c:v>
                </c:pt>
                <c:pt idx="114">
                  <c:v>0.17315091793774701</c:v>
                </c:pt>
                <c:pt idx="115">
                  <c:v>0.17315091793774701</c:v>
                </c:pt>
                <c:pt idx="116">
                  <c:v>0.17315091793774701</c:v>
                </c:pt>
                <c:pt idx="117">
                  <c:v>0.17315091793774701</c:v>
                </c:pt>
                <c:pt idx="118">
                  <c:v>0.36892672592145148</c:v>
                </c:pt>
                <c:pt idx="119">
                  <c:v>0.24362181320187923</c:v>
                </c:pt>
                <c:pt idx="120">
                  <c:v>0.1393679370875833</c:v>
                </c:pt>
                <c:pt idx="121">
                  <c:v>0.1393679370875833</c:v>
                </c:pt>
                <c:pt idx="122">
                  <c:v>0.1393679370875833</c:v>
                </c:pt>
                <c:pt idx="123">
                  <c:v>0.1393679370875833</c:v>
                </c:pt>
                <c:pt idx="124">
                  <c:v>0.1393679370875833</c:v>
                </c:pt>
                <c:pt idx="125">
                  <c:v>0.1393679370875833</c:v>
                </c:pt>
                <c:pt idx="126">
                  <c:v>0.1393679370875833</c:v>
                </c:pt>
                <c:pt idx="127">
                  <c:v>0.58706609307911073</c:v>
                </c:pt>
                <c:pt idx="128">
                  <c:v>0.77008487291999383</c:v>
                </c:pt>
                <c:pt idx="129">
                  <c:v>0.65740411158038692</c:v>
                </c:pt>
                <c:pt idx="130">
                  <c:v>0.62688570955448808</c:v>
                </c:pt>
                <c:pt idx="131">
                  <c:v>0.51251760164968174</c:v>
                </c:pt>
                <c:pt idx="132">
                  <c:v>6.9937967260563991E-2</c:v>
                </c:pt>
                <c:pt idx="133">
                  <c:v>4.3357450730586937E-2</c:v>
                </c:pt>
                <c:pt idx="134">
                  <c:v>0.47317123762411839</c:v>
                </c:pt>
                <c:pt idx="135">
                  <c:v>0.47317123762411839</c:v>
                </c:pt>
                <c:pt idx="136">
                  <c:v>0.47317123762411839</c:v>
                </c:pt>
                <c:pt idx="137">
                  <c:v>0.47317123762411839</c:v>
                </c:pt>
                <c:pt idx="138">
                  <c:v>0.47317123762411839</c:v>
                </c:pt>
                <c:pt idx="139">
                  <c:v>0.47317123762411839</c:v>
                </c:pt>
                <c:pt idx="140">
                  <c:v>0.62636797355184148</c:v>
                </c:pt>
                <c:pt idx="141">
                  <c:v>0.58956675729454533</c:v>
                </c:pt>
                <c:pt idx="142">
                  <c:v>0.33771367779492539</c:v>
                </c:pt>
                <c:pt idx="143">
                  <c:v>0.16859357325625621</c:v>
                </c:pt>
                <c:pt idx="144">
                  <c:v>0.50108717994095697</c:v>
                </c:pt>
                <c:pt idx="145">
                  <c:v>0.50108717994095697</c:v>
                </c:pt>
                <c:pt idx="146">
                  <c:v>0.50108717994095697</c:v>
                </c:pt>
                <c:pt idx="147">
                  <c:v>0.50108717994095697</c:v>
                </c:pt>
                <c:pt idx="148">
                  <c:v>0.57348874199646627</c:v>
                </c:pt>
                <c:pt idx="149">
                  <c:v>0.59288147661813162</c:v>
                </c:pt>
                <c:pt idx="150">
                  <c:v>0.67186228282942739</c:v>
                </c:pt>
                <c:pt idx="151">
                  <c:v>0.64084302192711751</c:v>
                </c:pt>
                <c:pt idx="152">
                  <c:v>0.63147014092883558</c:v>
                </c:pt>
                <c:pt idx="153">
                  <c:v>0.65253772380026964</c:v>
                </c:pt>
                <c:pt idx="154">
                  <c:v>0.46053960136843403</c:v>
                </c:pt>
                <c:pt idx="155">
                  <c:v>6.4154834697032745E-2</c:v>
                </c:pt>
                <c:pt idx="156">
                  <c:v>4.5637332142268547E-2</c:v>
                </c:pt>
                <c:pt idx="157">
                  <c:v>1.7452013106757407E-2</c:v>
                </c:pt>
                <c:pt idx="158">
                  <c:v>1.5768547273804411E-2</c:v>
                </c:pt>
                <c:pt idx="159">
                  <c:v>1.2043181891246866</c:v>
                </c:pt>
                <c:pt idx="160">
                  <c:v>0.64037611817060514</c:v>
                </c:pt>
                <c:pt idx="161">
                  <c:v>0.64037611817060514</c:v>
                </c:pt>
                <c:pt idx="162">
                  <c:v>9.0706668398668422E-2</c:v>
                </c:pt>
                <c:pt idx="163">
                  <c:v>5.9218947297228222E-2</c:v>
                </c:pt>
                <c:pt idx="164">
                  <c:v>3.0256012025509874E-2</c:v>
                </c:pt>
                <c:pt idx="165">
                  <c:v>5.4988711285671576E-3</c:v>
                </c:pt>
                <c:pt idx="166">
                  <c:v>0.40595075963449129</c:v>
                </c:pt>
                <c:pt idx="167">
                  <c:v>0.39951692230786862</c:v>
                </c:pt>
                <c:pt idx="168">
                  <c:v>0.51251760164968174</c:v>
                </c:pt>
                <c:pt idx="169">
                  <c:v>0.18674662417630666</c:v>
                </c:pt>
                <c:pt idx="170">
                  <c:v>0.52255266218942475</c:v>
                </c:pt>
                <c:pt idx="171">
                  <c:v>0.52255266218942475</c:v>
                </c:pt>
                <c:pt idx="172">
                  <c:v>0.52255266218942475</c:v>
                </c:pt>
                <c:pt idx="173">
                  <c:v>0.52255266218942475</c:v>
                </c:pt>
                <c:pt idx="174">
                  <c:v>0.52255266218942475</c:v>
                </c:pt>
                <c:pt idx="175">
                  <c:v>0.52255266218942475</c:v>
                </c:pt>
                <c:pt idx="176">
                  <c:v>0.52255266218942475</c:v>
                </c:pt>
                <c:pt idx="177">
                  <c:v>0.52255266218942475</c:v>
                </c:pt>
                <c:pt idx="178">
                  <c:v>0.52255266218942475</c:v>
                </c:pt>
                <c:pt idx="179">
                  <c:v>0.52255266218942475</c:v>
                </c:pt>
                <c:pt idx="180">
                  <c:v>0.36638514503417674</c:v>
                </c:pt>
                <c:pt idx="181">
                  <c:v>0.44864331091360204</c:v>
                </c:pt>
                <c:pt idx="182">
                  <c:v>0.46426584038332791</c:v>
                </c:pt>
                <c:pt idx="183">
                  <c:v>0.25270246235790295</c:v>
                </c:pt>
                <c:pt idx="184">
                  <c:v>0.24832412190751574</c:v>
                </c:pt>
                <c:pt idx="185">
                  <c:v>0.24155561536663953</c:v>
                </c:pt>
                <c:pt idx="186">
                  <c:v>0.29004638259751175</c:v>
                </c:pt>
                <c:pt idx="187">
                  <c:v>0.27738991513400418</c:v>
                </c:pt>
                <c:pt idx="188">
                  <c:v>0.38737828764951726</c:v>
                </c:pt>
                <c:pt idx="189">
                  <c:v>0.27721670637499796</c:v>
                </c:pt>
                <c:pt idx="190">
                  <c:v>0.26265241542400947</c:v>
                </c:pt>
                <c:pt idx="191">
                  <c:v>0.1626257281367689</c:v>
                </c:pt>
                <c:pt idx="192">
                  <c:v>5.5858901809542172E-2</c:v>
                </c:pt>
                <c:pt idx="193">
                  <c:v>0.20151529159476533</c:v>
                </c:pt>
                <c:pt idx="194">
                  <c:v>9.9346777368217259E-2</c:v>
                </c:pt>
                <c:pt idx="195">
                  <c:v>9.9346777368217259E-2</c:v>
                </c:pt>
                <c:pt idx="196">
                  <c:v>9.9346777368217259E-2</c:v>
                </c:pt>
                <c:pt idx="197">
                  <c:v>9.9346777368217259E-2</c:v>
                </c:pt>
                <c:pt idx="198">
                  <c:v>9.9346777368217259E-2</c:v>
                </c:pt>
                <c:pt idx="199">
                  <c:v>9.9346777368217259E-2</c:v>
                </c:pt>
                <c:pt idx="200">
                  <c:v>9.9346777368217259E-2</c:v>
                </c:pt>
                <c:pt idx="201">
                  <c:v>9.9346777368217259E-2</c:v>
                </c:pt>
                <c:pt idx="202">
                  <c:v>9.9346777368217259E-2</c:v>
                </c:pt>
                <c:pt idx="203">
                  <c:v>9.9346777368217259E-2</c:v>
                </c:pt>
                <c:pt idx="204">
                  <c:v>9.9346777368217259E-2</c:v>
                </c:pt>
                <c:pt idx="205">
                  <c:v>9.9346777368217259E-2</c:v>
                </c:pt>
                <c:pt idx="206">
                  <c:v>0.30145556260973033</c:v>
                </c:pt>
                <c:pt idx="207">
                  <c:v>0.21419647090503374</c:v>
                </c:pt>
                <c:pt idx="208">
                  <c:v>0.118221978549947</c:v>
                </c:pt>
                <c:pt idx="209">
                  <c:v>0.118221978549947</c:v>
                </c:pt>
                <c:pt idx="210">
                  <c:v>0.14802609402503666</c:v>
                </c:pt>
                <c:pt idx="211">
                  <c:v>0.13635620424224831</c:v>
                </c:pt>
                <c:pt idx="212">
                  <c:v>9.2758903453660363E-2</c:v>
                </c:pt>
                <c:pt idx="213">
                  <c:v>9.2758903453660363E-2</c:v>
                </c:pt>
                <c:pt idx="214">
                  <c:v>9.2758903453660363E-2</c:v>
                </c:pt>
                <c:pt idx="215">
                  <c:v>9.2758903453660363E-2</c:v>
                </c:pt>
                <c:pt idx="216">
                  <c:v>9.2758903453660363E-2</c:v>
                </c:pt>
                <c:pt idx="217">
                  <c:v>9.2758903453660363E-2</c:v>
                </c:pt>
                <c:pt idx="218">
                  <c:v>9.2758903453660363E-2</c:v>
                </c:pt>
                <c:pt idx="219">
                  <c:v>0.28489279819940044</c:v>
                </c:pt>
                <c:pt idx="220">
                  <c:v>0.31813757892264116</c:v>
                </c:pt>
                <c:pt idx="221">
                  <c:v>0.17376212388078918</c:v>
                </c:pt>
                <c:pt idx="222">
                  <c:v>0.54507252370649129</c:v>
                </c:pt>
                <c:pt idx="223">
                  <c:v>0.63989216541405491</c:v>
                </c:pt>
                <c:pt idx="224">
                  <c:v>0.65453515723027578</c:v>
                </c:pt>
                <c:pt idx="225">
                  <c:v>0.61866821619671963</c:v>
                </c:pt>
                <c:pt idx="226">
                  <c:v>0.31496912513134045</c:v>
                </c:pt>
                <c:pt idx="227">
                  <c:v>0.45796487478580861</c:v>
                </c:pt>
                <c:pt idx="228">
                  <c:v>0.84358149738677235</c:v>
                </c:pt>
                <c:pt idx="229">
                  <c:v>0.84358149738677235</c:v>
                </c:pt>
                <c:pt idx="230">
                  <c:v>0.84358149738677235</c:v>
                </c:pt>
                <c:pt idx="231">
                  <c:v>0.84358149738677235</c:v>
                </c:pt>
                <c:pt idx="232">
                  <c:v>0.84358149738677235</c:v>
                </c:pt>
                <c:pt idx="233">
                  <c:v>0.43147477627440584</c:v>
                </c:pt>
                <c:pt idx="234">
                  <c:v>0.44497182866810542</c:v>
                </c:pt>
                <c:pt idx="235">
                  <c:v>0.413617029726987</c:v>
                </c:pt>
                <c:pt idx="236">
                  <c:v>0.10731661026012128</c:v>
                </c:pt>
                <c:pt idx="237">
                  <c:v>0.44325647075291708</c:v>
                </c:pt>
                <c:pt idx="238">
                  <c:v>0.43895131743690535</c:v>
                </c:pt>
                <c:pt idx="239">
                  <c:v>0.41960791004247083</c:v>
                </c:pt>
                <c:pt idx="240">
                  <c:v>0.3832657670307954</c:v>
                </c:pt>
                <c:pt idx="241">
                  <c:v>0.35431845062832157</c:v>
                </c:pt>
                <c:pt idx="242">
                  <c:v>8.6733225359316671E-2</c:v>
                </c:pt>
                <c:pt idx="243">
                  <c:v>0.2233919102533127</c:v>
                </c:pt>
                <c:pt idx="244">
                  <c:v>9.9346777368217259E-2</c:v>
                </c:pt>
                <c:pt idx="245">
                  <c:v>9.9346777368217259E-2</c:v>
                </c:pt>
                <c:pt idx="246">
                  <c:v>9.9346777368217259E-2</c:v>
                </c:pt>
                <c:pt idx="247">
                  <c:v>9.9346777368217259E-2</c:v>
                </c:pt>
                <c:pt idx="248">
                  <c:v>9.9346777368217259E-2</c:v>
                </c:pt>
                <c:pt idx="249">
                  <c:v>9.9346777368217259E-2</c:v>
                </c:pt>
                <c:pt idx="250">
                  <c:v>9.9346777368217259E-2</c:v>
                </c:pt>
                <c:pt idx="251">
                  <c:v>9.9346777368217259E-2</c:v>
                </c:pt>
                <c:pt idx="252">
                  <c:v>9.9346777368217259E-2</c:v>
                </c:pt>
                <c:pt idx="253">
                  <c:v>0.19127144653875533</c:v>
                </c:pt>
                <c:pt idx="254">
                  <c:v>0.20267123466873654</c:v>
                </c:pt>
                <c:pt idx="255">
                  <c:v>0.14417878837837897</c:v>
                </c:pt>
                <c:pt idx="256">
                  <c:v>9.9346777368217259E-2</c:v>
                </c:pt>
                <c:pt idx="257">
                  <c:v>9.9346777368217259E-2</c:v>
                </c:pt>
                <c:pt idx="258">
                  <c:v>9.9346777368217259E-2</c:v>
                </c:pt>
                <c:pt idx="259">
                  <c:v>9.9346777368217259E-2</c:v>
                </c:pt>
                <c:pt idx="260">
                  <c:v>9.9346777368217259E-2</c:v>
                </c:pt>
                <c:pt idx="261">
                  <c:v>9.9346777368217259E-2</c:v>
                </c:pt>
                <c:pt idx="262">
                  <c:v>9.9346777368217259E-2</c:v>
                </c:pt>
                <c:pt idx="263">
                  <c:v>0.30145556260973033</c:v>
                </c:pt>
                <c:pt idx="264">
                  <c:v>0.21419647090503374</c:v>
                </c:pt>
                <c:pt idx="265">
                  <c:v>0.17376212388078918</c:v>
                </c:pt>
                <c:pt idx="266">
                  <c:v>0.30296490955823835</c:v>
                </c:pt>
                <c:pt idx="267">
                  <c:v>7.7695089694579042E-2</c:v>
                </c:pt>
                <c:pt idx="268">
                  <c:v>0.10639578592101549</c:v>
                </c:pt>
                <c:pt idx="269">
                  <c:v>0.34837306139786983</c:v>
                </c:pt>
                <c:pt idx="270">
                  <c:v>1.2063667819716668</c:v>
                </c:pt>
                <c:pt idx="271">
                  <c:v>0.43895131743690535</c:v>
                </c:pt>
                <c:pt idx="272">
                  <c:v>0.41960791004247083</c:v>
                </c:pt>
                <c:pt idx="273">
                  <c:v>0.3832657670307954</c:v>
                </c:pt>
                <c:pt idx="274">
                  <c:v>0.35431845062832157</c:v>
                </c:pt>
                <c:pt idx="275">
                  <c:v>5.5858901809542172E-2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949-4309-AEF0-845E8433E4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953920"/>
        <c:axId val="103955840"/>
      </c:scatterChart>
      <c:scatterChart>
        <c:scatterStyle val="smoothMarker"/>
        <c:varyColors val="0"/>
        <c:ser>
          <c:idx val="1"/>
          <c:order val="1"/>
          <c:tx>
            <c:v>Total Fuel consumed (in l)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Simulation!$AK$2:$AK$278</c:f>
              <c:numCache>
                <c:formatCode>General</c:formatCode>
                <c:ptCount val="277"/>
                <c:pt idx="0">
                  <c:v>0</c:v>
                </c:pt>
                <c:pt idx="1">
                  <c:v>0</c:v>
                </c:pt>
                <c:pt idx="2">
                  <c:v>0.24696307316523858</c:v>
                </c:pt>
                <c:pt idx="3">
                  <c:v>0.50782472170438364</c:v>
                </c:pt>
                <c:pt idx="4">
                  <c:v>0.95252575935126083</c:v>
                </c:pt>
                <c:pt idx="5">
                  <c:v>1.0752027642841686</c:v>
                </c:pt>
                <c:pt idx="6">
                  <c:v>1.3635966860801216</c:v>
                </c:pt>
                <c:pt idx="7">
                  <c:v>1.7073054910129186</c:v>
                </c:pt>
                <c:pt idx="8">
                  <c:v>2.2500003752768656</c:v>
                </c:pt>
                <c:pt idx="9">
                  <c:v>2.8269582998279406</c:v>
                </c:pt>
                <c:pt idx="10">
                  <c:v>3.3251451830525074</c:v>
                </c:pt>
                <c:pt idx="11">
                  <c:v>3.865083585614328</c:v>
                </c:pt>
                <c:pt idx="12">
                  <c:v>4.1405504995677953</c:v>
                </c:pt>
                <c:pt idx="13">
                  <c:v>4.7494956137094233</c:v>
                </c:pt>
                <c:pt idx="14">
                  <c:v>5.2538234273783129</c:v>
                </c:pt>
                <c:pt idx="15">
                  <c:v>5.8146697424682854</c:v>
                </c:pt>
                <c:pt idx="16">
                  <c:v>6.3966343197211462</c:v>
                </c:pt>
                <c:pt idx="17">
                  <c:v>7.091620385214596</c:v>
                </c:pt>
                <c:pt idx="18">
                  <c:v>7.8137800245325613</c:v>
                </c:pt>
                <c:pt idx="19">
                  <c:v>8.2194117070134265</c:v>
                </c:pt>
                <c:pt idx="20">
                  <c:v>8.7791197653087494</c:v>
                </c:pt>
                <c:pt idx="21">
                  <c:v>9.3129420448352107</c:v>
                </c:pt>
                <c:pt idx="22">
                  <c:v>9.8017022415038841</c:v>
                </c:pt>
                <c:pt idx="23">
                  <c:v>10.339746269460356</c:v>
                </c:pt>
                <c:pt idx="24">
                  <c:v>10.8164835383789</c:v>
                </c:pt>
                <c:pt idx="25">
                  <c:v>10.909983846612846</c:v>
                </c:pt>
                <c:pt idx="26">
                  <c:v>11.324229203500533</c:v>
                </c:pt>
                <c:pt idx="27">
                  <c:v>11.588132920862293</c:v>
                </c:pt>
                <c:pt idx="28">
                  <c:v>11.841067204178698</c:v>
                </c:pt>
                <c:pt idx="29">
                  <c:v>12.084689017380576</c:v>
                </c:pt>
                <c:pt idx="30">
                  <c:v>12.315607457409831</c:v>
                </c:pt>
                <c:pt idx="31">
                  <c:v>12.441211101867502</c:v>
                </c:pt>
                <c:pt idx="32">
                  <c:v>12.566814746325173</c:v>
                </c:pt>
                <c:pt idx="33">
                  <c:v>12.692418390782844</c:v>
                </c:pt>
                <c:pt idx="34">
                  <c:v>12.818022035240515</c:v>
                </c:pt>
                <c:pt idx="35">
                  <c:v>12.943625679698187</c:v>
                </c:pt>
                <c:pt idx="36">
                  <c:v>13.069229324155858</c:v>
                </c:pt>
                <c:pt idx="37">
                  <c:v>13.194832968613529</c:v>
                </c:pt>
                <c:pt idx="38">
                  <c:v>13.3204366130712</c:v>
                </c:pt>
                <c:pt idx="39">
                  <c:v>13.446040257528871</c:v>
                </c:pt>
                <c:pt idx="40">
                  <c:v>13.571643901986542</c:v>
                </c:pt>
                <c:pt idx="41">
                  <c:v>13.697247546444213</c:v>
                </c:pt>
                <c:pt idx="42">
                  <c:v>13.822851190901885</c:v>
                </c:pt>
                <c:pt idx="43">
                  <c:v>13.948454835359556</c:v>
                </c:pt>
                <c:pt idx="44">
                  <c:v>14.074058479817227</c:v>
                </c:pt>
                <c:pt idx="45">
                  <c:v>14.478933450841621</c:v>
                </c:pt>
                <c:pt idx="46">
                  <c:v>14.97941654820807</c:v>
                </c:pt>
                <c:pt idx="47">
                  <c:v>15.461861476662527</c:v>
                </c:pt>
                <c:pt idx="48">
                  <c:v>16.001799879224347</c:v>
                </c:pt>
                <c:pt idx="49">
                  <c:v>16.277266793177816</c:v>
                </c:pt>
                <c:pt idx="50">
                  <c:v>16.842035197817271</c:v>
                </c:pt>
                <c:pt idx="51">
                  <c:v>17.368195518430923</c:v>
                </c:pt>
                <c:pt idx="52">
                  <c:v>17.915061846316565</c:v>
                </c:pt>
                <c:pt idx="53">
                  <c:v>18.550137444025264</c:v>
                </c:pt>
                <c:pt idx="54">
                  <c:v>19.021439850756188</c:v>
                </c:pt>
                <c:pt idx="55">
                  <c:v>19.578090258037939</c:v>
                </c:pt>
                <c:pt idx="56">
                  <c:v>19.939303973867421</c:v>
                </c:pt>
                <c:pt idx="57">
                  <c:v>20.438682960023236</c:v>
                </c:pt>
                <c:pt idx="58">
                  <c:v>20.892886465635335</c:v>
                </c:pt>
                <c:pt idx="59">
                  <c:v>21.487828398536504</c:v>
                </c:pt>
                <c:pt idx="60">
                  <c:v>21.998949225884839</c:v>
                </c:pt>
                <c:pt idx="61">
                  <c:v>22.459130064272795</c:v>
                </c:pt>
                <c:pt idx="62">
                  <c:v>22.875340584345238</c:v>
                </c:pt>
                <c:pt idx="63">
                  <c:v>22.957393512386865</c:v>
                </c:pt>
                <c:pt idx="64">
                  <c:v>23.041918011631715</c:v>
                </c:pt>
                <c:pt idx="65">
                  <c:v>23.12623616264522</c:v>
                </c:pt>
                <c:pt idx="66">
                  <c:v>23.265604099732805</c:v>
                </c:pt>
                <c:pt idx="67">
                  <c:v>23.404972036820389</c:v>
                </c:pt>
                <c:pt idx="68">
                  <c:v>23.544339973907974</c:v>
                </c:pt>
                <c:pt idx="69">
                  <c:v>23.683707910995558</c:v>
                </c:pt>
                <c:pt idx="70">
                  <c:v>23.823075848083143</c:v>
                </c:pt>
                <c:pt idx="71">
                  <c:v>23.962443785170727</c:v>
                </c:pt>
                <c:pt idx="72">
                  <c:v>24.101811722258311</c:v>
                </c:pt>
                <c:pt idx="73">
                  <c:v>24.241179659345896</c:v>
                </c:pt>
                <c:pt idx="74">
                  <c:v>24.38054759643348</c:v>
                </c:pt>
                <c:pt idx="75">
                  <c:v>24.519915533521065</c:v>
                </c:pt>
                <c:pt idx="76">
                  <c:v>24.659283470608649</c:v>
                </c:pt>
                <c:pt idx="77">
                  <c:v>24.798651407696234</c:v>
                </c:pt>
                <c:pt idx="78">
                  <c:v>24.938019344783818</c:v>
                </c:pt>
                <c:pt idx="79">
                  <c:v>25.077387281871403</c:v>
                </c:pt>
                <c:pt idx="80">
                  <c:v>25.216755218958987</c:v>
                </c:pt>
                <c:pt idx="81">
                  <c:v>25.832989980799422</c:v>
                </c:pt>
                <c:pt idx="82">
                  <c:v>26.284391996876892</c:v>
                </c:pt>
                <c:pt idx="83">
                  <c:v>26.794210689288334</c:v>
                </c:pt>
                <c:pt idx="84">
                  <c:v>27.069677603241804</c:v>
                </c:pt>
                <c:pt idx="85">
                  <c:v>27.511149887250866</c:v>
                </c:pt>
                <c:pt idx="86">
                  <c:v>28.022618913337212</c:v>
                </c:pt>
                <c:pt idx="87">
                  <c:v>28.526946727006102</c:v>
                </c:pt>
                <c:pt idx="88">
                  <c:v>29.584487655909662</c:v>
                </c:pt>
                <c:pt idx="89">
                  <c:v>30.642028584813222</c:v>
                </c:pt>
                <c:pt idx="90">
                  <c:v>31.699569513716781</c:v>
                </c:pt>
                <c:pt idx="91">
                  <c:v>32.757110442620345</c:v>
                </c:pt>
                <c:pt idx="92">
                  <c:v>33.814651371523908</c:v>
                </c:pt>
                <c:pt idx="93">
                  <c:v>34.116418461568593</c:v>
                </c:pt>
                <c:pt idx="94">
                  <c:v>34.412257777772957</c:v>
                </c:pt>
                <c:pt idx="95">
                  <c:v>34.697579430176454</c:v>
                </c:pt>
                <c:pt idx="96">
                  <c:v>34.791079738410403</c:v>
                </c:pt>
                <c:pt idx="97">
                  <c:v>35.004337105668284</c:v>
                </c:pt>
                <c:pt idx="98">
                  <c:v>35.275506824152906</c:v>
                </c:pt>
                <c:pt idx="99">
                  <c:v>35.654022173254084</c:v>
                </c:pt>
                <c:pt idx="100">
                  <c:v>36.020910512656044</c:v>
                </c:pt>
                <c:pt idx="101">
                  <c:v>36.104774422141304</c:v>
                </c:pt>
                <c:pt idx="102">
                  <c:v>36.237140397820433</c:v>
                </c:pt>
                <c:pt idx="103">
                  <c:v>36.369506373499561</c:v>
                </c:pt>
                <c:pt idx="104">
                  <c:v>36.50187234917869</c:v>
                </c:pt>
                <c:pt idx="105">
                  <c:v>36.634238324857819</c:v>
                </c:pt>
                <c:pt idx="106">
                  <c:v>36.766604300536947</c:v>
                </c:pt>
                <c:pt idx="107">
                  <c:v>36.898970276216076</c:v>
                </c:pt>
                <c:pt idx="108">
                  <c:v>37.031336251895205</c:v>
                </c:pt>
                <c:pt idx="109">
                  <c:v>37.163702227574333</c:v>
                </c:pt>
                <c:pt idx="110">
                  <c:v>37.296068203253462</c:v>
                </c:pt>
                <c:pt idx="111">
                  <c:v>37.716236051663302</c:v>
                </c:pt>
                <c:pt idx="112">
                  <c:v>38.233629778535899</c:v>
                </c:pt>
                <c:pt idx="113">
                  <c:v>38.577502167732057</c:v>
                </c:pt>
                <c:pt idx="114">
                  <c:v>38.750653085669803</c:v>
                </c:pt>
                <c:pt idx="115">
                  <c:v>38.92380400360755</c:v>
                </c:pt>
                <c:pt idx="116">
                  <c:v>39.096954921545297</c:v>
                </c:pt>
                <c:pt idx="117">
                  <c:v>39.270105839483044</c:v>
                </c:pt>
                <c:pt idx="118">
                  <c:v>39.639032565404499</c:v>
                </c:pt>
                <c:pt idx="119">
                  <c:v>39.882654378606375</c:v>
                </c:pt>
                <c:pt idx="120">
                  <c:v>40.02202231569396</c:v>
                </c:pt>
                <c:pt idx="121">
                  <c:v>40.161390252781544</c:v>
                </c:pt>
                <c:pt idx="122">
                  <c:v>40.300758189869129</c:v>
                </c:pt>
                <c:pt idx="123">
                  <c:v>40.440126126956713</c:v>
                </c:pt>
                <c:pt idx="124">
                  <c:v>40.579494064044297</c:v>
                </c:pt>
                <c:pt idx="125">
                  <c:v>40.718862001131882</c:v>
                </c:pt>
                <c:pt idx="126">
                  <c:v>40.858229938219466</c:v>
                </c:pt>
                <c:pt idx="127">
                  <c:v>41.445296031298575</c:v>
                </c:pt>
                <c:pt idx="128">
                  <c:v>42.21538090421857</c:v>
                </c:pt>
                <c:pt idx="129">
                  <c:v>42.872785015798954</c:v>
                </c:pt>
                <c:pt idx="130">
                  <c:v>43.49967072535344</c:v>
                </c:pt>
                <c:pt idx="131">
                  <c:v>44.012188327003123</c:v>
                </c:pt>
                <c:pt idx="132">
                  <c:v>44.082126294263688</c:v>
                </c:pt>
                <c:pt idx="133">
                  <c:v>44.125483744994277</c:v>
                </c:pt>
                <c:pt idx="134">
                  <c:v>44.598654982618399</c:v>
                </c:pt>
                <c:pt idx="135">
                  <c:v>45.071826220242514</c:v>
                </c:pt>
                <c:pt idx="136">
                  <c:v>45.544997457866629</c:v>
                </c:pt>
                <c:pt idx="137">
                  <c:v>46.018168695490743</c:v>
                </c:pt>
                <c:pt idx="138">
                  <c:v>46.491339933114858</c:v>
                </c:pt>
                <c:pt idx="139">
                  <c:v>46.964511170738973</c:v>
                </c:pt>
                <c:pt idx="140">
                  <c:v>47.590879144290817</c:v>
                </c:pt>
                <c:pt idx="141">
                  <c:v>48.180445901585365</c:v>
                </c:pt>
                <c:pt idx="142">
                  <c:v>48.518159579380288</c:v>
                </c:pt>
                <c:pt idx="143">
                  <c:v>48.686753152636541</c:v>
                </c:pt>
                <c:pt idx="144">
                  <c:v>49.187840332577501</c:v>
                </c:pt>
                <c:pt idx="145">
                  <c:v>49.688927512518461</c:v>
                </c:pt>
                <c:pt idx="146">
                  <c:v>50.190014692459421</c:v>
                </c:pt>
                <c:pt idx="147">
                  <c:v>50.691101872400381</c:v>
                </c:pt>
                <c:pt idx="148">
                  <c:v>51.264590614396845</c:v>
                </c:pt>
                <c:pt idx="149">
                  <c:v>51.857472091014976</c:v>
                </c:pt>
                <c:pt idx="150">
                  <c:v>52.529334373844407</c:v>
                </c:pt>
                <c:pt idx="151">
                  <c:v>53.170177395771525</c:v>
                </c:pt>
                <c:pt idx="152">
                  <c:v>53.801647536700358</c:v>
                </c:pt>
                <c:pt idx="153">
                  <c:v>54.45418526050063</c:v>
                </c:pt>
                <c:pt idx="154">
                  <c:v>54.914724861869061</c:v>
                </c:pt>
                <c:pt idx="155">
                  <c:v>54.978879696566096</c:v>
                </c:pt>
                <c:pt idx="156">
                  <c:v>55.024517028708367</c:v>
                </c:pt>
                <c:pt idx="157">
                  <c:v>55.041969041815122</c:v>
                </c:pt>
                <c:pt idx="158">
                  <c:v>55.057737589088923</c:v>
                </c:pt>
                <c:pt idx="159">
                  <c:v>56.262055778213607</c:v>
                </c:pt>
                <c:pt idx="160">
                  <c:v>56.902431896384215</c:v>
                </c:pt>
                <c:pt idx="161">
                  <c:v>57.542808014554822</c:v>
                </c:pt>
                <c:pt idx="162">
                  <c:v>57.633514682953489</c:v>
                </c:pt>
                <c:pt idx="163">
                  <c:v>57.692733630250714</c:v>
                </c:pt>
                <c:pt idx="164">
                  <c:v>57.722989642276225</c:v>
                </c:pt>
                <c:pt idx="165">
                  <c:v>57.728488513404791</c:v>
                </c:pt>
                <c:pt idx="166">
                  <c:v>58.134439273039284</c:v>
                </c:pt>
                <c:pt idx="167">
                  <c:v>58.533956195347152</c:v>
                </c:pt>
                <c:pt idx="168">
                  <c:v>59.046473796996835</c:v>
                </c:pt>
                <c:pt idx="169">
                  <c:v>59.233220421173144</c:v>
                </c:pt>
                <c:pt idx="170">
                  <c:v>59.75577308336257</c:v>
                </c:pt>
                <c:pt idx="171">
                  <c:v>60.278325745551996</c:v>
                </c:pt>
                <c:pt idx="172">
                  <c:v>60.800878407741422</c:v>
                </c:pt>
                <c:pt idx="173">
                  <c:v>61.323431069930848</c:v>
                </c:pt>
                <c:pt idx="174">
                  <c:v>61.845983732120274</c:v>
                </c:pt>
                <c:pt idx="175">
                  <c:v>62.3685363943097</c:v>
                </c:pt>
                <c:pt idx="176">
                  <c:v>62.891089056499126</c:v>
                </c:pt>
                <c:pt idx="177">
                  <c:v>63.413641718688552</c:v>
                </c:pt>
                <c:pt idx="178">
                  <c:v>63.936194380877978</c:v>
                </c:pt>
                <c:pt idx="179">
                  <c:v>64.458747043067405</c:v>
                </c:pt>
                <c:pt idx="180">
                  <c:v>64.825132188101577</c:v>
                </c:pt>
                <c:pt idx="181">
                  <c:v>65.273775499015173</c:v>
                </c:pt>
                <c:pt idx="182">
                  <c:v>65.738041339398507</c:v>
                </c:pt>
                <c:pt idx="183">
                  <c:v>65.990743801756409</c:v>
                </c:pt>
                <c:pt idx="184">
                  <c:v>66.239067923663924</c:v>
                </c:pt>
                <c:pt idx="185">
                  <c:v>66.48062353903056</c:v>
                </c:pt>
                <c:pt idx="186">
                  <c:v>66.77066992162807</c:v>
                </c:pt>
                <c:pt idx="187">
                  <c:v>67.048059836762079</c:v>
                </c:pt>
                <c:pt idx="188">
                  <c:v>67.43543812441159</c:v>
                </c:pt>
                <c:pt idx="189">
                  <c:v>67.71265483078659</c:v>
                </c:pt>
                <c:pt idx="190">
                  <c:v>67.975307246210605</c:v>
                </c:pt>
                <c:pt idx="191">
                  <c:v>68.137932974347379</c:v>
                </c:pt>
                <c:pt idx="192">
                  <c:v>68.193791876156922</c:v>
                </c:pt>
                <c:pt idx="193">
                  <c:v>68.395307167751682</c:v>
                </c:pt>
                <c:pt idx="194">
                  <c:v>68.494653945119893</c:v>
                </c:pt>
                <c:pt idx="195">
                  <c:v>68.594000722488104</c:v>
                </c:pt>
                <c:pt idx="196">
                  <c:v>68.693347499856316</c:v>
                </c:pt>
                <c:pt idx="197">
                  <c:v>68.792694277224527</c:v>
                </c:pt>
                <c:pt idx="198">
                  <c:v>68.892041054592738</c:v>
                </c:pt>
                <c:pt idx="199">
                  <c:v>68.991387831960949</c:v>
                </c:pt>
                <c:pt idx="200">
                  <c:v>69.090734609329161</c:v>
                </c:pt>
                <c:pt idx="201">
                  <c:v>69.190081386697372</c:v>
                </c:pt>
                <c:pt idx="202">
                  <c:v>69.289428164065583</c:v>
                </c:pt>
                <c:pt idx="203">
                  <c:v>69.388774941433795</c:v>
                </c:pt>
                <c:pt idx="204">
                  <c:v>69.488121718802006</c:v>
                </c:pt>
                <c:pt idx="205">
                  <c:v>69.587468496170217</c:v>
                </c:pt>
                <c:pt idx="206">
                  <c:v>69.888924058779949</c:v>
                </c:pt>
                <c:pt idx="207">
                  <c:v>70.103120529684986</c:v>
                </c:pt>
                <c:pt idx="208">
                  <c:v>70.22134250823494</c:v>
                </c:pt>
                <c:pt idx="209">
                  <c:v>70.339564486784894</c:v>
                </c:pt>
                <c:pt idx="210">
                  <c:v>70.487590580809936</c:v>
                </c:pt>
                <c:pt idx="211">
                  <c:v>70.623946785052183</c:v>
                </c:pt>
                <c:pt idx="212">
                  <c:v>70.71670568850584</c:v>
                </c:pt>
                <c:pt idx="213">
                  <c:v>70.809464591959497</c:v>
                </c:pt>
                <c:pt idx="214">
                  <c:v>70.902223495413153</c:v>
                </c:pt>
                <c:pt idx="215">
                  <c:v>70.99498239886681</c:v>
                </c:pt>
                <c:pt idx="216">
                  <c:v>71.087741302320467</c:v>
                </c:pt>
                <c:pt idx="217">
                  <c:v>71.180500205774123</c:v>
                </c:pt>
                <c:pt idx="218">
                  <c:v>71.27325910922778</c:v>
                </c:pt>
                <c:pt idx="219">
                  <c:v>71.558151907427174</c:v>
                </c:pt>
                <c:pt idx="220">
                  <c:v>71.876289486349819</c:v>
                </c:pt>
                <c:pt idx="221">
                  <c:v>72.050051610230611</c:v>
                </c:pt>
                <c:pt idx="222">
                  <c:v>72.595124133937105</c:v>
                </c:pt>
                <c:pt idx="223">
                  <c:v>73.235016299351159</c:v>
                </c:pt>
                <c:pt idx="224">
                  <c:v>73.88955145658143</c:v>
                </c:pt>
                <c:pt idx="225">
                  <c:v>74.508219672778154</c:v>
                </c:pt>
                <c:pt idx="226">
                  <c:v>74.823188797909495</c:v>
                </c:pt>
                <c:pt idx="227">
                  <c:v>75.281153672695297</c:v>
                </c:pt>
                <c:pt idx="228">
                  <c:v>76.124735170082076</c:v>
                </c:pt>
                <c:pt idx="229">
                  <c:v>76.968316667468855</c:v>
                </c:pt>
                <c:pt idx="230">
                  <c:v>77.811898164855634</c:v>
                </c:pt>
                <c:pt idx="231">
                  <c:v>78.655479662242413</c:v>
                </c:pt>
                <c:pt idx="232">
                  <c:v>79.499061159629193</c:v>
                </c:pt>
                <c:pt idx="233">
                  <c:v>79.930535935903592</c:v>
                </c:pt>
                <c:pt idx="234">
                  <c:v>80.375507764571694</c:v>
                </c:pt>
                <c:pt idx="235">
                  <c:v>80.789124794298687</c:v>
                </c:pt>
                <c:pt idx="236">
                  <c:v>80.896441404558814</c:v>
                </c:pt>
                <c:pt idx="237">
                  <c:v>81.339697875311728</c:v>
                </c:pt>
                <c:pt idx="238">
                  <c:v>81.778649192748631</c:v>
                </c:pt>
                <c:pt idx="239">
                  <c:v>82.198257102791104</c:v>
                </c:pt>
                <c:pt idx="240">
                  <c:v>82.581522869821896</c:v>
                </c:pt>
                <c:pt idx="241">
                  <c:v>82.935841320450223</c:v>
                </c:pt>
                <c:pt idx="242">
                  <c:v>83.022574545809533</c:v>
                </c:pt>
                <c:pt idx="243">
                  <c:v>83.245966456062845</c:v>
                </c:pt>
                <c:pt idx="244">
                  <c:v>83.345313233431057</c:v>
                </c:pt>
                <c:pt idx="245">
                  <c:v>83.444660010799268</c:v>
                </c:pt>
                <c:pt idx="246">
                  <c:v>83.544006788167479</c:v>
                </c:pt>
                <c:pt idx="247">
                  <c:v>83.643353565535691</c:v>
                </c:pt>
                <c:pt idx="248">
                  <c:v>83.742700342903902</c:v>
                </c:pt>
                <c:pt idx="249">
                  <c:v>83.842047120272113</c:v>
                </c:pt>
                <c:pt idx="250">
                  <c:v>83.941393897640324</c:v>
                </c:pt>
                <c:pt idx="251">
                  <c:v>84.040740675008536</c:v>
                </c:pt>
                <c:pt idx="252">
                  <c:v>84.140087452376747</c:v>
                </c:pt>
                <c:pt idx="253">
                  <c:v>84.331358898915497</c:v>
                </c:pt>
                <c:pt idx="254">
                  <c:v>84.534030133584238</c:v>
                </c:pt>
                <c:pt idx="255">
                  <c:v>84.678208921962622</c:v>
                </c:pt>
                <c:pt idx="256">
                  <c:v>84.777555699330833</c:v>
                </c:pt>
                <c:pt idx="257">
                  <c:v>84.876902476699044</c:v>
                </c:pt>
                <c:pt idx="258">
                  <c:v>84.976249254067255</c:v>
                </c:pt>
                <c:pt idx="259">
                  <c:v>85.075596031435467</c:v>
                </c:pt>
                <c:pt idx="260">
                  <c:v>85.174942808803678</c:v>
                </c:pt>
                <c:pt idx="261">
                  <c:v>85.274289586171889</c:v>
                </c:pt>
                <c:pt idx="262">
                  <c:v>85.373636363540101</c:v>
                </c:pt>
                <c:pt idx="263">
                  <c:v>85.675091926149832</c:v>
                </c:pt>
                <c:pt idx="264">
                  <c:v>85.88928839705487</c:v>
                </c:pt>
                <c:pt idx="265">
                  <c:v>86.063050520935661</c:v>
                </c:pt>
                <c:pt idx="266">
                  <c:v>86.366015430493903</c:v>
                </c:pt>
                <c:pt idx="267">
                  <c:v>86.443710520188475</c:v>
                </c:pt>
                <c:pt idx="268">
                  <c:v>86.550106306109484</c:v>
                </c:pt>
                <c:pt idx="269">
                  <c:v>86.898479367507349</c:v>
                </c:pt>
                <c:pt idx="270">
                  <c:v>88.104846149479016</c:v>
                </c:pt>
                <c:pt idx="271">
                  <c:v>88.543797466915919</c:v>
                </c:pt>
                <c:pt idx="272">
                  <c:v>88.963405376958391</c:v>
                </c:pt>
                <c:pt idx="273">
                  <c:v>89.346671143989184</c:v>
                </c:pt>
                <c:pt idx="274">
                  <c:v>89.700989594617511</c:v>
                </c:pt>
                <c:pt idx="275">
                  <c:v>89.756848496427054</c:v>
                </c:pt>
                <c:pt idx="276">
                  <c:v>89.756848496427054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97-48ED-B342-BA143D8DB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976320"/>
        <c:axId val="103974400"/>
      </c:scatterChart>
      <c:valAx>
        <c:axId val="103953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GB" sz="1000" b="1" i="0" u="none" strike="noStrike" kern="1200" baseline="0">
                    <a:solidFill>
                      <a:sysClr val="windowText" lastClr="000000"/>
                    </a:solidFill>
                    <a:latin typeface="Book Antiqua" panose="02040602050305030304" pitchFamily="18" charset="0"/>
                    <a:ea typeface="+mn-ea"/>
                    <a:cs typeface="+mn-cs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Book Antiqua" panose="02040602050305030304" pitchFamily="18" charset="0"/>
                  </a:rPr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 panose="02040602050305030304" pitchFamily="18" charset="0"/>
                <a:ea typeface="+mn-ea"/>
                <a:cs typeface="+mn-cs"/>
              </a:defRPr>
            </a:pPr>
            <a:endParaRPr lang="en-US"/>
          </a:p>
        </c:txPr>
        <c:crossAx val="103955840"/>
        <c:crosses val="autoZero"/>
        <c:crossBetween val="midCat"/>
        <c:majorUnit val="10"/>
      </c:valAx>
      <c:valAx>
        <c:axId val="10395584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0" i="0" u="none" strike="noStrike" kern="1200" baseline="0">
                    <a:solidFill>
                      <a:sysClr val="windowText" lastClr="000000"/>
                    </a:solidFill>
                    <a:latin typeface="Book Antiqua" panose="02040602050305030304" pitchFamily="18" charset="0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  <a:latin typeface="Book Antiqua" panose="02040602050305030304" pitchFamily="18" charset="0"/>
                  </a:rPr>
                  <a:t>Mass Flow Rate (g/s)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chemeClr val="tx1"/>
                </a:solidFill>
                <a:latin typeface="Book Antiqua" panose="02040602050305030304" pitchFamily="18" charset="0"/>
                <a:ea typeface="+mn-ea"/>
                <a:cs typeface="+mn-cs"/>
              </a:defRPr>
            </a:pPr>
            <a:endParaRPr lang="en-US"/>
          </a:p>
        </c:txPr>
        <c:crossAx val="103953920"/>
        <c:crosses val="autoZero"/>
        <c:crossBetween val="midCat"/>
      </c:valAx>
      <c:valAx>
        <c:axId val="1039744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GB" sz="1000" b="0" i="0" u="none" strike="noStrike" kern="1200" baseline="0">
                    <a:solidFill>
                      <a:sysClr val="windowText" lastClr="000000"/>
                    </a:solidFill>
                    <a:latin typeface="Book Antiqua" panose="02040602050305030304" pitchFamily="18" charset="0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  <a:latin typeface="Book Antiqua" panose="02040602050305030304" pitchFamily="18" charset="0"/>
                  </a:rPr>
                  <a:t>Fuel consumption (g)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ysClr val="windowText" lastClr="000000"/>
                </a:solidFill>
                <a:latin typeface="Book Antiqua" panose="02040602050305030304" pitchFamily="18" charset="0"/>
                <a:ea typeface="+mn-ea"/>
                <a:cs typeface="+mn-cs"/>
              </a:defRPr>
            </a:pPr>
            <a:endParaRPr lang="en-US"/>
          </a:p>
        </c:txPr>
        <c:crossAx val="103976320"/>
        <c:crosses val="max"/>
        <c:crossBetween val="midCat"/>
      </c:valAx>
      <c:valAx>
        <c:axId val="103976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974400"/>
        <c:crosses val="autoZero"/>
        <c:crossBetween val="midCat"/>
        <c:majorUnit val="10"/>
      </c:valAx>
      <c:spPr>
        <a:noFill/>
        <a:ln w="9525">
          <a:solidFill>
            <a:schemeClr val="tx1"/>
          </a:solidFill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lang="en-GB" sz="1000" b="1" i="0" u="none" strike="noStrike" kern="1200" baseline="0">
                <a:solidFill>
                  <a:sysClr val="windowText" lastClr="000000"/>
                </a:solidFill>
                <a:latin typeface="Book Antiqua" panose="02040602050305030304" pitchFamily="18" charset="0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lang="en-GB" sz="1000" b="1" i="0" u="none" strike="noStrike" kern="1200" baseline="0">
                <a:solidFill>
                  <a:schemeClr val="tx1"/>
                </a:solidFill>
                <a:latin typeface="Book Antiqua" panose="02040602050305030304" pitchFamily="18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36120261755677358"/>
          <c:y val="0.90761501659139476"/>
          <c:w val="0.25634305102629279"/>
          <c:h val="6.83609593845814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GB" sz="1000" b="0" i="0" u="none" strike="noStrike" kern="1200" baseline="0">
              <a:solidFill>
                <a:sysClr val="windowText" lastClr="000000"/>
              </a:solidFill>
              <a:latin typeface="Book Antiqua" panose="0204060205030503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>
                <a:latin typeface="Book Antiqua"/>
                <a:ea typeface="Book Antiqua"/>
                <a:cs typeface="Book Antiqua"/>
              </a:defRPr>
            </a:pPr>
            <a:r>
              <a:rPr lang="en-US"/>
              <a:t>Energy Dissipation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Traction energy</c:v>
          </c:tx>
          <c:spPr>
            <a:ln w="1905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Simulation!$AD$2:$AD$278</c:f>
              <c:numCache>
                <c:formatCode>General</c:formatCode>
                <c:ptCount val="277"/>
                <c:pt idx="0">
                  <c:v>0</c:v>
                </c:pt>
                <c:pt idx="1">
                  <c:v>1.0807173156156863E-3</c:v>
                </c:pt>
                <c:pt idx="2">
                  <c:v>1.3987132392399423E-3</c:v>
                </c:pt>
                <c:pt idx="3">
                  <c:v>1.7433890939082021E-3</c:v>
                </c:pt>
                <c:pt idx="4">
                  <c:v>2.4658130590730432E-3</c:v>
                </c:pt>
                <c:pt idx="5">
                  <c:v>2.5825897751926971E-3</c:v>
                </c:pt>
                <c:pt idx="6">
                  <c:v>2.9901338992422088E-3</c:v>
                </c:pt>
                <c:pt idx="7">
                  <c:v>3.4758462990116786E-3</c:v>
                </c:pt>
                <c:pt idx="8">
                  <c:v>4.4931567518583801E-3</c:v>
                </c:pt>
                <c:pt idx="9">
                  <c:v>5.6669973190999028E-3</c:v>
                </c:pt>
                <c:pt idx="10">
                  <c:v>7.0018480206172256E-3</c:v>
                </c:pt>
                <c:pt idx="11">
                  <c:v>8.5027488787764397E-3</c:v>
                </c:pt>
                <c:pt idx="12">
                  <c:v>8.8715365702806918E-3</c:v>
                </c:pt>
                <c:pt idx="13">
                  <c:v>1.0398426326098114E-2</c:v>
                </c:pt>
                <c:pt idx="14">
                  <c:v>1.1428793031450987E-2</c:v>
                </c:pt>
                <c:pt idx="15">
                  <c:v>1.2931534517327863E-2</c:v>
                </c:pt>
                <c:pt idx="16">
                  <c:v>1.4549258185940366E-2</c:v>
                </c:pt>
                <c:pt idx="17">
                  <c:v>1.676648656364467E-2</c:v>
                </c:pt>
                <c:pt idx="18">
                  <c:v>1.9182688577070617E-2</c:v>
                </c:pt>
                <c:pt idx="19">
                  <c:v>1.9714100860518721E-2</c:v>
                </c:pt>
                <c:pt idx="20">
                  <c:v>2.1015146645439724E-2</c:v>
                </c:pt>
                <c:pt idx="21">
                  <c:v>2.2256020733960293E-2</c:v>
                </c:pt>
                <c:pt idx="22">
                  <c:v>2.3429443093773827E-2</c:v>
                </c:pt>
                <c:pt idx="23">
                  <c:v>2.4528693695058872E-2</c:v>
                </c:pt>
                <c:pt idx="24">
                  <c:v>2.5554379210754721E-2</c:v>
                </c:pt>
                <c:pt idx="25">
                  <c:v>2.5662706011608361E-2</c:v>
                </c:pt>
                <c:pt idx="26">
                  <c:v>2.648808665973712E-2</c:v>
                </c:pt>
                <c:pt idx="27">
                  <c:v>2.6845034841330748E-2</c:v>
                </c:pt>
                <c:pt idx="28">
                  <c:v>2.7187146098402264E-2</c:v>
                </c:pt>
                <c:pt idx="29">
                  <c:v>2.7513300425981428E-2</c:v>
                </c:pt>
                <c:pt idx="30">
                  <c:v>2.7822447819408638E-2</c:v>
                </c:pt>
                <c:pt idx="31">
                  <c:v>2.7955453041406064E-2</c:v>
                </c:pt>
                <c:pt idx="32">
                  <c:v>2.808845826340349E-2</c:v>
                </c:pt>
                <c:pt idx="33">
                  <c:v>2.8221463485400916E-2</c:v>
                </c:pt>
                <c:pt idx="34">
                  <c:v>2.8354468707398342E-2</c:v>
                </c:pt>
                <c:pt idx="35">
                  <c:v>2.8487473929395768E-2</c:v>
                </c:pt>
                <c:pt idx="36">
                  <c:v>2.8620479151393194E-2</c:v>
                </c:pt>
                <c:pt idx="37">
                  <c:v>2.875348437339062E-2</c:v>
                </c:pt>
                <c:pt idx="38">
                  <c:v>2.8886489595388046E-2</c:v>
                </c:pt>
                <c:pt idx="39">
                  <c:v>2.9019494817385472E-2</c:v>
                </c:pt>
                <c:pt idx="40">
                  <c:v>2.9152500039382898E-2</c:v>
                </c:pt>
                <c:pt idx="41">
                  <c:v>2.9285505261380324E-2</c:v>
                </c:pt>
                <c:pt idx="42">
                  <c:v>2.9418510483377749E-2</c:v>
                </c:pt>
                <c:pt idx="43">
                  <c:v>2.9551515705375175E-2</c:v>
                </c:pt>
                <c:pt idx="44">
                  <c:v>2.9684520927372601E-2</c:v>
                </c:pt>
                <c:pt idx="45">
                  <c:v>3.0305836489989087E-2</c:v>
                </c:pt>
                <c:pt idx="46">
                  <c:v>3.1258933494034837E-2</c:v>
                </c:pt>
                <c:pt idx="47">
                  <c:v>3.2309543228493463E-2</c:v>
                </c:pt>
                <c:pt idx="48">
                  <c:v>3.381044408665268E-2</c:v>
                </c:pt>
                <c:pt idx="49">
                  <c:v>3.4179231778156932E-2</c:v>
                </c:pt>
                <c:pt idx="50">
                  <c:v>3.5328272351571197E-2</c:v>
                </c:pt>
                <c:pt idx="51">
                  <c:v>3.6330267879219245E-2</c:v>
                </c:pt>
                <c:pt idx="52">
                  <c:v>3.7795551141374693E-2</c:v>
                </c:pt>
                <c:pt idx="53">
                  <c:v>3.982164591814906E-2</c:v>
                </c:pt>
                <c:pt idx="54">
                  <c:v>4.0646146520919774E-2</c:v>
                </c:pt>
                <c:pt idx="55">
                  <c:v>4.2137645417579819E-2</c:v>
                </c:pt>
                <c:pt idx="56">
                  <c:v>4.2668991220360671E-2</c:v>
                </c:pt>
                <c:pt idx="57">
                  <c:v>4.3689247225962693E-2</c:v>
                </c:pt>
                <c:pt idx="58">
                  <c:v>4.4618722490346513E-2</c:v>
                </c:pt>
                <c:pt idx="59">
                  <c:v>4.6349993399714462E-2</c:v>
                </c:pt>
                <c:pt idx="60">
                  <c:v>4.7644394847168425E-2</c:v>
                </c:pt>
                <c:pt idx="61">
                  <c:v>4.8749203481346585E-2</c:v>
                </c:pt>
                <c:pt idx="62">
                  <c:v>4.949142859033144E-2</c:v>
                </c:pt>
                <c:pt idx="63">
                  <c:v>4.9580881210017448E-2</c:v>
                </c:pt>
                <c:pt idx="64">
                  <c:v>4.9670386572977447E-2</c:v>
                </c:pt>
                <c:pt idx="65">
                  <c:v>4.9759673428007703E-2</c:v>
                </c:pt>
                <c:pt idx="66">
                  <c:v>4.9907254045526366E-2</c:v>
                </c:pt>
                <c:pt idx="67">
                  <c:v>5.0054834663045028E-2</c:v>
                </c:pt>
                <c:pt idx="68">
                  <c:v>5.0202415280563691E-2</c:v>
                </c:pt>
                <c:pt idx="69">
                  <c:v>5.0349995898082353E-2</c:v>
                </c:pt>
                <c:pt idx="70">
                  <c:v>5.0497576515601016E-2</c:v>
                </c:pt>
                <c:pt idx="71">
                  <c:v>5.0645157133119678E-2</c:v>
                </c:pt>
                <c:pt idx="72">
                  <c:v>5.0792737750638341E-2</c:v>
                </c:pt>
                <c:pt idx="73">
                  <c:v>5.0940318368157003E-2</c:v>
                </c:pt>
                <c:pt idx="74">
                  <c:v>5.1087898985675666E-2</c:v>
                </c:pt>
                <c:pt idx="75">
                  <c:v>5.1235479603194328E-2</c:v>
                </c:pt>
                <c:pt idx="76">
                  <c:v>5.1383060220712991E-2</c:v>
                </c:pt>
                <c:pt idx="77">
                  <c:v>5.1530640838231653E-2</c:v>
                </c:pt>
                <c:pt idx="78">
                  <c:v>5.1678221455750316E-2</c:v>
                </c:pt>
                <c:pt idx="79">
                  <c:v>5.1825802073268978E-2</c:v>
                </c:pt>
                <c:pt idx="80">
                  <c:v>5.1973382690787641E-2</c:v>
                </c:pt>
                <c:pt idx="81">
                  <c:v>5.3227133322526619E-2</c:v>
                </c:pt>
                <c:pt idx="82">
                  <c:v>5.431086563653352E-2</c:v>
                </c:pt>
                <c:pt idx="83">
                  <c:v>5.5495943197960855E-2</c:v>
                </c:pt>
                <c:pt idx="84">
                  <c:v>5.5864730889465107E-2</c:v>
                </c:pt>
                <c:pt idx="85">
                  <c:v>5.6652005113229043E-2</c:v>
                </c:pt>
                <c:pt idx="86">
                  <c:v>5.7626023214919629E-2</c:v>
                </c:pt>
                <c:pt idx="87">
                  <c:v>5.86563899202725E-2</c:v>
                </c:pt>
                <c:pt idx="88">
                  <c:v>6.0990805738058256E-2</c:v>
                </c:pt>
                <c:pt idx="89">
                  <c:v>6.3325221555844011E-2</c:v>
                </c:pt>
                <c:pt idx="90">
                  <c:v>6.5659637373629773E-2</c:v>
                </c:pt>
                <c:pt idx="91">
                  <c:v>6.7994053191415535E-2</c:v>
                </c:pt>
                <c:pt idx="92">
                  <c:v>7.0328469009201297E-2</c:v>
                </c:pt>
                <c:pt idx="93">
                  <c:v>7.0736630042827792E-2</c:v>
                </c:pt>
                <c:pt idx="94">
                  <c:v>7.1136773348949897E-2</c:v>
                </c:pt>
                <c:pt idx="95">
                  <c:v>7.1530812271181979E-2</c:v>
                </c:pt>
                <c:pt idx="96">
                  <c:v>7.1639139072035618E-2</c:v>
                </c:pt>
                <c:pt idx="97">
                  <c:v>7.1902108233762058E-2</c:v>
                </c:pt>
                <c:pt idx="98">
                  <c:v>7.2272703334596913E-2</c:v>
                </c:pt>
                <c:pt idx="99">
                  <c:v>7.2882931649373983E-2</c:v>
                </c:pt>
                <c:pt idx="100">
                  <c:v>7.3445953449502055E-2</c:v>
                </c:pt>
                <c:pt idx="101">
                  <c:v>7.3534759295437666E-2</c:v>
                </c:pt>
                <c:pt idx="102">
                  <c:v>7.3674925339632671E-2</c:v>
                </c:pt>
                <c:pt idx="103">
                  <c:v>7.3815091383827677E-2</c:v>
                </c:pt>
                <c:pt idx="104">
                  <c:v>7.3955257428022683E-2</c:v>
                </c:pt>
                <c:pt idx="105">
                  <c:v>7.4095423472217689E-2</c:v>
                </c:pt>
                <c:pt idx="106">
                  <c:v>7.4235589516412695E-2</c:v>
                </c:pt>
                <c:pt idx="107">
                  <c:v>7.4375755560607701E-2</c:v>
                </c:pt>
                <c:pt idx="108">
                  <c:v>7.4515921604802707E-2</c:v>
                </c:pt>
                <c:pt idx="109">
                  <c:v>7.4656087648997713E-2</c:v>
                </c:pt>
                <c:pt idx="110">
                  <c:v>7.4796253693192719E-2</c:v>
                </c:pt>
                <c:pt idx="111">
                  <c:v>7.5441037495134353E-2</c:v>
                </c:pt>
                <c:pt idx="112">
                  <c:v>7.6426338324651233E-2</c:v>
                </c:pt>
                <c:pt idx="113">
                  <c:v>7.6891449711678661E-2</c:v>
                </c:pt>
                <c:pt idx="114">
                  <c:v>7.7080215714065689E-2</c:v>
                </c:pt>
                <c:pt idx="115">
                  <c:v>7.7268981716452717E-2</c:v>
                </c:pt>
                <c:pt idx="116">
                  <c:v>7.7457747718839745E-2</c:v>
                </c:pt>
                <c:pt idx="117">
                  <c:v>7.7646513721226773E-2</c:v>
                </c:pt>
                <c:pt idx="118">
                  <c:v>7.8241283615683804E-2</c:v>
                </c:pt>
                <c:pt idx="119">
                  <c:v>7.8567437943262972E-2</c:v>
                </c:pt>
                <c:pt idx="120">
                  <c:v>7.8715018560781627E-2</c:v>
                </c:pt>
                <c:pt idx="121">
                  <c:v>7.8862599178300283E-2</c:v>
                </c:pt>
                <c:pt idx="122">
                  <c:v>7.9010179795818938E-2</c:v>
                </c:pt>
                <c:pt idx="123">
                  <c:v>7.9157760413337594E-2</c:v>
                </c:pt>
                <c:pt idx="124">
                  <c:v>7.930534103085625E-2</c:v>
                </c:pt>
                <c:pt idx="125">
                  <c:v>7.9452921648374905E-2</c:v>
                </c:pt>
                <c:pt idx="126">
                  <c:v>7.9600502265893561E-2</c:v>
                </c:pt>
                <c:pt idx="127">
                  <c:v>8.1072531817807783E-2</c:v>
                </c:pt>
                <c:pt idx="128">
                  <c:v>8.296916894538256E-2</c:v>
                </c:pt>
                <c:pt idx="129">
                  <c:v>8.4898299943080735E-2</c:v>
                </c:pt>
                <c:pt idx="130">
                  <c:v>8.6898266350773565E-2</c:v>
                </c:pt>
                <c:pt idx="131">
                  <c:v>8.8000932147688796E-2</c:v>
                </c:pt>
                <c:pt idx="132">
                  <c:v>8.807949604143421E-2</c:v>
                </c:pt>
                <c:pt idx="133">
                  <c:v>8.8123418313833038E-2</c:v>
                </c:pt>
                <c:pt idx="134">
                  <c:v>8.9090130590976244E-2</c:v>
                </c:pt>
                <c:pt idx="135">
                  <c:v>9.0056842868119449E-2</c:v>
                </c:pt>
                <c:pt idx="136">
                  <c:v>9.1023555145262655E-2</c:v>
                </c:pt>
                <c:pt idx="137">
                  <c:v>9.1990267422405861E-2</c:v>
                </c:pt>
                <c:pt idx="138">
                  <c:v>9.2956979699549067E-2</c:v>
                </c:pt>
                <c:pt idx="139">
                  <c:v>9.3923691976692272E-2</c:v>
                </c:pt>
                <c:pt idx="140">
                  <c:v>9.5494268404645991E-2</c:v>
                </c:pt>
                <c:pt idx="141">
                  <c:v>9.716458171392009E-2</c:v>
                </c:pt>
                <c:pt idx="142">
                  <c:v>9.7661358932985401E-2</c:v>
                </c:pt>
                <c:pt idx="143">
                  <c:v>9.7860724148927075E-2</c:v>
                </c:pt>
                <c:pt idx="144">
                  <c:v>9.8794378529770382E-2</c:v>
                </c:pt>
                <c:pt idx="145">
                  <c:v>9.972803291061369E-2</c:v>
                </c:pt>
                <c:pt idx="146">
                  <c:v>0.100661687291457</c:v>
                </c:pt>
                <c:pt idx="147">
                  <c:v>0.1015953416723003</c:v>
                </c:pt>
                <c:pt idx="148">
                  <c:v>0.102814712586829</c:v>
                </c:pt>
                <c:pt idx="149">
                  <c:v>0.10407531698131847</c:v>
                </c:pt>
                <c:pt idx="150">
                  <c:v>0.10582738155766656</c:v>
                </c:pt>
                <c:pt idx="151">
                  <c:v>0.10770791457606556</c:v>
                </c:pt>
                <c:pt idx="152">
                  <c:v>0.10964471632441201</c:v>
                </c:pt>
                <c:pt idx="153">
                  <c:v>0.11102793066846395</c:v>
                </c:pt>
                <c:pt idx="154">
                  <c:v>0.11190496111488339</c:v>
                </c:pt>
                <c:pt idx="155">
                  <c:v>0.11197490155657319</c:v>
                </c:pt>
                <c:pt idx="156">
                  <c:v>0.11202292365154513</c:v>
                </c:pt>
                <c:pt idx="157">
                  <c:v>0.1120420273687352</c:v>
                </c:pt>
                <c:pt idx="158">
                  <c:v>0.11205940206287614</c:v>
                </c:pt>
                <c:pt idx="159">
                  <c:v>0.11503978344777011</c:v>
                </c:pt>
                <c:pt idx="160">
                  <c:v>0.11707776996767516</c:v>
                </c:pt>
                <c:pt idx="161">
                  <c:v>0.11911575648758022</c:v>
                </c:pt>
                <c:pt idx="162">
                  <c:v>0.1192208466566857</c:v>
                </c:pt>
                <c:pt idx="163">
                  <c:v>0.11928567023976115</c:v>
                </c:pt>
                <c:pt idx="164">
                  <c:v>0.11931750726911318</c:v>
                </c:pt>
                <c:pt idx="165">
                  <c:v>0.11932307777456323</c:v>
                </c:pt>
                <c:pt idx="166">
                  <c:v>0.11997753643396099</c:v>
                </c:pt>
                <c:pt idx="167">
                  <c:v>0.12058788033603353</c:v>
                </c:pt>
                <c:pt idx="168">
                  <c:v>0.12169054613294876</c:v>
                </c:pt>
                <c:pt idx="169">
                  <c:v>0.12189413392864101</c:v>
                </c:pt>
                <c:pt idx="170">
                  <c:v>0.1229617349022946</c:v>
                </c:pt>
                <c:pt idx="171">
                  <c:v>0.12402933587594819</c:v>
                </c:pt>
                <c:pt idx="172">
                  <c:v>0.12509693684960177</c:v>
                </c:pt>
                <c:pt idx="173">
                  <c:v>0.12616453782325535</c:v>
                </c:pt>
                <c:pt idx="174">
                  <c:v>0.12723213879690892</c:v>
                </c:pt>
                <c:pt idx="175">
                  <c:v>0.1282997397705625</c:v>
                </c:pt>
                <c:pt idx="176">
                  <c:v>0.12936734074421607</c:v>
                </c:pt>
                <c:pt idx="177">
                  <c:v>0.13043494171786965</c:v>
                </c:pt>
                <c:pt idx="178">
                  <c:v>0.13150254269152323</c:v>
                </c:pt>
                <c:pt idx="179">
                  <c:v>0.1325701436651768</c:v>
                </c:pt>
                <c:pt idx="180">
                  <c:v>0.13312500263555388</c:v>
                </c:pt>
                <c:pt idx="181">
                  <c:v>0.13401892093924389</c:v>
                </c:pt>
                <c:pt idx="182">
                  <c:v>0.1349689876150903</c:v>
                </c:pt>
                <c:pt idx="183">
                  <c:v>0.13528740769747294</c:v>
                </c:pt>
                <c:pt idx="184">
                  <c:v>0.1355936179213641</c:v>
                </c:pt>
                <c:pt idx="185">
                  <c:v>0.1358914818521631</c:v>
                </c:pt>
                <c:pt idx="186">
                  <c:v>0.13628378981159994</c:v>
                </c:pt>
                <c:pt idx="187">
                  <c:v>0.13665515196533617</c:v>
                </c:pt>
                <c:pt idx="188">
                  <c:v>0.13725368648729902</c:v>
                </c:pt>
                <c:pt idx="189">
                  <c:v>0.13764015815743191</c:v>
                </c:pt>
                <c:pt idx="190">
                  <c:v>0.13798720014798105</c:v>
                </c:pt>
                <c:pt idx="191">
                  <c:v>0.13818230040454441</c:v>
                </c:pt>
                <c:pt idx="192">
                  <c:v>0.13824098854277178</c:v>
                </c:pt>
                <c:pt idx="193">
                  <c:v>0.1384909997343835</c:v>
                </c:pt>
                <c:pt idx="194">
                  <c:v>0.13859382625016198</c:v>
                </c:pt>
                <c:pt idx="195">
                  <c:v>0.13869665276594045</c:v>
                </c:pt>
                <c:pt idx="196">
                  <c:v>0.13879947928171893</c:v>
                </c:pt>
                <c:pt idx="197">
                  <c:v>0.13890230579749741</c:v>
                </c:pt>
                <c:pt idx="198">
                  <c:v>0.13900513231327588</c:v>
                </c:pt>
                <c:pt idx="199">
                  <c:v>0.13910795882905436</c:v>
                </c:pt>
                <c:pt idx="200">
                  <c:v>0.13921078534483283</c:v>
                </c:pt>
                <c:pt idx="201">
                  <c:v>0.13931361186061131</c:v>
                </c:pt>
                <c:pt idx="202">
                  <c:v>0.13941643837638978</c:v>
                </c:pt>
                <c:pt idx="203">
                  <c:v>0.13951926489216826</c:v>
                </c:pt>
                <c:pt idx="204">
                  <c:v>0.13962209140794674</c:v>
                </c:pt>
                <c:pt idx="205">
                  <c:v>0.13972491792372521</c:v>
                </c:pt>
                <c:pt idx="206">
                  <c:v>0.14014518132082018</c:v>
                </c:pt>
                <c:pt idx="207">
                  <c:v>0.14042904627790867</c:v>
                </c:pt>
                <c:pt idx="208">
                  <c:v>0.14055325616377987</c:v>
                </c:pt>
                <c:pt idx="209">
                  <c:v>0.14067746604965106</c:v>
                </c:pt>
                <c:pt idx="210">
                  <c:v>0.14085505128941134</c:v>
                </c:pt>
                <c:pt idx="211">
                  <c:v>0.14101449150957276</c:v>
                </c:pt>
                <c:pt idx="212">
                  <c:v>0.14111049940335899</c:v>
                </c:pt>
                <c:pt idx="213">
                  <c:v>0.14120650729714521</c:v>
                </c:pt>
                <c:pt idx="214">
                  <c:v>0.14130251519093143</c:v>
                </c:pt>
                <c:pt idx="215">
                  <c:v>0.14139852308471765</c:v>
                </c:pt>
                <c:pt idx="216">
                  <c:v>0.14149453097850387</c:v>
                </c:pt>
                <c:pt idx="217">
                  <c:v>0.14159053887229009</c:v>
                </c:pt>
                <c:pt idx="218">
                  <c:v>0.14168654676607631</c:v>
                </c:pt>
                <c:pt idx="219">
                  <c:v>0.14208371978269824</c:v>
                </c:pt>
                <c:pt idx="220">
                  <c:v>0.14252723981100399</c:v>
                </c:pt>
                <c:pt idx="221">
                  <c:v>0.14271884260925938</c:v>
                </c:pt>
                <c:pt idx="222">
                  <c:v>0.14379030010610569</c:v>
                </c:pt>
                <c:pt idx="223">
                  <c:v>0.14518282739473212</c:v>
                </c:pt>
                <c:pt idx="224">
                  <c:v>0.14682403118007822</c:v>
                </c:pt>
                <c:pt idx="225">
                  <c:v>0.14872156774612028</c:v>
                </c:pt>
                <c:pt idx="226">
                  <c:v>0.14917197597288698</c:v>
                </c:pt>
                <c:pt idx="227">
                  <c:v>0.1500441032283594</c:v>
                </c:pt>
                <c:pt idx="228">
                  <c:v>0.15196375222126826</c:v>
                </c:pt>
                <c:pt idx="229">
                  <c:v>0.15388340121417712</c:v>
                </c:pt>
                <c:pt idx="230">
                  <c:v>0.15580305020708599</c:v>
                </c:pt>
                <c:pt idx="231">
                  <c:v>0.15772269919999485</c:v>
                </c:pt>
                <c:pt idx="232">
                  <c:v>0.15964234819290371</c:v>
                </c:pt>
                <c:pt idx="233">
                  <c:v>0.16033795571904491</c:v>
                </c:pt>
                <c:pt idx="234">
                  <c:v>0.16105532268917228</c:v>
                </c:pt>
                <c:pt idx="235">
                  <c:v>0.16169005369485132</c:v>
                </c:pt>
                <c:pt idx="236">
                  <c:v>0.16181438767072281</c:v>
                </c:pt>
                <c:pt idx="237">
                  <c:v>0.16256703714881574</c:v>
                </c:pt>
                <c:pt idx="238">
                  <c:v>0.16334981575173751</c:v>
                </c:pt>
                <c:pt idx="239">
                  <c:v>0.16404454707278371</c:v>
                </c:pt>
                <c:pt idx="240">
                  <c:v>0.16464731109455846</c:v>
                </c:pt>
                <c:pt idx="241">
                  <c:v>0.16516172149355637</c:v>
                </c:pt>
                <c:pt idx="242">
                  <c:v>0.16525284773044785</c:v>
                </c:pt>
                <c:pt idx="243">
                  <c:v>0.16553000028416651</c:v>
                </c:pt>
                <c:pt idx="244">
                  <c:v>0.16563282679994498</c:v>
                </c:pt>
                <c:pt idx="245">
                  <c:v>0.16573565331572346</c:v>
                </c:pt>
                <c:pt idx="246">
                  <c:v>0.16583847983150193</c:v>
                </c:pt>
                <c:pt idx="247">
                  <c:v>0.16594130634728041</c:v>
                </c:pt>
                <c:pt idx="248">
                  <c:v>0.16604413286305889</c:v>
                </c:pt>
                <c:pt idx="249">
                  <c:v>0.16614695937883736</c:v>
                </c:pt>
                <c:pt idx="250">
                  <c:v>0.16624978589461584</c:v>
                </c:pt>
                <c:pt idx="251">
                  <c:v>0.16635261241039431</c:v>
                </c:pt>
                <c:pt idx="252">
                  <c:v>0.16645543892617279</c:v>
                </c:pt>
                <c:pt idx="253">
                  <c:v>0.16670892237869916</c:v>
                </c:pt>
                <c:pt idx="254">
                  <c:v>0.16697751345813772</c:v>
                </c:pt>
                <c:pt idx="255">
                  <c:v>0.16714610056342863</c:v>
                </c:pt>
                <c:pt idx="256">
                  <c:v>0.1672489270792071</c:v>
                </c:pt>
                <c:pt idx="257">
                  <c:v>0.16735175359498558</c:v>
                </c:pt>
                <c:pt idx="258">
                  <c:v>0.16745458011076406</c:v>
                </c:pt>
                <c:pt idx="259">
                  <c:v>0.16755740662654253</c:v>
                </c:pt>
                <c:pt idx="260">
                  <c:v>0.16766023314232101</c:v>
                </c:pt>
                <c:pt idx="261">
                  <c:v>0.16776305965809948</c:v>
                </c:pt>
                <c:pt idx="262">
                  <c:v>0.16786588617387796</c:v>
                </c:pt>
                <c:pt idx="263">
                  <c:v>0.16828614957097293</c:v>
                </c:pt>
                <c:pt idx="264">
                  <c:v>0.16857001452806142</c:v>
                </c:pt>
                <c:pt idx="265">
                  <c:v>0.16876161732631681</c:v>
                </c:pt>
                <c:pt idx="266">
                  <c:v>0.16916192411622352</c:v>
                </c:pt>
                <c:pt idx="267">
                  <c:v>0.16924419762586218</c:v>
                </c:pt>
                <c:pt idx="268">
                  <c:v>0.16936371592968871</c:v>
                </c:pt>
                <c:pt idx="269">
                  <c:v>0.16984483099576081</c:v>
                </c:pt>
                <c:pt idx="270">
                  <c:v>0.17256772236252124</c:v>
                </c:pt>
                <c:pt idx="271">
                  <c:v>0.17335050096544302</c:v>
                </c:pt>
                <c:pt idx="272">
                  <c:v>0.17404523228648922</c:v>
                </c:pt>
                <c:pt idx="273">
                  <c:v>0.17464799630826397</c:v>
                </c:pt>
                <c:pt idx="274">
                  <c:v>0.17516240670726188</c:v>
                </c:pt>
                <c:pt idx="275">
                  <c:v>0.17522109484548926</c:v>
                </c:pt>
                <c:pt idx="276">
                  <c:v>0.17522109484548926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2C-4E98-95BE-BC92F9859CA8}"/>
            </c:ext>
          </c:extLst>
        </c:ser>
        <c:ser>
          <c:idx val="1"/>
          <c:order val="1"/>
          <c:tx>
            <c:v>Drag energy</c:v>
          </c:tx>
          <c:spPr>
            <a:ln w="12700">
              <a:solidFill>
                <a:schemeClr val="accent3">
                  <a:lumMod val="75000"/>
                </a:schemeClr>
              </a:solidFill>
              <a:prstDash val="solid"/>
            </a:ln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Simulation!$V$2:$V$278</c:f>
              <c:numCache>
                <c:formatCode>General</c:formatCode>
                <c:ptCount val="277"/>
                <c:pt idx="0">
                  <c:v>0</c:v>
                </c:pt>
                <c:pt idx="1">
                  <c:v>5.0580808662718088E-7</c:v>
                </c:pt>
                <c:pt idx="2">
                  <c:v>2.3352674876408624E-6</c:v>
                </c:pt>
                <c:pt idx="3">
                  <c:v>5.9861199585001085E-6</c:v>
                </c:pt>
                <c:pt idx="4">
                  <c:v>1.4749704185488097E-5</c:v>
                </c:pt>
                <c:pt idx="5">
                  <c:v>2.3837770305797188E-5</c:v>
                </c:pt>
                <c:pt idx="6">
                  <c:v>3.6172724915132918E-5</c:v>
                </c:pt>
                <c:pt idx="7">
                  <c:v>5.2849053323858941E-5</c:v>
                </c:pt>
                <c:pt idx="8">
                  <c:v>8.0798140825054141E-5</c:v>
                </c:pt>
                <c:pt idx="9">
                  <c:v>1.2394000481457155E-4</c:v>
                </c:pt>
                <c:pt idx="10">
                  <c:v>1.8675466517338601E-4</c:v>
                </c:pt>
                <c:pt idx="11">
                  <c:v>2.7428214426759422E-4</c:v>
                </c:pt>
                <c:pt idx="12">
                  <c:v>3.6457966656115433E-4</c:v>
                </c:pt>
                <c:pt idx="13">
                  <c:v>4.8241998924197489E-4</c:v>
                </c:pt>
                <c:pt idx="14">
                  <c:v>6.1769174381190917E-4</c:v>
                </c:pt>
                <c:pt idx="15">
                  <c:v>7.8215128470894915E-4</c:v>
                </c:pt>
                <c:pt idx="16">
                  <c:v>9.7965737905713756E-4</c:v>
                </c:pt>
                <c:pt idx="17">
                  <c:v>1.2276364064563252E-3</c:v>
                </c:pt>
                <c:pt idx="18">
                  <c:v>1.533928401698218E-3</c:v>
                </c:pt>
                <c:pt idx="19">
                  <c:v>1.8402203969401108E-3</c:v>
                </c:pt>
                <c:pt idx="20">
                  <c:v>2.0881994243392987E-3</c:v>
                </c:pt>
                <c:pt idx="21">
                  <c:v>2.2857055186874869E-3</c:v>
                </c:pt>
                <c:pt idx="22">
                  <c:v>2.4400187122912602E-3</c:v>
                </c:pt>
                <c:pt idx="23">
                  <c:v>2.5578590349720808E-3</c:v>
                </c:pt>
                <c:pt idx="24">
                  <c:v>2.6453865140662891E-3</c:v>
                </c:pt>
                <c:pt idx="25">
                  <c:v>2.7301999502096575E-3</c:v>
                </c:pt>
                <c:pt idx="26">
                  <c:v>2.793014610568472E-3</c:v>
                </c:pt>
                <c:pt idx="27">
                  <c:v>2.845397870102196E-3</c:v>
                </c:pt>
                <c:pt idx="28">
                  <c:v>2.8885397340917135E-3</c:v>
                </c:pt>
                <c:pt idx="29">
                  <c:v>2.9235602075072678E-3</c:v>
                </c:pt>
                <c:pt idx="30">
                  <c:v>2.9515092950084631E-3</c:v>
                </c:pt>
                <c:pt idx="31">
                  <c:v>2.9794583825096584E-3</c:v>
                </c:pt>
                <c:pt idx="32">
                  <c:v>3.0074074700108537E-3</c:v>
                </c:pt>
                <c:pt idx="33">
                  <c:v>3.035356557512049E-3</c:v>
                </c:pt>
                <c:pt idx="34">
                  <c:v>3.0633056450132443E-3</c:v>
                </c:pt>
                <c:pt idx="35">
                  <c:v>3.0912547325144396E-3</c:v>
                </c:pt>
                <c:pt idx="36">
                  <c:v>3.1192038200156349E-3</c:v>
                </c:pt>
                <c:pt idx="37">
                  <c:v>3.1471529075168302E-3</c:v>
                </c:pt>
                <c:pt idx="38">
                  <c:v>3.1751019950180255E-3</c:v>
                </c:pt>
                <c:pt idx="39">
                  <c:v>3.2030510825192208E-3</c:v>
                </c:pt>
                <c:pt idx="40">
                  <c:v>3.2310001700204161E-3</c:v>
                </c:pt>
                <c:pt idx="41">
                  <c:v>3.2589492575216114E-3</c:v>
                </c:pt>
                <c:pt idx="42">
                  <c:v>3.2868983450228067E-3</c:v>
                </c:pt>
                <c:pt idx="43">
                  <c:v>3.314847432524002E-3</c:v>
                </c:pt>
                <c:pt idx="44">
                  <c:v>3.3427965200251973E-3</c:v>
                </c:pt>
                <c:pt idx="45">
                  <c:v>3.3778169934407516E-3</c:v>
                </c:pt>
                <c:pt idx="46">
                  <c:v>3.4254351795616768E-3</c:v>
                </c:pt>
                <c:pt idx="47">
                  <c:v>3.4882498399204914E-3</c:v>
                </c:pt>
                <c:pt idx="48">
                  <c:v>3.5757773190146997E-3</c:v>
                </c:pt>
                <c:pt idx="49">
                  <c:v>3.6660748413082597E-3</c:v>
                </c:pt>
                <c:pt idx="50">
                  <c:v>3.7757813256267202E-3</c:v>
                </c:pt>
                <c:pt idx="51">
                  <c:v>3.902140488378422E-3</c:v>
                </c:pt>
                <c:pt idx="52">
                  <c:v>4.0564536819821953E-3</c:v>
                </c:pt>
                <c:pt idx="53">
                  <c:v>4.2539597763303835E-3</c:v>
                </c:pt>
                <c:pt idx="54">
                  <c:v>4.463379725815504E-3</c:v>
                </c:pt>
                <c:pt idx="55">
                  <c:v>4.6449688663554806E-3</c:v>
                </c:pt>
                <c:pt idx="56">
                  <c:v>4.7802406209254151E-3</c:v>
                </c:pt>
                <c:pt idx="57">
                  <c:v>4.8899471052438756E-3</c:v>
                </c:pt>
                <c:pt idx="58">
                  <c:v>4.977474584338084E-3</c:v>
                </c:pt>
                <c:pt idx="59">
                  <c:v>5.0622880204814523E-3</c:v>
                </c:pt>
                <c:pt idx="60">
                  <c:v>5.1367940872568815E-3</c:v>
                </c:pt>
                <c:pt idx="61">
                  <c:v>5.1996087476156956E-3</c:v>
                </c:pt>
                <c:pt idx="62">
                  <c:v>5.2472269337366208E-3</c:v>
                </c:pt>
                <c:pt idx="63">
                  <c:v>5.2903687977261379E-3</c:v>
                </c:pt>
                <c:pt idx="64">
                  <c:v>5.3293143408268085E-3</c:v>
                </c:pt>
                <c:pt idx="65">
                  <c:v>5.3643348142423629E-3</c:v>
                </c:pt>
                <c:pt idx="66">
                  <c:v>5.3993552876579172E-3</c:v>
                </c:pt>
                <c:pt idx="67">
                  <c:v>5.4343757610734716E-3</c:v>
                </c:pt>
                <c:pt idx="68">
                  <c:v>5.4693962344890259E-3</c:v>
                </c:pt>
                <c:pt idx="69">
                  <c:v>5.5044167079045803E-3</c:v>
                </c:pt>
                <c:pt idx="70">
                  <c:v>5.5394371813201346E-3</c:v>
                </c:pt>
                <c:pt idx="71">
                  <c:v>5.574457654735689E-3</c:v>
                </c:pt>
                <c:pt idx="72">
                  <c:v>5.6094781281512433E-3</c:v>
                </c:pt>
                <c:pt idx="73">
                  <c:v>5.6444986015667976E-3</c:v>
                </c:pt>
                <c:pt idx="74">
                  <c:v>5.679519074982352E-3</c:v>
                </c:pt>
                <c:pt idx="75">
                  <c:v>5.7145395483979063E-3</c:v>
                </c:pt>
                <c:pt idx="76">
                  <c:v>5.7495600218134607E-3</c:v>
                </c:pt>
                <c:pt idx="77">
                  <c:v>5.784580495229015E-3</c:v>
                </c:pt>
                <c:pt idx="78">
                  <c:v>5.8196009686445694E-3</c:v>
                </c:pt>
                <c:pt idx="79">
                  <c:v>5.8546214420601237E-3</c:v>
                </c:pt>
                <c:pt idx="80">
                  <c:v>5.8896419154756781E-3</c:v>
                </c:pt>
                <c:pt idx="81">
                  <c:v>5.942025175009402E-3</c:v>
                </c:pt>
                <c:pt idx="82">
                  <c:v>6.0105236628581679E-3</c:v>
                </c:pt>
                <c:pt idx="83">
                  <c:v>6.0980511419523762E-3</c:v>
                </c:pt>
                <c:pt idx="84">
                  <c:v>6.1883486642459367E-3</c:v>
                </c:pt>
                <c:pt idx="85">
                  <c:v>6.2902975618717282E-3</c:v>
                </c:pt>
                <c:pt idx="86">
                  <c:v>6.4081378845525488E-3</c:v>
                </c:pt>
                <c:pt idx="87">
                  <c:v>6.5434096391224833E-3</c:v>
                </c:pt>
                <c:pt idx="88">
                  <c:v>6.6786813936924178E-3</c:v>
                </c:pt>
                <c:pt idx="89">
                  <c:v>6.8139531482623522E-3</c:v>
                </c:pt>
                <c:pt idx="90">
                  <c:v>6.9492249028322867E-3</c:v>
                </c:pt>
                <c:pt idx="91">
                  <c:v>7.0844966574022212E-3</c:v>
                </c:pt>
                <c:pt idx="92">
                  <c:v>7.2197684119721557E-3</c:v>
                </c:pt>
                <c:pt idx="93">
                  <c:v>7.3376087346529763E-3</c:v>
                </c:pt>
                <c:pt idx="94">
                  <c:v>7.4395576322787678E-3</c:v>
                </c:pt>
                <c:pt idx="95">
                  <c:v>7.5270851113729761E-3</c:v>
                </c:pt>
                <c:pt idx="96">
                  <c:v>7.6118985475163445E-3</c:v>
                </c:pt>
                <c:pt idx="97">
                  <c:v>7.6864046142917737E-3</c:v>
                </c:pt>
                <c:pt idx="98">
                  <c:v>7.7492192746505878E-3</c:v>
                </c:pt>
                <c:pt idx="99">
                  <c:v>7.796837460771513E-3</c:v>
                </c:pt>
                <c:pt idx="100">
                  <c:v>7.8318579341870673E-3</c:v>
                </c:pt>
                <c:pt idx="101">
                  <c:v>7.8632158390824075E-3</c:v>
                </c:pt>
                <c:pt idx="102">
                  <c:v>7.8945737439777477E-3</c:v>
                </c:pt>
                <c:pt idx="103">
                  <c:v>7.9259316488730878E-3</c:v>
                </c:pt>
                <c:pt idx="104">
                  <c:v>7.957289553768428E-3</c:v>
                </c:pt>
                <c:pt idx="105">
                  <c:v>7.9886474586637682E-3</c:v>
                </c:pt>
                <c:pt idx="106">
                  <c:v>8.0200053635591084E-3</c:v>
                </c:pt>
                <c:pt idx="107">
                  <c:v>8.0513632684544485E-3</c:v>
                </c:pt>
                <c:pt idx="108">
                  <c:v>8.0827211733497887E-3</c:v>
                </c:pt>
                <c:pt idx="109">
                  <c:v>8.1140790782451289E-3</c:v>
                </c:pt>
                <c:pt idx="110">
                  <c:v>8.145436983140469E-3</c:v>
                </c:pt>
                <c:pt idx="111">
                  <c:v>8.1843825262411397E-3</c:v>
                </c:pt>
                <c:pt idx="112">
                  <c:v>8.2367657857748636E-3</c:v>
                </c:pt>
                <c:pt idx="113">
                  <c:v>8.2942116200416076E-3</c:v>
                </c:pt>
                <c:pt idx="114">
                  <c:v>8.3516574543083515E-3</c:v>
                </c:pt>
                <c:pt idx="115">
                  <c:v>8.4091032885750955E-3</c:v>
                </c:pt>
                <c:pt idx="116">
                  <c:v>8.4665491228418394E-3</c:v>
                </c:pt>
                <c:pt idx="117">
                  <c:v>8.5239949571085834E-3</c:v>
                </c:pt>
                <c:pt idx="118">
                  <c:v>8.5671368210981005E-3</c:v>
                </c:pt>
                <c:pt idx="119">
                  <c:v>8.6021572945136557E-3</c:v>
                </c:pt>
                <c:pt idx="120">
                  <c:v>8.6371777679292109E-3</c:v>
                </c:pt>
                <c:pt idx="121">
                  <c:v>8.6721982413447661E-3</c:v>
                </c:pt>
                <c:pt idx="122">
                  <c:v>8.7072187147603213E-3</c:v>
                </c:pt>
                <c:pt idx="123">
                  <c:v>8.7422391881758765E-3</c:v>
                </c:pt>
                <c:pt idx="124">
                  <c:v>8.7772596615914317E-3</c:v>
                </c:pt>
                <c:pt idx="125">
                  <c:v>8.812280135006987E-3</c:v>
                </c:pt>
                <c:pt idx="126">
                  <c:v>8.8473006084225422E-3</c:v>
                </c:pt>
                <c:pt idx="127">
                  <c:v>8.8904424724120593E-3</c:v>
                </c:pt>
                <c:pt idx="128">
                  <c:v>8.9478883066788032E-3</c:v>
                </c:pt>
                <c:pt idx="129">
                  <c:v>9.0199519317086772E-3</c:v>
                </c:pt>
                <c:pt idx="130">
                  <c:v>9.1074794108028847E-3</c:v>
                </c:pt>
                <c:pt idx="131">
                  <c:v>9.1922928469462539E-3</c:v>
                </c:pt>
                <c:pt idx="132">
                  <c:v>9.255107507305068E-3</c:v>
                </c:pt>
                <c:pt idx="133">
                  <c:v>9.2982493712945851E-3</c:v>
                </c:pt>
                <c:pt idx="134">
                  <c:v>9.3413912352841022E-3</c:v>
                </c:pt>
                <c:pt idx="135">
                  <c:v>9.3845330992736193E-3</c:v>
                </c:pt>
                <c:pt idx="136">
                  <c:v>9.4276749632631364E-3</c:v>
                </c:pt>
                <c:pt idx="137">
                  <c:v>9.4708168272526535E-3</c:v>
                </c:pt>
                <c:pt idx="138">
                  <c:v>9.5139586912421706E-3</c:v>
                </c:pt>
                <c:pt idx="139">
                  <c:v>9.5571005552316877E-3</c:v>
                </c:pt>
                <c:pt idx="140">
                  <c:v>9.6094838147654116E-3</c:v>
                </c:pt>
                <c:pt idx="141">
                  <c:v>9.6722984751242257E-3</c:v>
                </c:pt>
                <c:pt idx="142">
                  <c:v>9.7246817346579497E-3</c:v>
                </c:pt>
                <c:pt idx="143">
                  <c:v>9.7636272777586203E-3</c:v>
                </c:pt>
                <c:pt idx="144">
                  <c:v>9.802572820859291E-3</c:v>
                </c:pt>
                <c:pt idx="145">
                  <c:v>9.8415183639599616E-3</c:v>
                </c:pt>
                <c:pt idx="146">
                  <c:v>9.8804639070606323E-3</c:v>
                </c:pt>
                <c:pt idx="147">
                  <c:v>9.9194094501613029E-3</c:v>
                </c:pt>
                <c:pt idx="148">
                  <c:v>9.96255131415082E-3</c:v>
                </c:pt>
                <c:pt idx="149">
                  <c:v>1.0010169500271745E-2</c:v>
                </c:pt>
                <c:pt idx="150">
                  <c:v>1.0069725624810056E-2</c:v>
                </c:pt>
                <c:pt idx="151">
                  <c:v>1.0143003855683352E-2</c:v>
                </c:pt>
                <c:pt idx="152">
                  <c:v>1.0230531334777559E-2</c:v>
                </c:pt>
                <c:pt idx="153">
                  <c:v>1.032082885707112E-2</c:v>
                </c:pt>
                <c:pt idx="154">
                  <c:v>1.0422777754696912E-2</c:v>
                </c:pt>
                <c:pt idx="155">
                  <c:v>1.0558049509266846E-2</c:v>
                </c:pt>
                <c:pt idx="156">
                  <c:v>1.0733084149359823E-2</c:v>
                </c:pt>
                <c:pt idx="157">
                  <c:v>1.0954881706039869E-2</c:v>
                </c:pt>
                <c:pt idx="158">
                  <c:v>1.1231002212856125E-2</c:v>
                </c:pt>
                <c:pt idx="159">
                  <c:v>1.1537294208098018E-2</c:v>
                </c:pt>
                <c:pt idx="160">
                  <c:v>1.1843586203339911E-2</c:v>
                </c:pt>
                <c:pt idx="161">
                  <c:v>1.2149878198581803E-2</c:v>
                </c:pt>
                <c:pt idx="162">
                  <c:v>1.2397857225980991E-2</c:v>
                </c:pt>
                <c:pt idx="163">
                  <c:v>1.259536332032918E-2</c:v>
                </c:pt>
                <c:pt idx="164">
                  <c:v>1.2749676513932953E-2</c:v>
                </c:pt>
                <c:pt idx="165">
                  <c:v>1.2867516836613774E-2</c:v>
                </c:pt>
                <c:pt idx="166">
                  <c:v>1.2969465734239566E-2</c:v>
                </c:pt>
                <c:pt idx="167">
                  <c:v>1.3056993213333774E-2</c:v>
                </c:pt>
                <c:pt idx="168">
                  <c:v>1.3141806649477143E-2</c:v>
                </c:pt>
                <c:pt idx="169">
                  <c:v>1.3199252483743887E-2</c:v>
                </c:pt>
                <c:pt idx="170">
                  <c:v>1.3256698318010631E-2</c:v>
                </c:pt>
                <c:pt idx="171">
                  <c:v>1.3314144152277375E-2</c:v>
                </c:pt>
                <c:pt idx="172">
                  <c:v>1.3371589986544119E-2</c:v>
                </c:pt>
                <c:pt idx="173">
                  <c:v>1.3429035820810863E-2</c:v>
                </c:pt>
                <c:pt idx="174">
                  <c:v>1.3486481655077607E-2</c:v>
                </c:pt>
                <c:pt idx="175">
                  <c:v>1.3543927489344351E-2</c:v>
                </c:pt>
                <c:pt idx="176">
                  <c:v>1.3601373323611094E-2</c:v>
                </c:pt>
                <c:pt idx="177">
                  <c:v>1.3658819157877838E-2</c:v>
                </c:pt>
                <c:pt idx="178">
                  <c:v>1.3716264992144582E-2</c:v>
                </c:pt>
                <c:pt idx="179">
                  <c:v>1.3773710826411326E-2</c:v>
                </c:pt>
                <c:pt idx="180">
                  <c:v>1.383652548677014E-2</c:v>
                </c:pt>
                <c:pt idx="181">
                  <c:v>1.391103155354557E-2</c:v>
                </c:pt>
                <c:pt idx="182">
                  <c:v>1.3998559032639777E-2</c:v>
                </c:pt>
                <c:pt idx="183">
                  <c:v>1.4086086511733984E-2</c:v>
                </c:pt>
                <c:pt idx="184">
                  <c:v>1.4160592578509414E-2</c:v>
                </c:pt>
                <c:pt idx="185">
                  <c:v>1.4223407238868228E-2</c:v>
                </c:pt>
                <c:pt idx="186">
                  <c:v>1.427384925888058E-2</c:v>
                </c:pt>
                <c:pt idx="187">
                  <c:v>1.4313612086061479E-2</c:v>
                </c:pt>
                <c:pt idx="188">
                  <c:v>1.4340266736911618E-2</c:v>
                </c:pt>
                <c:pt idx="189">
                  <c:v>1.4358910895866455E-2</c:v>
                </c:pt>
                <c:pt idx="190">
                  <c:v>1.437124585047579E-2</c:v>
                </c:pt>
                <c:pt idx="191">
                  <c:v>1.4380009434702778E-2</c:v>
                </c:pt>
                <c:pt idx="192">
                  <c:v>1.4388144985236006E-2</c:v>
                </c:pt>
                <c:pt idx="193">
                  <c:v>1.4392842144616901E-2</c:v>
                </c:pt>
                <c:pt idx="194">
                  <c:v>1.4397539303997797E-2</c:v>
                </c:pt>
                <c:pt idx="195">
                  <c:v>1.4402236463378692E-2</c:v>
                </c:pt>
                <c:pt idx="196">
                  <c:v>1.4406933622759587E-2</c:v>
                </c:pt>
                <c:pt idx="197">
                  <c:v>1.4411630782140483E-2</c:v>
                </c:pt>
                <c:pt idx="198">
                  <c:v>1.4416327941521378E-2</c:v>
                </c:pt>
                <c:pt idx="199">
                  <c:v>1.4421025100902273E-2</c:v>
                </c:pt>
                <c:pt idx="200">
                  <c:v>1.4425722260283168E-2</c:v>
                </c:pt>
                <c:pt idx="201">
                  <c:v>1.4430419419664064E-2</c:v>
                </c:pt>
                <c:pt idx="202">
                  <c:v>1.4435116579044959E-2</c:v>
                </c:pt>
                <c:pt idx="203">
                  <c:v>1.4439813738425854E-2</c:v>
                </c:pt>
                <c:pt idx="204">
                  <c:v>1.444451089780675E-2</c:v>
                </c:pt>
                <c:pt idx="205">
                  <c:v>1.4449208057187645E-2</c:v>
                </c:pt>
                <c:pt idx="206">
                  <c:v>1.4456452832407774E-2</c:v>
                </c:pt>
                <c:pt idx="207">
                  <c:v>1.4465216416634763E-2</c:v>
                </c:pt>
                <c:pt idx="208">
                  <c:v>1.4473980000861751E-2</c:v>
                </c:pt>
                <c:pt idx="209">
                  <c:v>1.4482743585088739E-2</c:v>
                </c:pt>
                <c:pt idx="210">
                  <c:v>1.4488635802039782E-2</c:v>
                </c:pt>
                <c:pt idx="211">
                  <c:v>1.449228665451064E-2</c:v>
                </c:pt>
                <c:pt idx="212">
                  <c:v>1.4495937506981499E-2</c:v>
                </c:pt>
                <c:pt idx="213">
                  <c:v>1.4499588359452358E-2</c:v>
                </c:pt>
                <c:pt idx="214">
                  <c:v>1.4503239211923216E-2</c:v>
                </c:pt>
                <c:pt idx="215">
                  <c:v>1.4506890064394075E-2</c:v>
                </c:pt>
                <c:pt idx="216">
                  <c:v>1.4510540916864934E-2</c:v>
                </c:pt>
                <c:pt idx="217">
                  <c:v>1.4514191769335792E-2</c:v>
                </c:pt>
                <c:pt idx="218">
                  <c:v>1.4517842621806651E-2</c:v>
                </c:pt>
                <c:pt idx="219">
                  <c:v>1.4523734838757693E-2</c:v>
                </c:pt>
                <c:pt idx="220">
                  <c:v>1.4532498422984682E-2</c:v>
                </c:pt>
                <c:pt idx="221">
                  <c:v>1.4541918041029686E-2</c:v>
                </c:pt>
                <c:pt idx="222">
                  <c:v>1.4561075682716572E-2</c:v>
                </c:pt>
                <c:pt idx="223">
                  <c:v>1.4596096156132127E-2</c:v>
                </c:pt>
                <c:pt idx="224">
                  <c:v>1.4653541990398871E-2</c:v>
                </c:pt>
                <c:pt idx="225">
                  <c:v>1.4741069469493079E-2</c:v>
                </c:pt>
                <c:pt idx="226">
                  <c:v>1.4831366991786639E-2</c:v>
                </c:pt>
                <c:pt idx="227">
                  <c:v>1.4933315889412432E-2</c:v>
                </c:pt>
                <c:pt idx="228">
                  <c:v>1.5035264787038224E-2</c:v>
                </c:pt>
                <c:pt idx="229">
                  <c:v>1.5137213684664017E-2</c:v>
                </c:pt>
                <c:pt idx="230">
                  <c:v>1.5239162582289809E-2</c:v>
                </c:pt>
                <c:pt idx="231">
                  <c:v>1.5341111479915601E-2</c:v>
                </c:pt>
                <c:pt idx="232">
                  <c:v>1.5443060377541394E-2</c:v>
                </c:pt>
                <c:pt idx="233">
                  <c:v>1.5552766861859855E-2</c:v>
                </c:pt>
                <c:pt idx="234">
                  <c:v>1.5670607184540677E-2</c:v>
                </c:pt>
                <c:pt idx="235">
                  <c:v>1.576516599710466E-2</c:v>
                </c:pt>
                <c:pt idx="236">
                  <c:v>1.5849979433248028E-2</c:v>
                </c:pt>
                <c:pt idx="237">
                  <c:v>1.5912794093606842E-2</c:v>
                </c:pt>
                <c:pt idx="238">
                  <c:v>1.5955935957596361E-2</c:v>
                </c:pt>
                <c:pt idx="239">
                  <c:v>1.5983885045097557E-2</c:v>
                </c:pt>
                <c:pt idx="240">
                  <c:v>1.6000561373506285E-2</c:v>
                </c:pt>
                <c:pt idx="241">
                  <c:v>1.6009324957733273E-2</c:v>
                </c:pt>
                <c:pt idx="242">
                  <c:v>1.6017771060098003E-2</c:v>
                </c:pt>
                <c:pt idx="243">
                  <c:v>1.6022468219478898E-2</c:v>
                </c:pt>
                <c:pt idx="244">
                  <c:v>1.6027165378859794E-2</c:v>
                </c:pt>
                <c:pt idx="245">
                  <c:v>1.6031862538240689E-2</c:v>
                </c:pt>
                <c:pt idx="246">
                  <c:v>1.6036559697621584E-2</c:v>
                </c:pt>
                <c:pt idx="247">
                  <c:v>1.604125685700248E-2</c:v>
                </c:pt>
                <c:pt idx="248">
                  <c:v>1.6045954016383375E-2</c:v>
                </c:pt>
                <c:pt idx="249">
                  <c:v>1.605065117576427E-2</c:v>
                </c:pt>
                <c:pt idx="250">
                  <c:v>1.6055348335145166E-2</c:v>
                </c:pt>
                <c:pt idx="251">
                  <c:v>1.6060045494526061E-2</c:v>
                </c:pt>
                <c:pt idx="252">
                  <c:v>1.6064742653906956E-2</c:v>
                </c:pt>
                <c:pt idx="253">
                  <c:v>1.6070634870857997E-2</c:v>
                </c:pt>
                <c:pt idx="254">
                  <c:v>1.6077879646078128E-2</c:v>
                </c:pt>
                <c:pt idx="255">
                  <c:v>1.6082576805459024E-2</c:v>
                </c:pt>
                <c:pt idx="256">
                  <c:v>1.6087273964839919E-2</c:v>
                </c:pt>
                <c:pt idx="257">
                  <c:v>1.6091971124220814E-2</c:v>
                </c:pt>
                <c:pt idx="258">
                  <c:v>1.609666828360171E-2</c:v>
                </c:pt>
                <c:pt idx="259">
                  <c:v>1.6101365442982605E-2</c:v>
                </c:pt>
                <c:pt idx="260">
                  <c:v>1.61060626023635E-2</c:v>
                </c:pt>
                <c:pt idx="261">
                  <c:v>1.6110759761744396E-2</c:v>
                </c:pt>
                <c:pt idx="262">
                  <c:v>1.6115456921125291E-2</c:v>
                </c:pt>
                <c:pt idx="263">
                  <c:v>1.6122701696345422E-2</c:v>
                </c:pt>
                <c:pt idx="264">
                  <c:v>1.613146528057241E-2</c:v>
                </c:pt>
                <c:pt idx="265">
                  <c:v>1.6140884898617414E-2</c:v>
                </c:pt>
                <c:pt idx="266">
                  <c:v>1.6157561227026142E-2</c:v>
                </c:pt>
                <c:pt idx="267">
                  <c:v>1.6192581700441695E-2</c:v>
                </c:pt>
                <c:pt idx="268">
                  <c:v>1.6255396360800509E-2</c:v>
                </c:pt>
                <c:pt idx="269">
                  <c:v>1.6342923839894719E-2</c:v>
                </c:pt>
                <c:pt idx="270">
                  <c:v>1.6405738500253533E-2</c:v>
                </c:pt>
                <c:pt idx="271">
                  <c:v>1.6448880364243051E-2</c:v>
                </c:pt>
                <c:pt idx="272">
                  <c:v>1.6476829451744248E-2</c:v>
                </c:pt>
                <c:pt idx="273">
                  <c:v>1.6493505780152976E-2</c:v>
                </c:pt>
                <c:pt idx="274">
                  <c:v>1.6502269364379964E-2</c:v>
                </c:pt>
                <c:pt idx="275">
                  <c:v>1.651040491491319E-2</c:v>
                </c:pt>
                <c:pt idx="276">
                  <c:v>1.651040491491319E-2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82C-4E98-95BE-BC92F9859CA8}"/>
            </c:ext>
          </c:extLst>
        </c:ser>
        <c:ser>
          <c:idx val="2"/>
          <c:order val="2"/>
          <c:tx>
            <c:v>Braking energy</c:v>
          </c:tx>
          <c:spPr>
            <a:ln w="9525">
              <a:solidFill>
                <a:srgbClr val="C00000"/>
              </a:solidFill>
              <a:prstDash val="solid"/>
            </a:ln>
          </c:spPr>
          <c:marker>
            <c:symbol val="none"/>
          </c:marker>
          <c:xVal>
            <c:numRef>
              <c:f>Simulation!$C$2:$C$278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Simulation!$W$2:$W$278</c:f>
              <c:numCache>
                <c:formatCode>General</c:formatCode>
                <c:ptCount val="27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1.3010457849210045E-3</c:v>
                </c:pt>
                <c:pt idx="21">
                  <c:v>2.5419198734415722E-3</c:v>
                </c:pt>
                <c:pt idx="22">
                  <c:v>3.7153422332551066E-3</c:v>
                </c:pt>
                <c:pt idx="23">
                  <c:v>4.8145928345401517E-3</c:v>
                </c:pt>
                <c:pt idx="24">
                  <c:v>5.8402783502360025E-3</c:v>
                </c:pt>
                <c:pt idx="25">
                  <c:v>5.9486051510896426E-3</c:v>
                </c:pt>
                <c:pt idx="26">
                  <c:v>6.7739857992184021E-3</c:v>
                </c:pt>
                <c:pt idx="27">
                  <c:v>7.1309339808120296E-3</c:v>
                </c:pt>
                <c:pt idx="28">
                  <c:v>7.4730452378835464E-3</c:v>
                </c:pt>
                <c:pt idx="29">
                  <c:v>7.7991995654627111E-3</c:v>
                </c:pt>
                <c:pt idx="30">
                  <c:v>8.1083469588899212E-3</c:v>
                </c:pt>
                <c:pt idx="31">
                  <c:v>8.1083469588899212E-3</c:v>
                </c:pt>
                <c:pt idx="32">
                  <c:v>8.1083469588899212E-3</c:v>
                </c:pt>
                <c:pt idx="33">
                  <c:v>8.1083469588899212E-3</c:v>
                </c:pt>
                <c:pt idx="34">
                  <c:v>8.1083469588899212E-3</c:v>
                </c:pt>
                <c:pt idx="35">
                  <c:v>8.1083469588899212E-3</c:v>
                </c:pt>
                <c:pt idx="36">
                  <c:v>8.1083469588899212E-3</c:v>
                </c:pt>
                <c:pt idx="37">
                  <c:v>8.1083469588899212E-3</c:v>
                </c:pt>
                <c:pt idx="38">
                  <c:v>8.1083469588899212E-3</c:v>
                </c:pt>
                <c:pt idx="39">
                  <c:v>8.1083469588899212E-3</c:v>
                </c:pt>
                <c:pt idx="40">
                  <c:v>8.1083469588899212E-3</c:v>
                </c:pt>
                <c:pt idx="41">
                  <c:v>8.1083469588899212E-3</c:v>
                </c:pt>
                <c:pt idx="42">
                  <c:v>8.1083469588899212E-3</c:v>
                </c:pt>
                <c:pt idx="43">
                  <c:v>8.1083469588899212E-3</c:v>
                </c:pt>
                <c:pt idx="44">
                  <c:v>8.1083469588899212E-3</c:v>
                </c:pt>
                <c:pt idx="45">
                  <c:v>8.1083469588899212E-3</c:v>
                </c:pt>
                <c:pt idx="46">
                  <c:v>8.1083469588899212E-3</c:v>
                </c:pt>
                <c:pt idx="47">
                  <c:v>8.1083469588899212E-3</c:v>
                </c:pt>
                <c:pt idx="48">
                  <c:v>8.1083469588899212E-3</c:v>
                </c:pt>
                <c:pt idx="49">
                  <c:v>8.1083469588899212E-3</c:v>
                </c:pt>
                <c:pt idx="50">
                  <c:v>8.1083469588899212E-3</c:v>
                </c:pt>
                <c:pt idx="51">
                  <c:v>8.1083469588899212E-3</c:v>
                </c:pt>
                <c:pt idx="52">
                  <c:v>8.1083469588899212E-3</c:v>
                </c:pt>
                <c:pt idx="53">
                  <c:v>8.1083469588899212E-3</c:v>
                </c:pt>
                <c:pt idx="54">
                  <c:v>8.1083469588899212E-3</c:v>
                </c:pt>
                <c:pt idx="55">
                  <c:v>9.5998458555499652E-3</c:v>
                </c:pt>
                <c:pt idx="56">
                  <c:v>1.0131191658330815E-2</c:v>
                </c:pt>
                <c:pt idx="57">
                  <c:v>1.1151447663932838E-2</c:v>
                </c:pt>
                <c:pt idx="58">
                  <c:v>1.2080922928316657E-2</c:v>
                </c:pt>
                <c:pt idx="59">
                  <c:v>1.3812193837684608E-2</c:v>
                </c:pt>
                <c:pt idx="60">
                  <c:v>1.5106595285138571E-2</c:v>
                </c:pt>
                <c:pt idx="61">
                  <c:v>1.621140391931673E-2</c:v>
                </c:pt>
                <c:pt idx="62">
                  <c:v>1.6953629028301585E-2</c:v>
                </c:pt>
                <c:pt idx="63">
                  <c:v>1.7043081647987592E-2</c:v>
                </c:pt>
                <c:pt idx="64">
                  <c:v>1.7132587010947591E-2</c:v>
                </c:pt>
                <c:pt idx="65">
                  <c:v>1.7221873865977844E-2</c:v>
                </c:pt>
                <c:pt idx="66">
                  <c:v>1.7221873865977844E-2</c:v>
                </c:pt>
                <c:pt idx="67">
                  <c:v>1.7221873865977844E-2</c:v>
                </c:pt>
                <c:pt idx="68">
                  <c:v>1.7221873865977844E-2</c:v>
                </c:pt>
                <c:pt idx="69">
                  <c:v>1.7221873865977844E-2</c:v>
                </c:pt>
                <c:pt idx="70">
                  <c:v>1.7221873865977844E-2</c:v>
                </c:pt>
                <c:pt idx="71">
                  <c:v>1.7221873865977844E-2</c:v>
                </c:pt>
                <c:pt idx="72">
                  <c:v>1.7221873865977844E-2</c:v>
                </c:pt>
                <c:pt idx="73">
                  <c:v>1.7221873865977844E-2</c:v>
                </c:pt>
                <c:pt idx="74">
                  <c:v>1.7221873865977844E-2</c:v>
                </c:pt>
                <c:pt idx="75">
                  <c:v>1.7221873865977844E-2</c:v>
                </c:pt>
                <c:pt idx="76">
                  <c:v>1.7221873865977844E-2</c:v>
                </c:pt>
                <c:pt idx="77">
                  <c:v>1.7221873865977844E-2</c:v>
                </c:pt>
                <c:pt idx="78">
                  <c:v>1.7221873865977844E-2</c:v>
                </c:pt>
                <c:pt idx="79">
                  <c:v>1.7221873865977844E-2</c:v>
                </c:pt>
                <c:pt idx="80">
                  <c:v>1.7221873865977844E-2</c:v>
                </c:pt>
                <c:pt idx="81">
                  <c:v>1.7221873865977844E-2</c:v>
                </c:pt>
                <c:pt idx="82">
                  <c:v>1.7221873865977844E-2</c:v>
                </c:pt>
                <c:pt idx="83">
                  <c:v>1.7221873865977844E-2</c:v>
                </c:pt>
                <c:pt idx="84">
                  <c:v>1.7221873865977844E-2</c:v>
                </c:pt>
                <c:pt idx="85">
                  <c:v>1.7221873865977844E-2</c:v>
                </c:pt>
                <c:pt idx="86">
                  <c:v>1.7221873865977844E-2</c:v>
                </c:pt>
                <c:pt idx="87">
                  <c:v>1.7221873865977844E-2</c:v>
                </c:pt>
                <c:pt idx="88">
                  <c:v>1.7221873865977844E-2</c:v>
                </c:pt>
                <c:pt idx="89">
                  <c:v>1.7221873865977844E-2</c:v>
                </c:pt>
                <c:pt idx="90">
                  <c:v>1.7221873865977844E-2</c:v>
                </c:pt>
                <c:pt idx="91">
                  <c:v>1.7221873865977844E-2</c:v>
                </c:pt>
                <c:pt idx="92">
                  <c:v>1.7221873865977844E-2</c:v>
                </c:pt>
                <c:pt idx="93">
                  <c:v>1.7630034899604342E-2</c:v>
                </c:pt>
                <c:pt idx="94">
                  <c:v>1.8030178205726451E-2</c:v>
                </c:pt>
                <c:pt idx="95">
                  <c:v>1.8424217127958539E-2</c:v>
                </c:pt>
                <c:pt idx="96">
                  <c:v>1.8532543928812178E-2</c:v>
                </c:pt>
                <c:pt idx="97">
                  <c:v>1.8795513090538611E-2</c:v>
                </c:pt>
                <c:pt idx="98">
                  <c:v>1.9166108191373463E-2</c:v>
                </c:pt>
                <c:pt idx="99">
                  <c:v>1.9776336506150533E-2</c:v>
                </c:pt>
                <c:pt idx="100">
                  <c:v>2.0339358306278612E-2</c:v>
                </c:pt>
                <c:pt idx="101">
                  <c:v>2.0428164152214219E-2</c:v>
                </c:pt>
                <c:pt idx="102">
                  <c:v>2.0428164152214219E-2</c:v>
                </c:pt>
                <c:pt idx="103">
                  <c:v>2.0428164152214219E-2</c:v>
                </c:pt>
                <c:pt idx="104">
                  <c:v>2.0428164152214219E-2</c:v>
                </c:pt>
                <c:pt idx="105">
                  <c:v>2.0428164152214219E-2</c:v>
                </c:pt>
                <c:pt idx="106">
                  <c:v>2.0428164152214219E-2</c:v>
                </c:pt>
                <c:pt idx="107">
                  <c:v>2.0428164152214219E-2</c:v>
                </c:pt>
                <c:pt idx="108">
                  <c:v>2.0428164152214219E-2</c:v>
                </c:pt>
                <c:pt idx="109">
                  <c:v>2.0428164152214219E-2</c:v>
                </c:pt>
                <c:pt idx="110">
                  <c:v>2.0428164152214219E-2</c:v>
                </c:pt>
                <c:pt idx="111">
                  <c:v>2.0428164152214219E-2</c:v>
                </c:pt>
                <c:pt idx="112">
                  <c:v>2.0428164152214219E-2</c:v>
                </c:pt>
                <c:pt idx="113">
                  <c:v>2.0428164152214219E-2</c:v>
                </c:pt>
                <c:pt idx="114">
                  <c:v>2.0428164152214219E-2</c:v>
                </c:pt>
                <c:pt idx="115">
                  <c:v>2.0428164152214219E-2</c:v>
                </c:pt>
                <c:pt idx="116">
                  <c:v>2.0428164152214219E-2</c:v>
                </c:pt>
                <c:pt idx="117">
                  <c:v>2.0428164152214219E-2</c:v>
                </c:pt>
                <c:pt idx="118">
                  <c:v>2.1022934046671243E-2</c:v>
                </c:pt>
                <c:pt idx="119">
                  <c:v>2.1349088374250407E-2</c:v>
                </c:pt>
                <c:pt idx="120">
                  <c:v>2.1349088374250407E-2</c:v>
                </c:pt>
                <c:pt idx="121">
                  <c:v>2.1349088374250407E-2</c:v>
                </c:pt>
                <c:pt idx="122">
                  <c:v>2.1349088374250407E-2</c:v>
                </c:pt>
                <c:pt idx="123">
                  <c:v>2.1349088374250407E-2</c:v>
                </c:pt>
                <c:pt idx="124">
                  <c:v>2.1349088374250407E-2</c:v>
                </c:pt>
                <c:pt idx="125">
                  <c:v>2.1349088374250407E-2</c:v>
                </c:pt>
                <c:pt idx="126">
                  <c:v>2.1349088374250407E-2</c:v>
                </c:pt>
                <c:pt idx="127">
                  <c:v>2.1349088374250407E-2</c:v>
                </c:pt>
                <c:pt idx="128">
                  <c:v>2.1349088374250407E-2</c:v>
                </c:pt>
                <c:pt idx="129">
                  <c:v>2.1349088374250407E-2</c:v>
                </c:pt>
                <c:pt idx="130">
                  <c:v>2.1349088374250407E-2</c:v>
                </c:pt>
                <c:pt idx="131">
                  <c:v>2.2451754171165631E-2</c:v>
                </c:pt>
                <c:pt idx="132">
                  <c:v>2.2530318064911039E-2</c:v>
                </c:pt>
                <c:pt idx="133">
                  <c:v>2.2574240337309863E-2</c:v>
                </c:pt>
                <c:pt idx="134">
                  <c:v>2.2574240337309863E-2</c:v>
                </c:pt>
                <c:pt idx="135">
                  <c:v>2.2574240337309863E-2</c:v>
                </c:pt>
                <c:pt idx="136">
                  <c:v>2.2574240337309863E-2</c:v>
                </c:pt>
                <c:pt idx="137">
                  <c:v>2.2574240337309863E-2</c:v>
                </c:pt>
                <c:pt idx="138">
                  <c:v>2.2574240337309863E-2</c:v>
                </c:pt>
                <c:pt idx="139">
                  <c:v>2.2574240337309863E-2</c:v>
                </c:pt>
                <c:pt idx="140">
                  <c:v>2.2574240337309863E-2</c:v>
                </c:pt>
                <c:pt idx="141">
                  <c:v>2.2574240337309863E-2</c:v>
                </c:pt>
                <c:pt idx="142">
                  <c:v>2.3071017556375171E-2</c:v>
                </c:pt>
                <c:pt idx="143">
                  <c:v>2.3270382772316845E-2</c:v>
                </c:pt>
                <c:pt idx="144">
                  <c:v>2.3270382772316845E-2</c:v>
                </c:pt>
                <c:pt idx="145">
                  <c:v>2.3270382772316845E-2</c:v>
                </c:pt>
                <c:pt idx="146">
                  <c:v>2.3270382772316845E-2</c:v>
                </c:pt>
                <c:pt idx="147">
                  <c:v>2.3270382772316845E-2</c:v>
                </c:pt>
                <c:pt idx="148">
                  <c:v>2.3270382772316845E-2</c:v>
                </c:pt>
                <c:pt idx="149">
                  <c:v>2.3270382772316845E-2</c:v>
                </c:pt>
                <c:pt idx="150">
                  <c:v>2.3270382772316845E-2</c:v>
                </c:pt>
                <c:pt idx="151">
                  <c:v>2.3270382772316845E-2</c:v>
                </c:pt>
                <c:pt idx="152">
                  <c:v>2.3270382772316845E-2</c:v>
                </c:pt>
                <c:pt idx="153">
                  <c:v>2.3270382772316845E-2</c:v>
                </c:pt>
                <c:pt idx="154">
                  <c:v>2.3270382772316845E-2</c:v>
                </c:pt>
                <c:pt idx="155">
                  <c:v>2.3270382772316845E-2</c:v>
                </c:pt>
                <c:pt idx="156">
                  <c:v>2.3270382772316845E-2</c:v>
                </c:pt>
                <c:pt idx="157">
                  <c:v>2.3270382772316845E-2</c:v>
                </c:pt>
                <c:pt idx="158">
                  <c:v>2.3270382772316845E-2</c:v>
                </c:pt>
                <c:pt idx="159">
                  <c:v>2.3270382772316845E-2</c:v>
                </c:pt>
                <c:pt idx="160">
                  <c:v>2.3270382772316845E-2</c:v>
                </c:pt>
                <c:pt idx="161">
                  <c:v>2.3270382772316845E-2</c:v>
                </c:pt>
                <c:pt idx="162">
                  <c:v>2.3375472941422323E-2</c:v>
                </c:pt>
                <c:pt idx="163">
                  <c:v>2.3440296524497774E-2</c:v>
                </c:pt>
                <c:pt idx="164">
                  <c:v>2.3472133553849799E-2</c:v>
                </c:pt>
                <c:pt idx="165">
                  <c:v>2.3477704059299848E-2</c:v>
                </c:pt>
                <c:pt idx="166">
                  <c:v>2.41321627186976E-2</c:v>
                </c:pt>
                <c:pt idx="167">
                  <c:v>2.4742506620770145E-2</c:v>
                </c:pt>
                <c:pt idx="168">
                  <c:v>2.5845172417685369E-2</c:v>
                </c:pt>
                <c:pt idx="169">
                  <c:v>2.6048760213377615E-2</c:v>
                </c:pt>
                <c:pt idx="170">
                  <c:v>2.6048760213377615E-2</c:v>
                </c:pt>
                <c:pt idx="171">
                  <c:v>2.6048760213377615E-2</c:v>
                </c:pt>
                <c:pt idx="172">
                  <c:v>2.6048760213377615E-2</c:v>
                </c:pt>
                <c:pt idx="173">
                  <c:v>2.6048760213377615E-2</c:v>
                </c:pt>
                <c:pt idx="174">
                  <c:v>2.6048760213377615E-2</c:v>
                </c:pt>
                <c:pt idx="175">
                  <c:v>2.6048760213377615E-2</c:v>
                </c:pt>
                <c:pt idx="176">
                  <c:v>2.6048760213377615E-2</c:v>
                </c:pt>
                <c:pt idx="177">
                  <c:v>2.6048760213377615E-2</c:v>
                </c:pt>
                <c:pt idx="178">
                  <c:v>2.6048760213377615E-2</c:v>
                </c:pt>
                <c:pt idx="179">
                  <c:v>2.6048760213377615E-2</c:v>
                </c:pt>
                <c:pt idx="180">
                  <c:v>2.6048760213377615E-2</c:v>
                </c:pt>
                <c:pt idx="181">
                  <c:v>2.6048760213377615E-2</c:v>
                </c:pt>
                <c:pt idx="182">
                  <c:v>2.6048760213377615E-2</c:v>
                </c:pt>
                <c:pt idx="183">
                  <c:v>2.6048760213377615E-2</c:v>
                </c:pt>
                <c:pt idx="184">
                  <c:v>2.6354970437268761E-2</c:v>
                </c:pt>
                <c:pt idx="185">
                  <c:v>2.6652834368067761E-2</c:v>
                </c:pt>
                <c:pt idx="186">
                  <c:v>2.7045142327504611E-2</c:v>
                </c:pt>
                <c:pt idx="187">
                  <c:v>2.741650448124083E-2</c:v>
                </c:pt>
                <c:pt idx="188">
                  <c:v>2.8015039003203679E-2</c:v>
                </c:pt>
                <c:pt idx="189">
                  <c:v>2.8401510673336568E-2</c:v>
                </c:pt>
                <c:pt idx="190">
                  <c:v>2.87485526638857E-2</c:v>
                </c:pt>
                <c:pt idx="191">
                  <c:v>2.8943652920449061E-2</c:v>
                </c:pt>
                <c:pt idx="192">
                  <c:v>2.9002341058676443E-2</c:v>
                </c:pt>
                <c:pt idx="193">
                  <c:v>2.9252352250288157E-2</c:v>
                </c:pt>
                <c:pt idx="194">
                  <c:v>2.9252352250288157E-2</c:v>
                </c:pt>
                <c:pt idx="195">
                  <c:v>2.9252352250288157E-2</c:v>
                </c:pt>
                <c:pt idx="196">
                  <c:v>2.9252352250288157E-2</c:v>
                </c:pt>
                <c:pt idx="197">
                  <c:v>2.9252352250288157E-2</c:v>
                </c:pt>
                <c:pt idx="198">
                  <c:v>2.9252352250288157E-2</c:v>
                </c:pt>
                <c:pt idx="199">
                  <c:v>2.9252352250288157E-2</c:v>
                </c:pt>
                <c:pt idx="200">
                  <c:v>2.9252352250288157E-2</c:v>
                </c:pt>
                <c:pt idx="201">
                  <c:v>2.9252352250288157E-2</c:v>
                </c:pt>
                <c:pt idx="202">
                  <c:v>2.9252352250288157E-2</c:v>
                </c:pt>
                <c:pt idx="203">
                  <c:v>2.9252352250288157E-2</c:v>
                </c:pt>
                <c:pt idx="204">
                  <c:v>2.9252352250288157E-2</c:v>
                </c:pt>
                <c:pt idx="205">
                  <c:v>2.9252352250288157E-2</c:v>
                </c:pt>
                <c:pt idx="206">
                  <c:v>2.9252352250288157E-2</c:v>
                </c:pt>
                <c:pt idx="207">
                  <c:v>2.9252352250288157E-2</c:v>
                </c:pt>
                <c:pt idx="208">
                  <c:v>2.9252352250288157E-2</c:v>
                </c:pt>
                <c:pt idx="209">
                  <c:v>2.9252352250288157E-2</c:v>
                </c:pt>
                <c:pt idx="210">
                  <c:v>2.9429937490048429E-2</c:v>
                </c:pt>
                <c:pt idx="211">
                  <c:v>2.9589377710209846E-2</c:v>
                </c:pt>
                <c:pt idx="212">
                  <c:v>2.9589377710209846E-2</c:v>
                </c:pt>
                <c:pt idx="213">
                  <c:v>2.9589377710209846E-2</c:v>
                </c:pt>
                <c:pt idx="214">
                  <c:v>2.9589377710209846E-2</c:v>
                </c:pt>
                <c:pt idx="215">
                  <c:v>2.9589377710209846E-2</c:v>
                </c:pt>
                <c:pt idx="216">
                  <c:v>2.9589377710209846E-2</c:v>
                </c:pt>
                <c:pt idx="217">
                  <c:v>2.9589377710209846E-2</c:v>
                </c:pt>
                <c:pt idx="218">
                  <c:v>2.9589377710209846E-2</c:v>
                </c:pt>
                <c:pt idx="219">
                  <c:v>2.9589377710209846E-2</c:v>
                </c:pt>
                <c:pt idx="220">
                  <c:v>2.9589377710209846E-2</c:v>
                </c:pt>
                <c:pt idx="221">
                  <c:v>2.9589377710209846E-2</c:v>
                </c:pt>
                <c:pt idx="222">
                  <c:v>2.9589377710209846E-2</c:v>
                </c:pt>
                <c:pt idx="223">
                  <c:v>2.9589377710209846E-2</c:v>
                </c:pt>
                <c:pt idx="224">
                  <c:v>2.9589377710209846E-2</c:v>
                </c:pt>
                <c:pt idx="225">
                  <c:v>2.9589377710209846E-2</c:v>
                </c:pt>
                <c:pt idx="226">
                  <c:v>2.9589377710209846E-2</c:v>
                </c:pt>
                <c:pt idx="227">
                  <c:v>2.9589377710209846E-2</c:v>
                </c:pt>
                <c:pt idx="228">
                  <c:v>2.9589377710209846E-2</c:v>
                </c:pt>
                <c:pt idx="229">
                  <c:v>2.9589377710209846E-2</c:v>
                </c:pt>
                <c:pt idx="230">
                  <c:v>2.9589377710209846E-2</c:v>
                </c:pt>
                <c:pt idx="231">
                  <c:v>2.9589377710209846E-2</c:v>
                </c:pt>
                <c:pt idx="232">
                  <c:v>2.9589377710209846E-2</c:v>
                </c:pt>
                <c:pt idx="233">
                  <c:v>2.9589377710209846E-2</c:v>
                </c:pt>
                <c:pt idx="234">
                  <c:v>2.9589377710209846E-2</c:v>
                </c:pt>
                <c:pt idx="235">
                  <c:v>3.0224108715888875E-2</c:v>
                </c:pt>
                <c:pt idx="236">
                  <c:v>3.0348442691760361E-2</c:v>
                </c:pt>
                <c:pt idx="237">
                  <c:v>3.1101092169853267E-2</c:v>
                </c:pt>
                <c:pt idx="238">
                  <c:v>3.188387077277504E-2</c:v>
                </c:pt>
                <c:pt idx="239">
                  <c:v>3.2578602093821227E-2</c:v>
                </c:pt>
                <c:pt idx="240">
                  <c:v>3.3181366115595967E-2</c:v>
                </c:pt>
                <c:pt idx="241">
                  <c:v>3.3695776514593885E-2</c:v>
                </c:pt>
                <c:pt idx="242">
                  <c:v>3.3786902751485361E-2</c:v>
                </c:pt>
                <c:pt idx="243">
                  <c:v>3.4064055305204011E-2</c:v>
                </c:pt>
                <c:pt idx="244">
                  <c:v>3.4064055305204011E-2</c:v>
                </c:pt>
                <c:pt idx="245">
                  <c:v>3.4064055305204011E-2</c:v>
                </c:pt>
                <c:pt idx="246">
                  <c:v>3.4064055305204011E-2</c:v>
                </c:pt>
                <c:pt idx="247">
                  <c:v>3.4064055305204011E-2</c:v>
                </c:pt>
                <c:pt idx="248">
                  <c:v>3.4064055305204011E-2</c:v>
                </c:pt>
                <c:pt idx="249">
                  <c:v>3.4064055305204011E-2</c:v>
                </c:pt>
                <c:pt idx="250">
                  <c:v>3.4064055305204011E-2</c:v>
                </c:pt>
                <c:pt idx="251">
                  <c:v>3.4064055305204011E-2</c:v>
                </c:pt>
                <c:pt idx="252">
                  <c:v>3.4064055305204011E-2</c:v>
                </c:pt>
                <c:pt idx="253">
                  <c:v>3.4064055305204011E-2</c:v>
                </c:pt>
                <c:pt idx="254">
                  <c:v>3.4064055305204011E-2</c:v>
                </c:pt>
                <c:pt idx="255">
                  <c:v>3.423264241049491E-2</c:v>
                </c:pt>
                <c:pt idx="256">
                  <c:v>3.423264241049491E-2</c:v>
                </c:pt>
                <c:pt idx="257">
                  <c:v>3.423264241049491E-2</c:v>
                </c:pt>
                <c:pt idx="258">
                  <c:v>3.423264241049491E-2</c:v>
                </c:pt>
                <c:pt idx="259">
                  <c:v>3.423264241049491E-2</c:v>
                </c:pt>
                <c:pt idx="260">
                  <c:v>3.423264241049491E-2</c:v>
                </c:pt>
                <c:pt idx="261">
                  <c:v>3.423264241049491E-2</c:v>
                </c:pt>
                <c:pt idx="262">
                  <c:v>3.423264241049491E-2</c:v>
                </c:pt>
                <c:pt idx="263">
                  <c:v>3.423264241049491E-2</c:v>
                </c:pt>
                <c:pt idx="264">
                  <c:v>3.423264241049491E-2</c:v>
                </c:pt>
                <c:pt idx="265">
                  <c:v>3.423264241049491E-2</c:v>
                </c:pt>
                <c:pt idx="266">
                  <c:v>3.423264241049491E-2</c:v>
                </c:pt>
                <c:pt idx="267">
                  <c:v>3.423264241049491E-2</c:v>
                </c:pt>
                <c:pt idx="268">
                  <c:v>3.423264241049491E-2</c:v>
                </c:pt>
                <c:pt idx="269">
                  <c:v>3.423264241049491E-2</c:v>
                </c:pt>
                <c:pt idx="270">
                  <c:v>3.6955533777255335E-2</c:v>
                </c:pt>
                <c:pt idx="271">
                  <c:v>3.7738312380177108E-2</c:v>
                </c:pt>
                <c:pt idx="272">
                  <c:v>3.8433043701223295E-2</c:v>
                </c:pt>
                <c:pt idx="273">
                  <c:v>3.9035807722998035E-2</c:v>
                </c:pt>
                <c:pt idx="274">
                  <c:v>3.9550218121995953E-2</c:v>
                </c:pt>
                <c:pt idx="275">
                  <c:v>3.9608906260223335E-2</c:v>
                </c:pt>
                <c:pt idx="276">
                  <c:v>3.9608906260223335E-2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82C-4E98-95BE-BC92F9859C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487232"/>
        <c:axId val="89144704"/>
      </c:scatterChart>
      <c:valAx>
        <c:axId val="8948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>
                    <a:latin typeface="Book Antiqua"/>
                    <a:ea typeface="Book Antiqua"/>
                    <a:cs typeface="Book Antiqua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89144704"/>
        <c:crosses val="autoZero"/>
        <c:crossBetween val="midCat"/>
        <c:majorUnit val="10"/>
      </c:valAx>
      <c:valAx>
        <c:axId val="891447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>
                    <a:latin typeface="Book Antiqua"/>
                    <a:ea typeface="Book Antiqua"/>
                    <a:cs typeface="Book Antiqua"/>
                  </a:defRPr>
                </a:pPr>
                <a:r>
                  <a:rPr lang="en-US"/>
                  <a:t>Energy (kWh)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Book Antiqua"/>
                <a:ea typeface="Book Antiqua"/>
                <a:cs typeface="Book Antiqua"/>
              </a:defRPr>
            </a:pPr>
            <a:endParaRPr lang="en-US"/>
          </a:p>
        </c:txPr>
        <c:crossAx val="89487232"/>
        <c:crosses val="autoZero"/>
        <c:crossBetween val="midCat"/>
        <c:majorUnit val="0.03"/>
      </c:valAx>
    </c:plotArea>
    <c:legend>
      <c:legendPos val="b"/>
      <c:layout/>
      <c:overlay val="0"/>
      <c:txPr>
        <a:bodyPr/>
        <a:lstStyle/>
        <a:p>
          <a:pPr>
            <a:defRPr>
              <a:latin typeface="Book Antiqua"/>
              <a:ea typeface="Book Antiqua"/>
              <a:cs typeface="Book Antiqua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9525</xdr:colOff>
      <xdr:row>1</xdr:row>
      <xdr:rowOff>57150</xdr:rowOff>
    </xdr:from>
    <xdr:to>
      <xdr:col>65</xdr:col>
      <xdr:colOff>0</xdr:colOff>
      <xdr:row>15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39</xdr:col>
      <xdr:colOff>9525</xdr:colOff>
      <xdr:row>17</xdr:row>
      <xdr:rowOff>28575</xdr:rowOff>
    </xdr:from>
    <xdr:to>
      <xdr:col>65</xdr:col>
      <xdr:colOff>19050</xdr:colOff>
      <xdr:row>34</xdr:row>
      <xdr:rowOff>66675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100-00000A000000}"/>
            </a:ext>
            <a:ext uri="{147F2762-F138-4A5C-976F-8EAC2B608ADB}">
              <a16:predDERef xmlns:a16="http://schemas.microsoft.com/office/drawing/2014/main" pre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39</xdr:col>
      <xdr:colOff>0</xdr:colOff>
      <xdr:row>36</xdr:row>
      <xdr:rowOff>0</xdr:rowOff>
    </xdr:from>
    <xdr:to>
      <xdr:col>64</xdr:col>
      <xdr:colOff>581025</xdr:colOff>
      <xdr:row>55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  <a:ext uri="{147F2762-F138-4A5C-976F-8EAC2B608ADB}">
              <a16:predDERef xmlns:a16="http://schemas.microsoft.com/office/drawing/2014/main" pred="{00000000-0008-0000-01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39</xdr:col>
      <xdr:colOff>19050</xdr:colOff>
      <xdr:row>56</xdr:row>
      <xdr:rowOff>9525</xdr:rowOff>
    </xdr:from>
    <xdr:to>
      <xdr:col>65</xdr:col>
      <xdr:colOff>9525</xdr:colOff>
      <xdr:row>72</xdr:row>
      <xdr:rowOff>133350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38</xdr:col>
      <xdr:colOff>590550</xdr:colOff>
      <xdr:row>74</xdr:row>
      <xdr:rowOff>142875</xdr:rowOff>
    </xdr:from>
    <xdr:to>
      <xdr:col>65</xdr:col>
      <xdr:colOff>9525</xdr:colOff>
      <xdr:row>91</xdr:row>
      <xdr:rowOff>28575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39</xdr:col>
      <xdr:colOff>9525</xdr:colOff>
      <xdr:row>93</xdr:row>
      <xdr:rowOff>104775</xdr:rowOff>
    </xdr:from>
    <xdr:to>
      <xdr:col>65</xdr:col>
      <xdr:colOff>19050</xdr:colOff>
      <xdr:row>113</xdr:row>
      <xdr:rowOff>104775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  <a:ext uri="{147F2762-F138-4A5C-976F-8EAC2B608ADB}">
              <a16:predDERef xmlns:a16="http://schemas.microsoft.com/office/drawing/2014/main" pre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39</xdr:col>
      <xdr:colOff>0</xdr:colOff>
      <xdr:row>115</xdr:row>
      <xdr:rowOff>76200</xdr:rowOff>
    </xdr:from>
    <xdr:to>
      <xdr:col>65</xdr:col>
      <xdr:colOff>28575</xdr:colOff>
      <xdr:row>134</xdr:row>
      <xdr:rowOff>95250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100-000009000000}"/>
            </a:ext>
            <a:ext uri="{147F2762-F138-4A5C-976F-8EAC2B608ADB}">
              <a16:predDERef xmlns:a16="http://schemas.microsoft.com/office/drawing/2014/main" pre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52</xdr:col>
      <xdr:colOff>581025</xdr:colOff>
      <xdr:row>79</xdr:row>
      <xdr:rowOff>76200</xdr:rowOff>
    </xdr:from>
    <xdr:to>
      <xdr:col>53</xdr:col>
      <xdr:colOff>314325</xdr:colOff>
      <xdr:row>81</xdr:row>
      <xdr:rowOff>114300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100-000002000000}"/>
            </a:ext>
            <a:ext uri="{147F2762-F138-4A5C-976F-8EAC2B608ADB}">
              <a16:predDERef xmlns:a16="http://schemas.microsoft.com/office/drawing/2014/main" pred="{00000000-0008-0000-0100-000009000000}"/>
            </a:ext>
          </a:extLst>
        </xdr:cNvPr>
        <xdr:cNvSpPr/>
      </xdr:nvSpPr>
      <xdr:spPr>
        <a:xfrm>
          <a:off x="43195875" y="15116175"/>
          <a:ext cx="342900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41</xdr:col>
      <xdr:colOff>295275</xdr:colOff>
      <xdr:row>80</xdr:row>
      <xdr:rowOff>26194</xdr:rowOff>
    </xdr:from>
    <xdr:to>
      <xdr:col>41</xdr:col>
      <xdr:colOff>607219</xdr:colOff>
      <xdr:row>82</xdr:row>
      <xdr:rowOff>16669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00000000-0008-0000-0100-000007000000}"/>
            </a:ext>
            <a:ext uri="{147F2762-F138-4A5C-976F-8EAC2B608ADB}">
              <a16:predDERef xmlns:a16="http://schemas.microsoft.com/office/drawing/2014/main" pred="{00000000-0008-0000-0100-000002000000}"/>
            </a:ext>
          </a:extLst>
        </xdr:cNvPr>
        <xdr:cNvSpPr/>
      </xdr:nvSpPr>
      <xdr:spPr>
        <a:xfrm>
          <a:off x="36204525" y="15256669"/>
          <a:ext cx="311944" cy="3714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47</xdr:col>
      <xdr:colOff>219075</xdr:colOff>
      <xdr:row>80</xdr:row>
      <xdr:rowOff>85724</xdr:rowOff>
    </xdr:from>
    <xdr:to>
      <xdr:col>47</xdr:col>
      <xdr:colOff>590550</xdr:colOff>
      <xdr:row>82</xdr:row>
      <xdr:rowOff>114299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100-00000C000000}"/>
            </a:ext>
            <a:ext uri="{147F2762-F138-4A5C-976F-8EAC2B608ADB}">
              <a16:predDERef xmlns:a16="http://schemas.microsoft.com/office/drawing/2014/main" pred="{00000000-0008-0000-0100-000007000000}"/>
            </a:ext>
          </a:extLst>
        </xdr:cNvPr>
        <xdr:cNvSpPr/>
      </xdr:nvSpPr>
      <xdr:spPr>
        <a:xfrm>
          <a:off x="39785925" y="15316199"/>
          <a:ext cx="371475" cy="409575"/>
        </a:xfrm>
        <a:prstGeom prst="ellipse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/>
        </a:p>
      </xdr:txBody>
    </xdr:sp>
    <xdr:clientData/>
  </xdr:twoCellAnchor>
  <xdr:twoCellAnchor>
    <xdr:from>
      <xdr:col>39</xdr:col>
      <xdr:colOff>500063</xdr:colOff>
      <xdr:row>20</xdr:row>
      <xdr:rowOff>35719</xdr:rowOff>
    </xdr:from>
    <xdr:to>
      <xdr:col>40</xdr:col>
      <xdr:colOff>226219</xdr:colOff>
      <xdr:row>22</xdr:row>
      <xdr:rowOff>119063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00000000-0008-0000-0100-00000D000000}"/>
            </a:ext>
            <a:ext uri="{147F2762-F138-4A5C-976F-8EAC2B608ADB}">
              <a16:predDERef xmlns:a16="http://schemas.microsoft.com/office/drawing/2014/main" pred="{5BA12C3D-C901-408D-868A-3F5C9043B4B4}"/>
            </a:ext>
          </a:extLst>
        </xdr:cNvPr>
        <xdr:cNvSpPr/>
      </xdr:nvSpPr>
      <xdr:spPr>
        <a:xfrm>
          <a:off x="29670376" y="3833813"/>
          <a:ext cx="333374" cy="46434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/>
        </a:p>
      </xdr:txBody>
    </xdr:sp>
    <xdr:clientData/>
  </xdr:twoCellAnchor>
  <xdr:twoCellAnchor>
    <xdr:from>
      <xdr:col>39</xdr:col>
      <xdr:colOff>0</xdr:colOff>
      <xdr:row>135</xdr:row>
      <xdr:rowOff>133350</xdr:rowOff>
    </xdr:from>
    <xdr:to>
      <xdr:col>64</xdr:col>
      <xdr:colOff>600075</xdr:colOff>
      <xdr:row>152</xdr:row>
      <xdr:rowOff>104775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100-00000F000000}"/>
            </a:ext>
            <a:ext uri="{147F2762-F138-4A5C-976F-8EAC2B608ADB}">
              <a16:predDERef xmlns:a16="http://schemas.microsoft.com/office/drawing/2014/main" pred="{00000000-0008-0000-01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2" displayName="Table2" ref="A6:B9" headerRowCount="0" totalsRowShown="0" headerRowDxfId="101" dataDxfId="100">
  <tableColumns count="2">
    <tableColumn id="1" name="Column1" headerRowDxfId="99" dataDxfId="98"/>
    <tableColumn id="2" name="Column2" dataDxfId="97"/>
  </tableColumns>
  <tableStyleInfo name="TableStyleMedium25" showFirstColumn="0" showLastColumn="0" showRowStripes="0" showColumnStripes="0"/>
</table>
</file>

<file path=xl/tables/table2.xml><?xml version="1.0" encoding="utf-8"?>
<table xmlns="http://schemas.openxmlformats.org/spreadsheetml/2006/main" id="3" name="Table3" displayName="Table3" ref="A10:B18" headerRowCount="0" totalsRowShown="0" headerRowDxfId="96" dataDxfId="95">
  <tableColumns count="2">
    <tableColumn id="1" name="Column1" headerRowDxfId="94" dataDxfId="93"/>
    <tableColumn id="2" name="Column2" headerRowDxfId="92" dataDxfId="91"/>
  </tableColumns>
  <tableStyleInfo name="TableStyleMedium25" showFirstColumn="0" showLastColumn="0" showRowStripes="0" showColumnStripes="0"/>
</table>
</file>

<file path=xl/tables/table3.xml><?xml version="1.0" encoding="utf-8"?>
<table xmlns="http://schemas.openxmlformats.org/spreadsheetml/2006/main" id="4" name="Table4" displayName="Table4" ref="A20:B30" headerRowCount="0" totalsRowShown="0" headerRowDxfId="90" dataDxfId="89">
  <tableColumns count="2">
    <tableColumn id="1" name="Column1" headerRowDxfId="88" dataDxfId="87"/>
    <tableColumn id="2" name="Column2" headerRowDxfId="86" dataDxfId="85"/>
  </tableColumns>
  <tableStyleInfo name="TableStyleMedium25" showFirstColumn="0" showLastColumn="0" showRowStripes="0" showColumnStripes="0"/>
</table>
</file>

<file path=xl/tables/table4.xml><?xml version="1.0" encoding="utf-8"?>
<table xmlns="http://schemas.openxmlformats.org/spreadsheetml/2006/main" id="5" name="Table5" displayName="Table5" ref="A32:B42" headerRowCount="0" totalsRowShown="0" headerRowDxfId="84" dataDxfId="83">
  <tableColumns count="2">
    <tableColumn id="1" name="Column1" headerRowDxfId="82" dataDxfId="81"/>
    <tableColumn id="2" name="Column2" headerRowDxfId="80" dataDxfId="79"/>
  </tableColumns>
  <tableStyleInfo name="TableStyleMedium25" showFirstColumn="0" showLastColumn="0" showRowStripes="0" showColumnStripes="0"/>
</table>
</file>

<file path=xl/tables/table5.xml><?xml version="1.0" encoding="utf-8"?>
<table xmlns="http://schemas.openxmlformats.org/spreadsheetml/2006/main" id="6" name="Table6" displayName="Table6" ref="A44:B54" headerRowCount="0" totalsRowShown="0" headerRowDxfId="78" dataDxfId="77">
  <tableColumns count="2">
    <tableColumn id="1" name="Column1" headerRowDxfId="76" dataDxfId="75"/>
    <tableColumn id="2" name="Column2" dataDxfId="74"/>
  </tableColumns>
  <tableStyleInfo name="TableStyleMedium25" showFirstColumn="0" showLastColumn="0" showRowStripes="0" showColumnStripes="0"/>
</table>
</file>

<file path=xl/tables/table6.xml><?xml version="1.0" encoding="utf-8"?>
<table xmlns="http://schemas.openxmlformats.org/spreadsheetml/2006/main" id="7" name="Table7" displayName="Table7" ref="D6:K11" headerRowCount="0" totalsRowShown="0" headerRowDxfId="73" dataDxfId="72">
  <tableColumns count="8">
    <tableColumn id="1" name="Column1" headerRowDxfId="71" dataDxfId="70"/>
    <tableColumn id="2" name="Column2" headerRowDxfId="69" dataDxfId="68"/>
    <tableColumn id="3" name="Column3" headerRowDxfId="67" dataDxfId="66"/>
    <tableColumn id="4" name="Column4" headerRowDxfId="65" dataDxfId="64">
      <calculatedColumnFormula>F7/E7</calculatedColumnFormula>
    </tableColumn>
    <tableColumn id="5" name="Column5" headerRowDxfId="63" dataDxfId="62"/>
    <tableColumn id="6" name="Column6" headerRowDxfId="61" dataDxfId="60"/>
    <tableColumn id="7" name="Column7" headerRowDxfId="59" dataDxfId="58"/>
    <tableColumn id="8" name="Column8" headerRowDxfId="57" dataDxfId="56"/>
  </tableColumns>
  <tableStyleInfo name="TableStyleMedium28" showFirstColumn="0" showLastColumn="0" showRowStripes="0" showColumnStripes="0"/>
</table>
</file>

<file path=xl/tables/table7.xml><?xml version="1.0" encoding="utf-8"?>
<table xmlns="http://schemas.openxmlformats.org/spreadsheetml/2006/main" id="14" name="Table14" displayName="Table14" ref="D13:I20" headerRowCount="0" totalsRowShown="0" headerRowDxfId="55" dataDxfId="54">
  <tableColumns count="6">
    <tableColumn id="1" name="Column1" headerRowDxfId="53" dataDxfId="52"/>
    <tableColumn id="2" name="Column2" headerRowDxfId="51" dataDxfId="50"/>
    <tableColumn id="3" name="Column3" headerRowDxfId="49" dataDxfId="48"/>
    <tableColumn id="4" name="Column4" headerRowDxfId="47" dataDxfId="46"/>
    <tableColumn id="5" name="Column5" headerRowDxfId="45" dataDxfId="44"/>
    <tableColumn id="6" name="Column6" headerRowDxfId="43" dataDxfId="42"/>
  </tableColumns>
  <tableStyleInfo name="TableStyleMedium23" showFirstColumn="0" showLastColumn="0" showRowStripes="0" showColumnStripes="0"/>
</table>
</file>

<file path=xl/tables/table8.xml><?xml version="1.0" encoding="utf-8"?>
<table xmlns="http://schemas.openxmlformats.org/spreadsheetml/2006/main" id="1" name="Table392" displayName="Table392" ref="D22:R47" headerRowCount="0" totalsRowShown="0" headerRowDxfId="41" dataDxfId="40" tableBorderDxfId="39">
  <tableColumns count="15">
    <tableColumn id="1" name="Column1" headerRowDxfId="38" dataDxfId="37"/>
    <tableColumn id="2" name="Column2" headerRowDxfId="36" dataDxfId="35"/>
    <tableColumn id="3" name="Column3" headerRowDxfId="34" dataDxfId="33"/>
    <tableColumn id="4" name="Column4" headerRowDxfId="32" dataDxfId="31"/>
    <tableColumn id="5" name="Column5" headerRowDxfId="30" dataDxfId="29"/>
    <tableColumn id="6" name="Column6" headerRowDxfId="28" dataDxfId="27"/>
    <tableColumn id="7" name="Column7" headerRowDxfId="26" dataDxfId="25"/>
    <tableColumn id="8" name="Column8" headerRowDxfId="24" dataDxfId="23"/>
    <tableColumn id="9" name="Column9" headerRowDxfId="22" dataDxfId="21"/>
    <tableColumn id="10" name="Column10" headerRowDxfId="20" dataDxfId="19"/>
    <tableColumn id="11" name="Column11" headerRowDxfId="18" dataDxfId="17"/>
    <tableColumn id="12" name="Column12" headerRowDxfId="16" dataDxfId="15"/>
    <tableColumn id="13" name="Column13" headerRowDxfId="14" dataDxfId="13"/>
    <tableColumn id="14" name="Column14" headerRowDxfId="12" dataDxfId="11"/>
    <tableColumn id="15" name="Column15" headerRowDxfId="10" dataDxfId="9"/>
  </tableColumns>
  <tableStyleInfo name="TableStyleLight15" showFirstColumn="0" showLastColumn="0" showRowStripes="0" showColumnStripes="0"/>
</table>
</file>

<file path=xl/tables/table9.xml><?xml version="1.0" encoding="utf-8"?>
<table xmlns="http://schemas.openxmlformats.org/spreadsheetml/2006/main" id="15" name="Table15" displayName="Table15" ref="K13:L16" headerRowCount="0" totalsRowShown="0">
  <tableColumns count="2">
    <tableColumn id="1" name="Column1" headerRowDxfId="8" dataDxfId="7"/>
    <tableColumn id="2" name="Column2" headerRowDxfId="6" dataDxfId="5"/>
  </tableColumns>
  <tableStyleInfo name="TableStyleLight17" showFirstColumn="0" showLastColumn="0" showRowStripes="0" showColumnStripes="0"/>
</table>
</file>

<file path=xl/tables/table10.xml><?xml version="1.0" encoding="utf-8"?>
<table xmlns="http://schemas.openxmlformats.org/spreadsheetml/2006/main" id="8" name="Table8" displayName="Table8" ref="B4:C16" headerRowCount="0" totalsRowShown="0" headerRowDxfId="4">
  <tableColumns count="2">
    <tableColumn id="1" name="Column1" headerRowDxfId="3" dataDxfId="2"/>
    <tableColumn id="2" name="Column2" headerRowDxfId="1" dataDxfId="0" dataCellStyle="Percent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"/>
  <sheetViews>
    <sheetView topLeftCell="A13" zoomScale="82" zoomScaleNormal="82" workbookViewId="0">
      <selection activeCell="B24" sqref="B24"/>
    </sheetView>
  </sheetViews>
  <sheetFormatPr defaultColWidth="9.109375" defaultRowHeight="13.8" x14ac:dyDescent="0.25"/>
  <cols>
    <col min="1" max="1" width="45.5546875" style="1" customWidth="1"/>
    <col min="2" max="2" width="12" style="1" bestFit="1" customWidth="1"/>
    <col min="3" max="3" width="9.109375" style="1"/>
    <col min="4" max="4" width="17" style="1" customWidth="1"/>
    <col min="5" max="5" width="12.33203125" style="1" customWidth="1"/>
    <col min="6" max="6" width="11.6640625" style="1" customWidth="1"/>
    <col min="7" max="7" width="14.109375" style="1" bestFit="1" customWidth="1"/>
    <col min="8" max="8" width="16.109375" style="1" customWidth="1"/>
    <col min="9" max="9" width="16.44140625" style="1" customWidth="1"/>
    <col min="10" max="10" width="17.44140625" style="1" customWidth="1"/>
    <col min="11" max="11" width="24.33203125" style="1" customWidth="1"/>
    <col min="12" max="16" width="9.109375" style="1"/>
    <col min="17" max="17" width="10.109375" style="1" bestFit="1" customWidth="1"/>
    <col min="18" max="23" width="9.109375" style="1"/>
    <col min="24" max="24" width="10" style="1" customWidth="1"/>
    <col min="25" max="16384" width="9.109375" style="1"/>
  </cols>
  <sheetData>
    <row r="1" spans="1:12" ht="17.399999999999999" x14ac:dyDescent="0.3">
      <c r="A1" s="32" t="s">
        <v>0</v>
      </c>
    </row>
    <row r="2" spans="1:12" x14ac:dyDescent="0.25">
      <c r="A2" s="33" t="s">
        <v>1</v>
      </c>
    </row>
    <row r="4" spans="1:12" x14ac:dyDescent="0.25">
      <c r="A4" s="2" t="s">
        <v>2</v>
      </c>
    </row>
    <row r="6" spans="1:12" x14ac:dyDescent="0.25">
      <c r="A6" s="1" t="s">
        <v>3</v>
      </c>
      <c r="B6" s="1">
        <v>6500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  <c r="I6" s="46" t="s">
        <v>9</v>
      </c>
      <c r="J6" s="46" t="s">
        <v>10</v>
      </c>
      <c r="K6" s="48" t="s">
        <v>11</v>
      </c>
    </row>
    <row r="7" spans="1:12" ht="16.8" x14ac:dyDescent="0.25">
      <c r="A7" s="1" t="s">
        <v>12</v>
      </c>
      <c r="B7" s="1">
        <v>22</v>
      </c>
      <c r="D7" s="47" t="s">
        <v>13</v>
      </c>
      <c r="E7" s="47">
        <v>11</v>
      </c>
      <c r="F7" s="47">
        <v>29</v>
      </c>
      <c r="G7" s="47">
        <f>F7/E7</f>
        <v>2.6363636363636362</v>
      </c>
      <c r="H7" s="47">
        <f>G11*G10*G7</f>
        <v>22.729220779220775</v>
      </c>
      <c r="I7" s="47">
        <f>2*3.14*B$12*B$6/(H7*60*1000)</f>
        <v>7.6027536687331576</v>
      </c>
      <c r="J7" s="47">
        <f>3.6*I7</f>
        <v>27.369913207439367</v>
      </c>
      <c r="K7" s="49">
        <f>Table7[[#This Row],[Column6]]*2.23694</f>
        <v>17.006903791735951</v>
      </c>
    </row>
    <row r="8" spans="1:12" ht="16.8" x14ac:dyDescent="0.25">
      <c r="A8" s="1" t="s">
        <v>14</v>
      </c>
      <c r="B8" s="1">
        <f>B7*2*3.14*B6/60</f>
        <v>14967.333333333334</v>
      </c>
      <c r="D8" s="47" t="s">
        <v>15</v>
      </c>
      <c r="E8" s="47">
        <v>15</v>
      </c>
      <c r="F8" s="47">
        <v>29</v>
      </c>
      <c r="G8" s="47">
        <f>F8/E8</f>
        <v>1.9333333333333333</v>
      </c>
      <c r="H8" s="47">
        <f>G11*G10*G8</f>
        <v>16.668095238095237</v>
      </c>
      <c r="I8" s="47">
        <f>2*3.14*B$12*B$6/(H8*60*1000)</f>
        <v>10.367391366454305</v>
      </c>
      <c r="J8" s="47">
        <f t="shared" ref="J8:J9" si="0">3.6*I8</f>
        <v>37.322608919235499</v>
      </c>
      <c r="K8" s="49">
        <f>Table7[[#This Row],[Column6]]*2.23694</f>
        <v>23.191232443276295</v>
      </c>
    </row>
    <row r="9" spans="1:12" ht="16.8" x14ac:dyDescent="0.25">
      <c r="A9" s="1" t="s">
        <v>16</v>
      </c>
      <c r="B9" s="1">
        <f>B8/746</f>
        <v>20.063449508489725</v>
      </c>
      <c r="D9" s="47" t="s">
        <v>17</v>
      </c>
      <c r="E9" s="47">
        <v>21</v>
      </c>
      <c r="F9" s="47">
        <v>31</v>
      </c>
      <c r="G9" s="47">
        <f>F9/E9</f>
        <v>1.4761904761904763</v>
      </c>
      <c r="H9" s="47">
        <f>G11*G10*G9</f>
        <v>12.726870748299319</v>
      </c>
      <c r="I9" s="47">
        <f>2*3.14*B$12*B$6/(H9*60*1000)</f>
        <v>13.577938370259508</v>
      </c>
      <c r="J9" s="47">
        <f t="shared" si="0"/>
        <v>48.880578132934232</v>
      </c>
      <c r="K9" s="49">
        <f>Table7[[#This Row],[Column6]]*2.23694</f>
        <v>30.373033457968305</v>
      </c>
    </row>
    <row r="10" spans="1:12" ht="16.8" x14ac:dyDescent="0.25">
      <c r="A10" s="1" t="s">
        <v>18</v>
      </c>
      <c r="B10" s="1">
        <v>1.151</v>
      </c>
      <c r="D10" s="47" t="s">
        <v>19</v>
      </c>
      <c r="E10" s="47">
        <v>15</v>
      </c>
      <c r="F10" s="47">
        <v>51</v>
      </c>
      <c r="G10" s="47">
        <f>F10/E10</f>
        <v>3.4</v>
      </c>
      <c r="H10" s="47"/>
      <c r="I10" s="47"/>
      <c r="J10" s="47"/>
      <c r="K10" s="49"/>
    </row>
    <row r="11" spans="1:12" x14ac:dyDescent="0.25">
      <c r="A11" s="1" t="s">
        <v>20</v>
      </c>
      <c r="B11" s="1">
        <v>304.8</v>
      </c>
      <c r="D11" s="47" t="s">
        <v>21</v>
      </c>
      <c r="E11" s="47">
        <v>28</v>
      </c>
      <c r="F11" s="47">
        <v>71</v>
      </c>
      <c r="G11" s="47">
        <f>F11/E11</f>
        <v>2.5357142857142856</v>
      </c>
      <c r="H11" s="47"/>
      <c r="I11" s="47"/>
      <c r="J11" s="47"/>
      <c r="K11" s="49"/>
    </row>
    <row r="12" spans="1:12" x14ac:dyDescent="0.25">
      <c r="A12" s="1" t="s">
        <v>22</v>
      </c>
      <c r="B12" s="1">
        <v>254</v>
      </c>
    </row>
    <row r="13" spans="1:12" ht="16.8" x14ac:dyDescent="0.25">
      <c r="A13" s="1" t="s">
        <v>23</v>
      </c>
      <c r="B13" s="1">
        <f>24/(39*2)</f>
        <v>0.30769230769230771</v>
      </c>
      <c r="D13" s="2"/>
      <c r="E13" s="2" t="s">
        <v>24</v>
      </c>
      <c r="F13" s="2" t="s">
        <v>25</v>
      </c>
      <c r="G13" s="2" t="s">
        <v>26</v>
      </c>
      <c r="H13" s="2" t="s">
        <v>27</v>
      </c>
      <c r="I13" s="2" t="s">
        <v>28</v>
      </c>
      <c r="K13" s="35" t="s">
        <v>29</v>
      </c>
      <c r="L13" s="1">
        <v>0.13864000000000001</v>
      </c>
    </row>
    <row r="14" spans="1:12" x14ac:dyDescent="0.25">
      <c r="A14" s="1" t="s">
        <v>30</v>
      </c>
      <c r="B14" s="1">
        <f>23/(39*2)</f>
        <v>0.29487179487179488</v>
      </c>
      <c r="D14" s="1" t="s">
        <v>31</v>
      </c>
      <c r="E14" s="1">
        <f>B49</f>
        <v>1.2491742758400002</v>
      </c>
      <c r="G14" s="1">
        <f>1/B13</f>
        <v>3.25</v>
      </c>
      <c r="K14" s="35" t="s">
        <v>32</v>
      </c>
      <c r="L14" s="1">
        <v>0.20372000000000001</v>
      </c>
    </row>
    <row r="15" spans="1:12" x14ac:dyDescent="0.25">
      <c r="A15" s="1" t="s">
        <v>33</v>
      </c>
      <c r="B15" s="1">
        <v>144</v>
      </c>
      <c r="D15" s="1" t="s">
        <v>34</v>
      </c>
      <c r="E15" s="1">
        <f>B50</f>
        <v>0.86748213600000001</v>
      </c>
      <c r="G15" s="1">
        <f>1/B14</f>
        <v>3.3913043478260869</v>
      </c>
      <c r="K15" s="35" t="s">
        <v>35</v>
      </c>
      <c r="L15" s="1">
        <v>0.11803</v>
      </c>
    </row>
    <row r="16" spans="1:12" x14ac:dyDescent="0.25">
      <c r="A16" s="1" t="s">
        <v>36</v>
      </c>
      <c r="B16" s="1">
        <v>16.11</v>
      </c>
      <c r="D16" s="1" t="s">
        <v>37</v>
      </c>
      <c r="E16" s="1">
        <v>0.06</v>
      </c>
      <c r="F16" s="3">
        <v>2.536</v>
      </c>
      <c r="K16" s="35" t="s">
        <v>38</v>
      </c>
      <c r="L16" s="1">
        <v>0.16228999999999999</v>
      </c>
    </row>
    <row r="17" spans="1:18" x14ac:dyDescent="0.25">
      <c r="A17" s="1" t="s">
        <v>39</v>
      </c>
      <c r="B17" s="1">
        <v>345</v>
      </c>
      <c r="D17" s="1" t="s">
        <v>40</v>
      </c>
      <c r="E17" s="1">
        <v>0.02</v>
      </c>
      <c r="F17" s="3">
        <v>3.4</v>
      </c>
      <c r="G17" s="1">
        <f>G15*Table14[[#This Row],[Column3]]</f>
        <v>11.530434782608696</v>
      </c>
    </row>
    <row r="18" spans="1:18" x14ac:dyDescent="0.25">
      <c r="A18" s="1" t="s">
        <v>41</v>
      </c>
      <c r="B18" s="1">
        <f>B17+B16+B15+B46</f>
        <v>521.71</v>
      </c>
      <c r="D18" s="1" t="s">
        <v>42</v>
      </c>
      <c r="E18" s="1">
        <v>0.05</v>
      </c>
      <c r="F18" s="3">
        <v>2.6360000000000001</v>
      </c>
      <c r="G18" s="1">
        <f>G15*F17*Table14[[#This Row],[Column3]]</f>
        <v>30.394226086956522</v>
      </c>
      <c r="H18" s="1">
        <f>Table14[[#This Row],[Column3]]*F17*F16*G15</f>
        <v>77.079757356521753</v>
      </c>
      <c r="I18" s="1">
        <f>F17*G7*G15</f>
        <v>30.398418972332014</v>
      </c>
    </row>
    <row r="19" spans="1:18" x14ac:dyDescent="0.25">
      <c r="D19" s="1" t="s">
        <v>43</v>
      </c>
      <c r="E19" s="1">
        <v>0.05</v>
      </c>
      <c r="F19" s="3">
        <v>1.9330000000000001</v>
      </c>
      <c r="G19" s="1">
        <f>G15*Table14[[#This Row],[Column3]]*F17</f>
        <v>22.288330434782608</v>
      </c>
      <c r="H19" s="1">
        <f>Table14[[#This Row],[Column3]]*F17*F16*G15</f>
        <v>56.523205982608694</v>
      </c>
      <c r="I19" s="1">
        <f>G8*F17*G15</f>
        <v>22.292173913043477</v>
      </c>
    </row>
    <row r="20" spans="1:18" x14ac:dyDescent="0.25">
      <c r="A20" s="1" t="s">
        <v>44</v>
      </c>
      <c r="B20" s="1">
        <v>0.7</v>
      </c>
      <c r="D20" s="1" t="s">
        <v>45</v>
      </c>
      <c r="E20" s="1">
        <v>0.05</v>
      </c>
      <c r="F20" s="3">
        <v>1.476</v>
      </c>
      <c r="G20" s="1">
        <f>Table14[[#This Row],[Column3]]*F17*G15</f>
        <v>17.018921739130434</v>
      </c>
      <c r="H20" s="1">
        <f>Table14[[#This Row],[Column3]]*F17*F16*G15</f>
        <v>43.159985530434781</v>
      </c>
      <c r="I20" s="1">
        <f>G9*F17*G15</f>
        <v>17.02111801242236</v>
      </c>
    </row>
    <row r="21" spans="1:18" x14ac:dyDescent="0.25">
      <c r="A21" s="1" t="s">
        <v>46</v>
      </c>
      <c r="B21" s="1">
        <v>2.23</v>
      </c>
    </row>
    <row r="22" spans="1:18" ht="16.8" x14ac:dyDescent="0.25">
      <c r="A22" s="1" t="s">
        <v>47</v>
      </c>
      <c r="B22" s="1">
        <v>1.167</v>
      </c>
      <c r="D22" s="4" t="s">
        <v>48</v>
      </c>
      <c r="E22" s="5">
        <v>500</v>
      </c>
      <c r="F22" s="6">
        <v>1000</v>
      </c>
      <c r="G22" s="6">
        <v>1500</v>
      </c>
      <c r="H22" s="6">
        <v>2000</v>
      </c>
      <c r="I22" s="6">
        <v>2500</v>
      </c>
      <c r="J22" s="6">
        <v>3000</v>
      </c>
      <c r="K22" s="6">
        <v>3500</v>
      </c>
      <c r="L22" s="6">
        <v>4000</v>
      </c>
      <c r="M22" s="6">
        <v>4500</v>
      </c>
      <c r="N22" s="6">
        <v>5000</v>
      </c>
      <c r="O22" s="6">
        <v>5500</v>
      </c>
      <c r="P22" s="6">
        <v>6000</v>
      </c>
      <c r="Q22" s="6">
        <v>6500</v>
      </c>
      <c r="R22" s="7">
        <v>7000</v>
      </c>
    </row>
    <row r="23" spans="1:18" ht="16.2" x14ac:dyDescent="0.35">
      <c r="A23" s="1" t="s">
        <v>49</v>
      </c>
      <c r="B23" s="1">
        <v>1.2999999999999999E-2</v>
      </c>
      <c r="D23" s="8" t="s">
        <v>50</v>
      </c>
      <c r="E23" s="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1"/>
    </row>
    <row r="24" spans="1:18" ht="16.2" x14ac:dyDescent="0.35">
      <c r="A24" s="1" t="s">
        <v>51</v>
      </c>
      <c r="B24" s="1">
        <v>0.02</v>
      </c>
      <c r="D24" s="12">
        <v>22</v>
      </c>
      <c r="E24" s="13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5">
        <v>477.26299999999998</v>
      </c>
      <c r="O24" s="15">
        <v>457.65679050000006</v>
      </c>
      <c r="P24" s="16">
        <v>0</v>
      </c>
      <c r="Q24" s="16">
        <v>0</v>
      </c>
      <c r="R24" s="17">
        <v>0</v>
      </c>
    </row>
    <row r="25" spans="1:18" x14ac:dyDescent="0.25">
      <c r="A25" s="1" t="s">
        <v>52</v>
      </c>
      <c r="B25" s="1">
        <v>0.155</v>
      </c>
      <c r="D25" s="12">
        <v>21</v>
      </c>
      <c r="E25" s="13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5">
        <v>483</v>
      </c>
      <c r="N25" s="15">
        <v>470.50444350000004</v>
      </c>
      <c r="O25" s="15">
        <v>443.88070662500002</v>
      </c>
      <c r="P25" s="14">
        <v>477</v>
      </c>
      <c r="Q25" s="16">
        <v>0</v>
      </c>
      <c r="R25" s="17">
        <v>0</v>
      </c>
    </row>
    <row r="26" spans="1:18" x14ac:dyDescent="0.25">
      <c r="A26" s="1" t="s">
        <v>53</v>
      </c>
      <c r="B26" s="34">
        <v>0.1</v>
      </c>
      <c r="D26" s="12">
        <v>20</v>
      </c>
      <c r="E26" s="13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5">
        <v>479.7</v>
      </c>
      <c r="M26" s="15">
        <v>491.62359700000002</v>
      </c>
      <c r="N26" s="15">
        <v>461.7157545</v>
      </c>
      <c r="O26" s="15">
        <v>414.10462275000009</v>
      </c>
      <c r="P26" s="15">
        <v>469.19731950000011</v>
      </c>
      <c r="Q26" s="16">
        <v>0</v>
      </c>
      <c r="R26" s="17">
        <v>0</v>
      </c>
    </row>
    <row r="27" spans="1:18" x14ac:dyDescent="0.25">
      <c r="A27" s="34" t="s">
        <v>54</v>
      </c>
      <c r="B27" s="34">
        <v>0.85</v>
      </c>
      <c r="D27" s="12">
        <v>19</v>
      </c>
      <c r="E27" s="13">
        <v>0</v>
      </c>
      <c r="F27" s="14">
        <v>0</v>
      </c>
      <c r="G27" s="14">
        <v>0</v>
      </c>
      <c r="H27" s="14">
        <v>0</v>
      </c>
      <c r="I27" s="14">
        <v>0</v>
      </c>
      <c r="J27" s="15">
        <v>487</v>
      </c>
      <c r="K27" s="15">
        <v>478.3</v>
      </c>
      <c r="L27" s="15">
        <v>482.76</v>
      </c>
      <c r="M27" s="15">
        <v>476.51549400000005</v>
      </c>
      <c r="N27" s="15">
        <v>443.04624000000007</v>
      </c>
      <c r="O27" s="15">
        <v>392.32853887500011</v>
      </c>
      <c r="P27" s="15">
        <v>457.16661900000008</v>
      </c>
      <c r="Q27" s="15">
        <v>504.47246849999999</v>
      </c>
      <c r="R27" s="18">
        <v>0</v>
      </c>
    </row>
    <row r="28" spans="1:18" x14ac:dyDescent="0.25">
      <c r="A28" s="34" t="s">
        <v>55</v>
      </c>
      <c r="B28" s="34">
        <v>0.7</v>
      </c>
      <c r="D28" s="12">
        <v>18</v>
      </c>
      <c r="E28" s="13">
        <v>0</v>
      </c>
      <c r="F28" s="14">
        <v>0</v>
      </c>
      <c r="G28" s="14">
        <v>0</v>
      </c>
      <c r="H28" s="14">
        <v>0</v>
      </c>
      <c r="I28" s="14">
        <v>0</v>
      </c>
      <c r="J28" s="15">
        <v>494.6</v>
      </c>
      <c r="K28" s="15">
        <v>487.6</v>
      </c>
      <c r="L28" s="15">
        <v>483.62212080000006</v>
      </c>
      <c r="M28" s="19">
        <v>467.51181750000001</v>
      </c>
      <c r="N28" s="19">
        <v>427.32635400000004</v>
      </c>
      <c r="O28" s="19">
        <v>370.55245500000012</v>
      </c>
      <c r="P28" s="19">
        <v>440.18260650000002</v>
      </c>
      <c r="Q28" s="15">
        <v>492.04619100000002</v>
      </c>
      <c r="R28" s="20">
        <v>585.75415350000003</v>
      </c>
    </row>
    <row r="29" spans="1:18" x14ac:dyDescent="0.25">
      <c r="A29" s="34" t="s">
        <v>56</v>
      </c>
      <c r="B29" s="34">
        <v>0.6</v>
      </c>
      <c r="D29" s="12">
        <v>17</v>
      </c>
      <c r="E29" s="13">
        <v>0</v>
      </c>
      <c r="F29" s="14">
        <v>0</v>
      </c>
      <c r="G29" s="14">
        <v>0</v>
      </c>
      <c r="H29" s="14">
        <v>0</v>
      </c>
      <c r="I29" s="19">
        <v>503.2</v>
      </c>
      <c r="J29" s="15">
        <v>499.2</v>
      </c>
      <c r="K29" s="15">
        <v>496.26476171999997</v>
      </c>
      <c r="L29" s="15">
        <v>486.36708120000003</v>
      </c>
      <c r="M29" s="21">
        <v>453.02166</v>
      </c>
      <c r="N29" s="21">
        <v>396.4699147500001</v>
      </c>
      <c r="O29" s="21">
        <v>359.6644130625001</v>
      </c>
      <c r="P29" s="21">
        <v>404.08190550000012</v>
      </c>
      <c r="Q29" s="19">
        <v>484.72801649999997</v>
      </c>
      <c r="R29" s="20">
        <v>571.22171512499995</v>
      </c>
    </row>
    <row r="30" spans="1:18" x14ac:dyDescent="0.25">
      <c r="A30" s="34" t="s">
        <v>57</v>
      </c>
      <c r="B30" s="34">
        <v>0.3</v>
      </c>
      <c r="D30" s="12">
        <v>16</v>
      </c>
      <c r="E30" s="13">
        <v>0</v>
      </c>
      <c r="F30" s="14">
        <v>0</v>
      </c>
      <c r="G30" s="14">
        <v>0</v>
      </c>
      <c r="H30" s="14">
        <v>0</v>
      </c>
      <c r="I30" s="15">
        <v>511.2</v>
      </c>
      <c r="J30" s="15">
        <v>502.55076690000016</v>
      </c>
      <c r="K30" s="15">
        <v>499.78608498000011</v>
      </c>
      <c r="L30" s="19">
        <v>489.11204160000005</v>
      </c>
      <c r="M30" s="21">
        <v>444.16345837500012</v>
      </c>
      <c r="N30" s="22">
        <v>368.92714949999998</v>
      </c>
      <c r="O30" s="22">
        <v>348.77637112500014</v>
      </c>
      <c r="P30" s="22">
        <v>315.98120449999999</v>
      </c>
      <c r="Q30" s="19">
        <v>480.25627650000013</v>
      </c>
      <c r="R30" s="20">
        <v>560.48452275</v>
      </c>
    </row>
    <row r="31" spans="1:18" x14ac:dyDescent="0.25">
      <c r="D31" s="12">
        <v>15</v>
      </c>
      <c r="E31" s="13">
        <v>0</v>
      </c>
      <c r="F31" s="14">
        <v>0</v>
      </c>
      <c r="G31" s="14">
        <v>0</v>
      </c>
      <c r="H31" s="15">
        <v>597.6</v>
      </c>
      <c r="I31" s="15">
        <v>516.02896799999996</v>
      </c>
      <c r="J31" s="15">
        <v>506.41509554999999</v>
      </c>
      <c r="K31" s="15">
        <v>490.8711553199999</v>
      </c>
      <c r="L31" s="19">
        <v>491.85700200000002</v>
      </c>
      <c r="M31" s="21">
        <v>439.44570101250008</v>
      </c>
      <c r="N31" s="22">
        <v>349.54387650000001</v>
      </c>
      <c r="O31" s="22">
        <v>315.13849549999998</v>
      </c>
      <c r="P31" s="22">
        <v>304.35590184687499</v>
      </c>
      <c r="Q31" s="21">
        <v>440.60398200000009</v>
      </c>
      <c r="R31" s="20">
        <v>512.49827961562505</v>
      </c>
    </row>
    <row r="32" spans="1:18" x14ac:dyDescent="0.25">
      <c r="A32" s="1" t="s">
        <v>58</v>
      </c>
      <c r="B32" s="1">
        <v>1940</v>
      </c>
      <c r="D32" s="12">
        <v>14</v>
      </c>
      <c r="E32" s="13">
        <v>0</v>
      </c>
      <c r="F32" s="14">
        <v>0</v>
      </c>
      <c r="G32" s="14">
        <v>0</v>
      </c>
      <c r="H32" s="15">
        <v>617.6</v>
      </c>
      <c r="I32" s="15">
        <v>519.93068400000016</v>
      </c>
      <c r="J32" s="15">
        <v>510.27942420000005</v>
      </c>
      <c r="K32" s="15">
        <v>481.95622565999997</v>
      </c>
      <c r="L32" s="19">
        <v>474.14230073437511</v>
      </c>
      <c r="M32" s="22">
        <v>406.02646743750006</v>
      </c>
      <c r="N32" s="22">
        <v>338.16060349999998</v>
      </c>
      <c r="O32" s="23">
        <v>297.2</v>
      </c>
      <c r="P32" s="22">
        <v>298.88214449999998</v>
      </c>
      <c r="Q32" s="21">
        <v>426.97377450000005</v>
      </c>
      <c r="R32" s="20">
        <v>505.44294524999998</v>
      </c>
    </row>
    <row r="33" spans="1:18" x14ac:dyDescent="0.25">
      <c r="A33" s="1" t="s">
        <v>59</v>
      </c>
      <c r="B33" s="1">
        <v>488</v>
      </c>
      <c r="D33" s="12">
        <v>13</v>
      </c>
      <c r="E33" s="13">
        <v>0</v>
      </c>
      <c r="F33" s="14">
        <v>0</v>
      </c>
      <c r="G33" s="14">
        <v>0</v>
      </c>
      <c r="H33" s="15">
        <v>631.4</v>
      </c>
      <c r="I33" s="15">
        <v>537.83023612500006</v>
      </c>
      <c r="J33" s="15">
        <v>514.14375285000006</v>
      </c>
      <c r="K33" s="15">
        <v>473.04129600000005</v>
      </c>
      <c r="L33" s="19">
        <v>456.42759946875009</v>
      </c>
      <c r="M33" s="22">
        <v>383.46890400000007</v>
      </c>
      <c r="N33" s="22">
        <v>340.77733050000001</v>
      </c>
      <c r="O33" s="22">
        <v>313.44811950000002</v>
      </c>
      <c r="P33" s="22">
        <v>323.99476200000015</v>
      </c>
      <c r="Q33" s="21">
        <v>377.79008974999999</v>
      </c>
      <c r="R33" s="20">
        <v>550.08629399999995</v>
      </c>
    </row>
    <row r="34" spans="1:18" x14ac:dyDescent="0.25">
      <c r="A34" s="1" t="s">
        <v>60</v>
      </c>
      <c r="B34" s="1">
        <v>1070</v>
      </c>
      <c r="D34" s="12">
        <v>12</v>
      </c>
      <c r="E34" s="13">
        <v>0</v>
      </c>
      <c r="F34" s="14">
        <v>0</v>
      </c>
      <c r="G34" s="15">
        <v>647.6</v>
      </c>
      <c r="H34" s="15">
        <v>650.99203799999998</v>
      </c>
      <c r="I34" s="15">
        <v>555.72978825000018</v>
      </c>
      <c r="J34" s="15">
        <v>520.46753850000005</v>
      </c>
      <c r="K34" s="15">
        <v>490.223097</v>
      </c>
      <c r="L34" s="19">
        <v>459.51858224999995</v>
      </c>
      <c r="M34" s="21">
        <v>398.81406750000002</v>
      </c>
      <c r="N34" s="22">
        <v>352.96776599999998</v>
      </c>
      <c r="O34" s="22">
        <v>326.03757274999998</v>
      </c>
      <c r="P34" s="22">
        <v>319.10737950000021</v>
      </c>
      <c r="Q34" s="22">
        <v>394.606405</v>
      </c>
      <c r="R34" s="20">
        <v>535.15261799999996</v>
      </c>
    </row>
    <row r="35" spans="1:18" x14ac:dyDescent="0.25">
      <c r="A35" s="1" t="s">
        <v>61</v>
      </c>
      <c r="B35" s="1">
        <v>870</v>
      </c>
      <c r="D35" s="12">
        <v>11</v>
      </c>
      <c r="E35" s="13">
        <v>0</v>
      </c>
      <c r="F35" s="14">
        <v>0</v>
      </c>
      <c r="G35" s="15">
        <v>661.4</v>
      </c>
      <c r="H35" s="15">
        <v>671.42151160000003</v>
      </c>
      <c r="I35" s="15">
        <v>574.81351200000006</v>
      </c>
      <c r="J35" s="15">
        <v>548.07050025000001</v>
      </c>
      <c r="K35" s="15">
        <v>508.72062150000011</v>
      </c>
      <c r="L35" s="15">
        <v>471.75459581250004</v>
      </c>
      <c r="M35" s="19">
        <v>434.78857012500009</v>
      </c>
      <c r="N35" s="22">
        <v>361.56045925000001</v>
      </c>
      <c r="O35" s="22">
        <v>343.64461950000003</v>
      </c>
      <c r="P35" s="22">
        <v>314.21999700000015</v>
      </c>
      <c r="Q35" s="15">
        <v>498.42272025</v>
      </c>
      <c r="R35" s="20">
        <v>540.20721300000002</v>
      </c>
    </row>
    <row r="36" spans="1:18" x14ac:dyDescent="0.25">
      <c r="A36" s="1" t="s">
        <v>62</v>
      </c>
      <c r="B36" s="1">
        <v>18</v>
      </c>
      <c r="D36" s="12">
        <v>10</v>
      </c>
      <c r="E36" s="13">
        <v>0</v>
      </c>
      <c r="F36" s="14">
        <v>0</v>
      </c>
      <c r="G36" s="15">
        <v>677.3</v>
      </c>
      <c r="H36" s="15">
        <v>679.66155249999997</v>
      </c>
      <c r="I36" s="15">
        <v>593.89723575000016</v>
      </c>
      <c r="J36" s="15">
        <v>578.13291900000013</v>
      </c>
      <c r="K36" s="15">
        <v>521.56827450000003</v>
      </c>
      <c r="L36" s="15">
        <v>495.94176450000009</v>
      </c>
      <c r="M36" s="15">
        <v>470.31525450000004</v>
      </c>
      <c r="N36" s="19">
        <v>373.21543350000007</v>
      </c>
      <c r="O36" s="19">
        <v>359.74288350000018</v>
      </c>
      <c r="P36" s="19">
        <v>309.33261450000026</v>
      </c>
      <c r="Q36" s="15">
        <v>504.50471662499979</v>
      </c>
      <c r="R36" s="20">
        <v>535.9552379999991</v>
      </c>
    </row>
    <row r="37" spans="1:18" x14ac:dyDescent="0.25">
      <c r="A37" s="1" t="s">
        <v>63</v>
      </c>
      <c r="B37" s="1">
        <v>0.31415900000000002</v>
      </c>
      <c r="D37" s="12">
        <v>9</v>
      </c>
      <c r="E37" s="13">
        <v>0</v>
      </c>
      <c r="F37" s="14">
        <v>0</v>
      </c>
      <c r="G37" s="15">
        <v>683</v>
      </c>
      <c r="H37" s="15">
        <v>679.68856949999997</v>
      </c>
      <c r="I37" s="15">
        <v>604.92833395312505</v>
      </c>
      <c r="J37" s="15">
        <v>590.16809840625012</v>
      </c>
      <c r="K37" s="15">
        <v>575.40786285937509</v>
      </c>
      <c r="L37" s="15">
        <v>533.46044242968753</v>
      </c>
      <c r="M37" s="15">
        <v>491.51302200000009</v>
      </c>
      <c r="N37" s="15">
        <v>394.87040775000008</v>
      </c>
      <c r="O37" s="15">
        <v>401.34726450000005</v>
      </c>
      <c r="P37" s="15">
        <v>419.3030205</v>
      </c>
      <c r="Q37" s="15">
        <v>510.58671299999969</v>
      </c>
      <c r="R37" s="20">
        <v>552.9851144999991</v>
      </c>
    </row>
    <row r="38" spans="1:18" x14ac:dyDescent="0.25">
      <c r="A38" s="1" t="s">
        <v>64</v>
      </c>
      <c r="B38" s="1">
        <v>0.32490999999999998</v>
      </c>
      <c r="D38" s="12">
        <v>8</v>
      </c>
      <c r="E38" s="13">
        <v>0</v>
      </c>
      <c r="F38" s="15">
        <v>693.5</v>
      </c>
      <c r="G38" s="15">
        <v>685.91174100000001</v>
      </c>
      <c r="H38" s="15">
        <v>688.48829499999999</v>
      </c>
      <c r="I38" s="15">
        <v>626.96707208789076</v>
      </c>
      <c r="J38" s="15">
        <v>605.44584917578129</v>
      </c>
      <c r="K38" s="15">
        <v>583.92462626367194</v>
      </c>
      <c r="L38" s="15">
        <v>536.69450946972677</v>
      </c>
      <c r="M38" s="15">
        <v>489.46439267578143</v>
      </c>
      <c r="N38" s="15">
        <v>416.52538200000015</v>
      </c>
      <c r="O38" s="15">
        <v>430.19858700000003</v>
      </c>
      <c r="P38" s="15">
        <v>494.1401692499997</v>
      </c>
      <c r="Q38" s="15">
        <v>563.03506350000009</v>
      </c>
      <c r="R38" s="20">
        <v>628.62774975000002</v>
      </c>
    </row>
    <row r="39" spans="1:18" x14ac:dyDescent="0.25">
      <c r="A39" s="1" t="s">
        <v>65</v>
      </c>
      <c r="B39" s="1">
        <v>207</v>
      </c>
      <c r="D39" s="12">
        <v>7</v>
      </c>
      <c r="E39" s="13">
        <v>0</v>
      </c>
      <c r="F39" s="15">
        <v>698.4</v>
      </c>
      <c r="G39" s="15">
        <v>698.97724800000003</v>
      </c>
      <c r="H39" s="15">
        <v>787.57302249999998</v>
      </c>
      <c r="I39" s="15">
        <v>661.67562825000005</v>
      </c>
      <c r="J39" s="15">
        <v>626.82615450000003</v>
      </c>
      <c r="K39" s="15">
        <v>615.56794775683602</v>
      </c>
      <c r="L39" s="15">
        <v>583.1946429257813</v>
      </c>
      <c r="M39" s="15">
        <v>525.11244421289075</v>
      </c>
      <c r="N39" s="15">
        <v>459.20470050000006</v>
      </c>
      <c r="O39" s="15">
        <v>464.79867524999986</v>
      </c>
      <c r="P39" s="15">
        <v>539.13705300000015</v>
      </c>
      <c r="Q39" s="15">
        <v>595.78195950000008</v>
      </c>
      <c r="R39" s="20">
        <v>664.22251349999999</v>
      </c>
    </row>
    <row r="40" spans="1:18" x14ac:dyDescent="0.25">
      <c r="A40" s="1" t="s">
        <v>66</v>
      </c>
      <c r="B40" s="1">
        <v>193</v>
      </c>
      <c r="D40" s="12">
        <v>6</v>
      </c>
      <c r="E40" s="24">
        <v>840.7</v>
      </c>
      <c r="F40" s="15">
        <v>704.5</v>
      </c>
      <c r="G40" s="15">
        <v>738.17376899999999</v>
      </c>
      <c r="H40" s="15">
        <v>787.44030450000002</v>
      </c>
      <c r="I40" s="15">
        <v>683.96983200000011</v>
      </c>
      <c r="J40" s="15">
        <v>635.8471195781251</v>
      </c>
      <c r="K40" s="15">
        <v>647.21126924999999</v>
      </c>
      <c r="L40" s="15">
        <v>603.98588250000012</v>
      </c>
      <c r="M40" s="15">
        <v>560.76049575000002</v>
      </c>
      <c r="N40" s="15">
        <v>501.88401900000008</v>
      </c>
      <c r="O40" s="15">
        <v>488.66658750000005</v>
      </c>
      <c r="P40" s="15">
        <v>587.82742200000007</v>
      </c>
      <c r="Q40" s="15">
        <v>605.09521800000005</v>
      </c>
      <c r="R40" s="20">
        <v>676.95837300000005</v>
      </c>
    </row>
    <row r="41" spans="1:18" x14ac:dyDescent="0.25">
      <c r="A41" s="1" t="s">
        <v>67</v>
      </c>
      <c r="B41" s="1">
        <f>B39*B32/B18</f>
        <v>769.73797703705122</v>
      </c>
      <c r="D41" s="12">
        <v>5</v>
      </c>
      <c r="E41" s="25">
        <v>962.5</v>
      </c>
      <c r="F41" s="26">
        <v>709.89366900000005</v>
      </c>
      <c r="G41" s="26">
        <v>750.50545199999999</v>
      </c>
      <c r="H41" s="26">
        <v>795.34446349999996</v>
      </c>
      <c r="I41" s="26">
        <v>726.49149299999999</v>
      </c>
      <c r="J41" s="26">
        <v>707.63852250000014</v>
      </c>
      <c r="K41" s="26">
        <v>688.78555200000017</v>
      </c>
      <c r="L41" s="26">
        <v>651.64144500000009</v>
      </c>
      <c r="M41" s="26">
        <v>620.28480150000007</v>
      </c>
      <c r="N41" s="26">
        <v>588.92815799999994</v>
      </c>
      <c r="O41" s="26">
        <v>571.62166424999998</v>
      </c>
      <c r="P41" s="26">
        <v>626.15539350000006</v>
      </c>
      <c r="Q41" s="26">
        <v>678.79579949999993</v>
      </c>
      <c r="R41" s="27">
        <v>732.69842100000005</v>
      </c>
    </row>
    <row r="42" spans="1:18" x14ac:dyDescent="0.25">
      <c r="A42" s="1" t="s">
        <v>68</v>
      </c>
      <c r="B42" s="1">
        <f>((B39-B40)*B32)/(B17*B38)+279.4</f>
        <v>521.69675196565026</v>
      </c>
      <c r="D42" s="12">
        <v>4</v>
      </c>
      <c r="E42" s="25">
        <v>1046.5</v>
      </c>
      <c r="F42" s="26">
        <v>741.90530775000002</v>
      </c>
      <c r="G42" s="26">
        <v>770.04351599999995</v>
      </c>
      <c r="H42" s="26">
        <v>824.23018400000001</v>
      </c>
      <c r="I42" s="26">
        <v>776.62339300000019</v>
      </c>
      <c r="J42" s="26">
        <v>756.83180300000004</v>
      </c>
      <c r="K42" s="26">
        <v>717.30149399999993</v>
      </c>
      <c r="L42" s="26">
        <v>699.29700750000006</v>
      </c>
      <c r="M42" s="26">
        <v>679.80910725000024</v>
      </c>
      <c r="N42" s="26">
        <v>660.32120700000007</v>
      </c>
      <c r="O42" s="26">
        <v>654.57674099999997</v>
      </c>
      <c r="P42" s="26">
        <v>694.73210625000002</v>
      </c>
      <c r="Q42" s="26">
        <v>736.71629849999999</v>
      </c>
      <c r="R42" s="27">
        <v>777.48127275000002</v>
      </c>
    </row>
    <row r="43" spans="1:18" x14ac:dyDescent="0.25">
      <c r="D43" s="12">
        <v>3</v>
      </c>
      <c r="E43" s="25">
        <v>1089.4000000000001</v>
      </c>
      <c r="F43" s="26">
        <v>883.70676300000002</v>
      </c>
      <c r="G43" s="26">
        <v>899.42299349999996</v>
      </c>
      <c r="H43" s="26">
        <v>862.21869000000004</v>
      </c>
      <c r="I43" s="26">
        <v>826.75529300000028</v>
      </c>
      <c r="J43" s="26">
        <v>806.02508350000016</v>
      </c>
      <c r="K43" s="26">
        <v>754.57172700000012</v>
      </c>
      <c r="L43" s="26">
        <v>746.95257000000004</v>
      </c>
      <c r="M43" s="26">
        <v>739.33341300000006</v>
      </c>
      <c r="N43" s="26">
        <v>731.71425599999998</v>
      </c>
      <c r="O43" s="26">
        <v>724.095099</v>
      </c>
      <c r="P43" s="26">
        <v>763.30881900000008</v>
      </c>
      <c r="Q43" s="26">
        <v>779.9862354375</v>
      </c>
      <c r="R43" s="27">
        <v>811.6878542500001</v>
      </c>
    </row>
    <row r="44" spans="1:18" x14ac:dyDescent="0.25">
      <c r="A44" s="1" t="s">
        <v>69</v>
      </c>
      <c r="B44" s="1">
        <v>10.199999999999999</v>
      </c>
      <c r="D44" s="12">
        <v>2</v>
      </c>
      <c r="E44" s="25">
        <v>1114.33083223379</v>
      </c>
      <c r="F44" s="26">
        <v>995.51124182499996</v>
      </c>
      <c r="G44" s="26">
        <v>973.49813099999994</v>
      </c>
      <c r="H44" s="26">
        <v>928.55602200000101</v>
      </c>
      <c r="I44" s="26">
        <v>906.88719300000105</v>
      </c>
      <c r="J44" s="26">
        <v>855.21836400000018</v>
      </c>
      <c r="K44" s="26">
        <v>833.54953499999999</v>
      </c>
      <c r="L44" s="26">
        <v>845.65189799999973</v>
      </c>
      <c r="M44" s="26">
        <v>828.30575099999987</v>
      </c>
      <c r="N44" s="26">
        <v>810.95960400000001</v>
      </c>
      <c r="O44" s="26">
        <v>793.61345700000015</v>
      </c>
      <c r="P44" s="26">
        <v>811.39196775000028</v>
      </c>
      <c r="Q44" s="26">
        <v>823.25617237500001</v>
      </c>
      <c r="R44" s="27">
        <v>839.06324774999996</v>
      </c>
    </row>
    <row r="45" spans="1:18" x14ac:dyDescent="0.25">
      <c r="A45" s="1" t="s">
        <v>70</v>
      </c>
      <c r="B45" s="1">
        <v>6.4</v>
      </c>
      <c r="D45" s="12">
        <v>1</v>
      </c>
      <c r="E45" s="25">
        <v>1242.2207836175501</v>
      </c>
      <c r="F45" s="26">
        <v>1167.3096734999999</v>
      </c>
      <c r="G45" s="26">
        <v>1097.1272429999999</v>
      </c>
      <c r="H45" s="26">
        <v>1024.893354</v>
      </c>
      <c r="I45" s="26">
        <v>1050.5262436666601</v>
      </c>
      <c r="J45" s="26">
        <v>966.15913333333356</v>
      </c>
      <c r="K45" s="26">
        <v>951.79202299999974</v>
      </c>
      <c r="L45" s="26">
        <v>944.35122599999977</v>
      </c>
      <c r="M45" s="26">
        <v>917.2780889999998</v>
      </c>
      <c r="N45" s="26">
        <v>890.20495199999982</v>
      </c>
      <c r="O45" s="26">
        <v>863.13181500000007</v>
      </c>
      <c r="P45" s="26">
        <v>859.47511650000047</v>
      </c>
      <c r="Q45" s="26">
        <v>851.8755472500003</v>
      </c>
      <c r="R45" s="27">
        <v>846.90455850000001</v>
      </c>
    </row>
    <row r="46" spans="1:18" x14ac:dyDescent="0.25">
      <c r="A46" s="1" t="s">
        <v>71</v>
      </c>
      <c r="B46" s="1">
        <f>B44+B45</f>
        <v>16.600000000000001</v>
      </c>
      <c r="D46" s="12">
        <v>0</v>
      </c>
      <c r="E46" s="25">
        <v>1570.85301</v>
      </c>
      <c r="F46" s="26">
        <v>1518.6450649999999</v>
      </c>
      <c r="G46" s="26">
        <v>1348.43712</v>
      </c>
      <c r="H46" s="26">
        <v>1257.2291749999999</v>
      </c>
      <c r="I46" s="26">
        <v>1246.0212300000001</v>
      </c>
      <c r="J46" s="26">
        <v>1112.0777849999999</v>
      </c>
      <c r="K46" s="26">
        <v>1068.1343400000001</v>
      </c>
      <c r="L46" s="26">
        <v>1024.1908950000002</v>
      </c>
      <c r="M46" s="26">
        <v>987.1404269999997</v>
      </c>
      <c r="N46" s="26">
        <v>950.34029999999973</v>
      </c>
      <c r="O46" s="26">
        <v>913.5401730000001</v>
      </c>
      <c r="P46" s="26">
        <v>907.55826525000055</v>
      </c>
      <c r="Q46" s="26">
        <v>880.49492212500047</v>
      </c>
      <c r="R46" s="27">
        <v>862.48586925000097</v>
      </c>
    </row>
    <row r="47" spans="1:18" ht="16.2" x14ac:dyDescent="0.35">
      <c r="A47" s="1" t="s">
        <v>72</v>
      </c>
      <c r="B47" s="1">
        <f>B11*0.9/1000</f>
        <v>0.27432000000000001</v>
      </c>
      <c r="D47" s="28"/>
      <c r="E47" s="29">
        <v>500</v>
      </c>
      <c r="F47" s="30">
        <v>1000</v>
      </c>
      <c r="G47" s="30">
        <v>1500</v>
      </c>
      <c r="H47" s="30">
        <v>2000</v>
      </c>
      <c r="I47" s="30">
        <v>2500</v>
      </c>
      <c r="J47" s="30">
        <v>3000</v>
      </c>
      <c r="K47" s="30">
        <v>3500</v>
      </c>
      <c r="L47" s="30">
        <v>4000</v>
      </c>
      <c r="M47" s="30">
        <v>4500</v>
      </c>
      <c r="N47" s="30">
        <v>5000</v>
      </c>
      <c r="O47" s="30">
        <v>5500</v>
      </c>
      <c r="P47" s="30">
        <v>6000</v>
      </c>
      <c r="Q47" s="30">
        <v>6500</v>
      </c>
      <c r="R47" s="31">
        <v>7000</v>
      </c>
    </row>
    <row r="48" spans="1:18" ht="16.8" x14ac:dyDescent="0.25">
      <c r="A48" s="1" t="s">
        <v>73</v>
      </c>
      <c r="B48" s="1">
        <f>B12*0.9/1000</f>
        <v>0.2286</v>
      </c>
    </row>
    <row r="49" spans="1:2" x14ac:dyDescent="0.25">
      <c r="A49" s="1" t="s">
        <v>74</v>
      </c>
      <c r="B49" s="1">
        <f>B46*B47^2</f>
        <v>1.2491742758400002</v>
      </c>
    </row>
    <row r="50" spans="1:2" x14ac:dyDescent="0.25">
      <c r="A50" s="1" t="s">
        <v>75</v>
      </c>
      <c r="B50" s="1">
        <f>B46*B48^2</f>
        <v>0.86748213600000001</v>
      </c>
    </row>
    <row r="51" spans="1:2" x14ac:dyDescent="0.25">
      <c r="A51" s="1" t="s">
        <v>76</v>
      </c>
      <c r="B51" s="1">
        <v>0.17</v>
      </c>
    </row>
    <row r="52" spans="1:2" x14ac:dyDescent="0.25">
      <c r="A52" s="1" t="s">
        <v>77</v>
      </c>
      <c r="B52" s="1">
        <f>B$18+(4*(B$50/B$14^2))+(B$51*(G7^2/B$14^2))</f>
        <v>575.20663260893332</v>
      </c>
    </row>
    <row r="53" spans="1:2" x14ac:dyDescent="0.25">
      <c r="A53" s="1" t="s">
        <v>78</v>
      </c>
      <c r="B53" s="1">
        <f>B$18+(4*(B$50/B$14^2))+(B$51*(G8^2/B$14^2))</f>
        <v>568.92541410528543</v>
      </c>
    </row>
    <row r="54" spans="1:2" x14ac:dyDescent="0.25">
      <c r="A54" s="1" t="s">
        <v>79</v>
      </c>
      <c r="B54" s="1">
        <f>B$18+(4*(B$50/B$14^2))+(B$51*(G9^2/B$14^2))</f>
        <v>565.87802352621827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9"/>
  <sheetViews>
    <sheetView tabSelected="1" topLeftCell="AM1" zoomScale="91" zoomScaleNormal="91" workbookViewId="0">
      <selection activeCell="AN137" sqref="AN137"/>
    </sheetView>
  </sheetViews>
  <sheetFormatPr defaultColWidth="9.109375" defaultRowHeight="13.8" x14ac:dyDescent="0.25"/>
  <cols>
    <col min="1" max="1" width="9.109375" style="34"/>
    <col min="2" max="2" width="9.109375" style="36"/>
    <col min="3" max="3" width="9.6640625" style="34" bestFit="1" customWidth="1"/>
    <col min="4" max="4" width="12.6640625" style="34" customWidth="1"/>
    <col min="5" max="5" width="16.5546875" style="34" bestFit="1" customWidth="1"/>
    <col min="6" max="6" width="15" style="34" bestFit="1" customWidth="1"/>
    <col min="7" max="7" width="13.6640625" style="37" bestFit="1" customWidth="1"/>
    <col min="8" max="8" width="11" style="34" customWidth="1"/>
    <col min="9" max="9" width="9.88671875" style="34" customWidth="1"/>
    <col min="10" max="10" width="6.109375" style="34" bestFit="1" customWidth="1"/>
    <col min="11" max="11" width="6.88671875" style="34" customWidth="1"/>
    <col min="12" max="12" width="7" style="34" customWidth="1"/>
    <col min="13" max="13" width="10.109375" style="34" customWidth="1"/>
    <col min="14" max="14" width="10.33203125" style="34" customWidth="1"/>
    <col min="15" max="15" width="18.88671875" style="34" customWidth="1"/>
    <col min="16" max="16" width="20.5546875" style="40" bestFit="1" customWidth="1"/>
    <col min="17" max="17" width="13.6640625" style="34" customWidth="1"/>
    <col min="18" max="18" width="12.109375" style="34" customWidth="1"/>
    <col min="19" max="19" width="8.33203125" style="34" customWidth="1"/>
    <col min="20" max="21" width="16" style="40" customWidth="1"/>
    <col min="22" max="22" width="32.44140625" style="40" bestFit="1" customWidth="1"/>
    <col min="23" max="23" width="35.5546875" style="40" bestFit="1" customWidth="1"/>
    <col min="24" max="26" width="16" style="40" customWidth="1"/>
    <col min="27" max="27" width="12" style="40" customWidth="1"/>
    <col min="28" max="28" width="10.88671875" style="40" customWidth="1"/>
    <col min="29" max="29" width="14.44140625" style="40" bestFit="1" customWidth="1"/>
    <col min="30" max="30" width="14.44140625" style="40" customWidth="1"/>
    <col min="31" max="31" width="15.5546875" style="34" bestFit="1" customWidth="1"/>
    <col min="32" max="32" width="13.6640625" style="34" bestFit="1" customWidth="1"/>
    <col min="33" max="33" width="10" style="34" customWidth="1"/>
    <col min="34" max="34" width="11.6640625" style="34" customWidth="1"/>
    <col min="35" max="35" width="14.33203125" style="34" bestFit="1" customWidth="1"/>
    <col min="36" max="36" width="13.33203125" style="34" bestFit="1" customWidth="1"/>
    <col min="37" max="37" width="23.5546875" style="34" bestFit="1" customWidth="1"/>
    <col min="38" max="38" width="9.109375" style="34" customWidth="1"/>
    <col min="39" max="16384" width="9.109375" style="34"/>
  </cols>
  <sheetData>
    <row r="1" spans="1:38" s="38" customFormat="1" x14ac:dyDescent="0.25">
      <c r="C1" s="38" t="s">
        <v>80</v>
      </c>
      <c r="D1" s="38" t="s">
        <v>81</v>
      </c>
      <c r="E1" s="38" t="s">
        <v>82</v>
      </c>
      <c r="F1" s="38" t="s">
        <v>83</v>
      </c>
      <c r="G1" s="38" t="s">
        <v>84</v>
      </c>
      <c r="H1" s="38" t="s">
        <v>85</v>
      </c>
      <c r="I1" s="38" t="s">
        <v>86</v>
      </c>
      <c r="J1" s="38" t="s">
        <v>87</v>
      </c>
      <c r="K1" s="38" t="s">
        <v>88</v>
      </c>
      <c r="L1" s="38" t="s">
        <v>89</v>
      </c>
      <c r="M1" s="38" t="s">
        <v>90</v>
      </c>
      <c r="N1" s="38" t="s">
        <v>91</v>
      </c>
      <c r="O1" s="38" t="s">
        <v>92</v>
      </c>
      <c r="P1" s="39" t="s">
        <v>93</v>
      </c>
      <c r="Q1" s="38" t="s">
        <v>94</v>
      </c>
      <c r="R1" s="38" t="s">
        <v>95</v>
      </c>
      <c r="S1" s="38" t="s">
        <v>96</v>
      </c>
      <c r="T1" s="39" t="s">
        <v>97</v>
      </c>
      <c r="U1" s="39" t="s">
        <v>98</v>
      </c>
      <c r="V1" s="39" t="s">
        <v>99</v>
      </c>
      <c r="W1" s="39" t="s">
        <v>100</v>
      </c>
      <c r="X1" s="39" t="s">
        <v>101</v>
      </c>
      <c r="Y1" s="39" t="s">
        <v>102</v>
      </c>
      <c r="Z1" s="39" t="s">
        <v>48</v>
      </c>
      <c r="AA1" s="39" t="s">
        <v>103</v>
      </c>
      <c r="AB1" s="39" t="s">
        <v>104</v>
      </c>
      <c r="AC1" s="39" t="s">
        <v>105</v>
      </c>
      <c r="AD1" s="39" t="s">
        <v>106</v>
      </c>
      <c r="AE1" s="38" t="s">
        <v>107</v>
      </c>
      <c r="AF1" s="38" t="s">
        <v>101</v>
      </c>
      <c r="AG1" s="38" t="s">
        <v>102</v>
      </c>
      <c r="AH1" s="38" t="s">
        <v>108</v>
      </c>
      <c r="AI1" s="38" t="s">
        <v>105</v>
      </c>
      <c r="AJ1" s="38" t="s">
        <v>109</v>
      </c>
      <c r="AK1" s="38" t="s">
        <v>110</v>
      </c>
    </row>
    <row r="2" spans="1:38" x14ac:dyDescent="0.25">
      <c r="A2" s="34" t="s">
        <v>111</v>
      </c>
      <c r="C2" s="34">
        <v>0</v>
      </c>
      <c r="D2" s="34">
        <v>0</v>
      </c>
      <c r="E2" s="34">
        <f>F2*3.6</f>
        <v>0</v>
      </c>
      <c r="F2" s="34">
        <f>D2/2.23694</f>
        <v>0</v>
      </c>
      <c r="G2" s="37">
        <v>0</v>
      </c>
      <c r="H2" s="34">
        <v>0</v>
      </c>
      <c r="I2" s="34">
        <v>0</v>
      </c>
      <c r="J2" s="34">
        <v>0</v>
      </c>
      <c r="K2" s="34">
        <v>0</v>
      </c>
      <c r="L2" s="34">
        <v>0</v>
      </c>
      <c r="M2" s="34">
        <v>0</v>
      </c>
      <c r="N2" s="34">
        <v>0</v>
      </c>
      <c r="O2" s="34">
        <f>K2+L2+M2+N2</f>
        <v>0</v>
      </c>
      <c r="P2" s="40">
        <f>IF(O2&gt;=0,O2,IF(O2&lt;0,-O2))</f>
        <v>0</v>
      </c>
      <c r="Q2" s="34">
        <v>521.71</v>
      </c>
      <c r="R2" s="34">
        <f>(0.5*'Specification &amp; Data'!B$18*Simulation!F2^2)/1000</f>
        <v>0</v>
      </c>
      <c r="T2" s="40">
        <f>P2*'Specification &amp; Data'!B$27*0.9</f>
        <v>0</v>
      </c>
      <c r="U2" s="40">
        <v>0</v>
      </c>
      <c r="V2" s="40">
        <f>L2*F2/(1000*3600)</f>
        <v>0</v>
      </c>
      <c r="W2" s="40">
        <f>IF(I2&lt;0,AC2,0)</f>
        <v>0</v>
      </c>
      <c r="X2" s="40">
        <f>(P2*F2)/1000</f>
        <v>0</v>
      </c>
      <c r="Y2" s="40">
        <f>X2*1000/(746)</f>
        <v>0</v>
      </c>
      <c r="Z2" s="40">
        <v>0</v>
      </c>
      <c r="AA2" s="40">
        <v>0</v>
      </c>
      <c r="AB2" s="40">
        <v>0</v>
      </c>
      <c r="AC2" s="40">
        <f>X2/3600</f>
        <v>0</v>
      </c>
      <c r="AD2" s="40">
        <v>0</v>
      </c>
      <c r="AE2" s="34">
        <v>0</v>
      </c>
      <c r="AF2" s="34">
        <f>(O2*F2)/1000</f>
        <v>0</v>
      </c>
      <c r="AG2" s="34">
        <f>AF2*1000/(746)</f>
        <v>0</v>
      </c>
      <c r="AH2" s="34">
        <v>0</v>
      </c>
      <c r="AI2" s="34">
        <f>AF2/3600</f>
        <v>0</v>
      </c>
      <c r="AJ2" s="34">
        <f t="shared" ref="AJ2:AJ65" si="0">AC2*AH2</f>
        <v>0</v>
      </c>
      <c r="AK2" s="34">
        <v>0</v>
      </c>
      <c r="AL2" s="34">
        <v>0</v>
      </c>
    </row>
    <row r="3" spans="1:38" x14ac:dyDescent="0.25">
      <c r="C3" s="34">
        <f>C2+1</f>
        <v>1</v>
      </c>
      <c r="D3" s="34">
        <v>5.7</v>
      </c>
      <c r="E3" s="34">
        <f t="shared" ref="E3:E66" si="1">F3*3.6</f>
        <v>9.1732455944281028</v>
      </c>
      <c r="F3" s="34">
        <f>D3/2.23694</f>
        <v>2.5481237762300286</v>
      </c>
      <c r="G3" s="37">
        <f>G2+((F3+F2)/2)</f>
        <v>1.2740618881150143</v>
      </c>
      <c r="H3" s="34">
        <f>(F3+F2)/2</f>
        <v>1.2740618881150143</v>
      </c>
      <c r="I3" s="34">
        <f>(H3-F2)*2</f>
        <v>2.5481237762300286</v>
      </c>
      <c r="J3" s="34">
        <f>IF(D3&lt;=10,1,IF(AND(D3&gt;10,D3&lt;=20),2,IF(D3&gt;20,3)))</f>
        <v>1</v>
      </c>
      <c r="K3" s="34">
        <v>0</v>
      </c>
      <c r="L3" s="34">
        <f>('Specification &amp; Data'!B$22*'Specification &amp; Data'!B$10*'Specification &amp; Data'!B$20*(Simulation!F3^2-'Specification &amp; Data'!B$21^2))/2</f>
        <v>0.71460779450514067</v>
      </c>
      <c r="M3" s="34">
        <f>Q3*I3</f>
        <v>1465.6976967960338</v>
      </c>
      <c r="N3" s="34">
        <f>'Specification &amp; Data'!B$23*'Specification &amp; Data'!B$18*8.91</f>
        <v>60.4296693</v>
      </c>
      <c r="O3" s="34">
        <f t="shared" ref="O3:O66" si="2">K3+L3+M3+N3</f>
        <v>1526.8419738905391</v>
      </c>
      <c r="P3" s="40">
        <f t="shared" ref="P3:P66" si="3">IF(O3&gt;=0,O3,IF(O3&lt;0,-O3))</f>
        <v>1526.8419738905391</v>
      </c>
      <c r="Q3" s="34">
        <f>IF(J3=1,'Specification &amp; Data'!B$52,IF(Simulation!J3=2,'Specification &amp; Data'!B$53,IF(Simulation!J3=3,'Specification &amp; Data'!B$54)))</f>
        <v>575.20663260893332</v>
      </c>
      <c r="R3" s="34">
        <f>(0.5*'Specification &amp; Data'!B$18*Simulation!F3^2)/1000</f>
        <v>1.6937145017731186</v>
      </c>
      <c r="T3" s="40">
        <f>P3*'Specification &amp; Data'!B$14*0.9</f>
        <v>405.20036999402765</v>
      </c>
      <c r="U3" s="40">
        <f>T3/(IF(J3=1,'Specification &amp; Data'!H$7,IF(Simulation!J3=2,'Specification &amp; Data'!H$8,IF(Simulation!J3=3,'Specification &amp; Data'!H$9))))</f>
        <v>17.827288226460666</v>
      </c>
      <c r="V3" s="40">
        <f>V2+(L3*F3/(1000*3600))</f>
        <v>5.0580808662718088E-7</v>
      </c>
      <c r="W3" s="40">
        <f>W2+(IF(I3&lt;0,AC3,0))</f>
        <v>0</v>
      </c>
      <c r="X3" s="40">
        <f t="shared" ref="X3:X66" si="4">(P3*F3)/1000</f>
        <v>3.8905823362164709</v>
      </c>
      <c r="Y3" s="40">
        <f t="shared" ref="Y3:Y66" si="5">X3*1000/(746)</f>
        <v>5.2152578233464757</v>
      </c>
      <c r="Z3" s="40">
        <f>(60*1000*X3)/(2*PI()*U3)</f>
        <v>2084.0143574807712</v>
      </c>
      <c r="AA3" s="40">
        <f>ROUND(U3,0)</f>
        <v>18</v>
      </c>
      <c r="AB3" s="40">
        <f>MROUND(Z3,500)</f>
        <v>2000</v>
      </c>
      <c r="AC3" s="40">
        <f t="shared" ref="AC3:AC66" si="6">X3/3600</f>
        <v>1.0807173156156863E-3</v>
      </c>
      <c r="AD3" s="40">
        <f>AD2+AC3</f>
        <v>1.0807173156156863E-3</v>
      </c>
      <c r="AE3" s="34">
        <f>(O3*G3)/1000</f>
        <v>1.9452911681082354</v>
      </c>
      <c r="AF3" s="34">
        <f>(O3*F3)/1000</f>
        <v>3.8905823362164709</v>
      </c>
      <c r="AG3" s="34">
        <f t="shared" ref="AG3:AG66" si="7">AF3*1000/(746)</f>
        <v>5.2152578233464757</v>
      </c>
      <c r="AH3" s="34">
        <f>INDEX('Specification &amp; Data'!E$24:R$46,MATCH(Simulation!AA3,'Specification &amp; Data'!D$24:D$46,0),MATCH(Simulation!AB3,'Specification &amp; Data'!E$47:R$47,0))</f>
        <v>0</v>
      </c>
      <c r="AI3" s="34">
        <f t="shared" ref="AI3:AI66" si="8">AF3/3600</f>
        <v>1.0807173156156863E-3</v>
      </c>
      <c r="AJ3" s="34">
        <f t="shared" si="0"/>
        <v>0</v>
      </c>
      <c r="AK3" s="34">
        <f>AK2+AJ3</f>
        <v>0</v>
      </c>
      <c r="AL3" s="34">
        <v>2.3289729133329846</v>
      </c>
    </row>
    <row r="4" spans="1:38" x14ac:dyDescent="0.25">
      <c r="C4" s="34">
        <f t="shared" ref="C4:C67" si="9">C3+1</f>
        <v>2</v>
      </c>
      <c r="D4" s="34">
        <v>6.9</v>
      </c>
      <c r="E4" s="34">
        <f t="shared" si="1"/>
        <v>11.10445519325507</v>
      </c>
      <c r="F4" s="34">
        <f t="shared" ref="F4:F67" si="10">D4/2.23694</f>
        <v>3.0845708870152975</v>
      </c>
      <c r="G4" s="37">
        <f t="shared" ref="G4:G67" si="11">G3+((F4+F3)/2)</f>
        <v>4.0904092197376771</v>
      </c>
      <c r="H4" s="34">
        <f t="shared" ref="H4:H67" si="12">(F4+F3)/2</f>
        <v>2.816347331622663</v>
      </c>
      <c r="I4" s="34">
        <f t="shared" ref="I4:I67" si="13">(H4-F3)*2</f>
        <v>0.53644711078526885</v>
      </c>
      <c r="J4" s="34">
        <f t="shared" ref="J4:J67" si="14">IF(D4&lt;=10,1,IF(AND(D4&gt;10,D4&lt;=20),2,IF(D4&gt;20,3)))</f>
        <v>1</v>
      </c>
      <c r="K4" s="34">
        <v>0</v>
      </c>
      <c r="L4" s="34">
        <f>('Specification &amp; Data'!B$22*'Specification &amp; Data'!B$10*'Specification &amp; Data'!B$20*(Simulation!F4^2-'Specification &amp; Data'!B$21^2))/2</f>
        <v>2.1351604760888061</v>
      </c>
      <c r="M4" s="34">
        <f t="shared" ref="M4:M67" si="15">Q4*I4</f>
        <v>308.56793616758591</v>
      </c>
      <c r="N4" s="34">
        <f>'Specification &amp; Data'!B$23*'Specification &amp; Data'!B$18*8.91</f>
        <v>60.4296693</v>
      </c>
      <c r="O4" s="34">
        <f t="shared" si="2"/>
        <v>371.13276594367471</v>
      </c>
      <c r="P4" s="40">
        <f t="shared" si="3"/>
        <v>371.13276594367471</v>
      </c>
      <c r="Q4" s="34">
        <f>IF(J4=1,'Specification &amp; Data'!B$52,IF(Simulation!J4=2,'Specification &amp; Data'!B$53,IF(Simulation!J4=3,'Specification &amp; Data'!B$54)))</f>
        <v>575.20663260893332</v>
      </c>
      <c r="R4" s="34">
        <f>(0.5*'Specification &amp; Data'!B$18*Simulation!F4^2)/1000</f>
        <v>2.4819251286370623</v>
      </c>
      <c r="T4" s="40">
        <f>P4*'Specification &amp; Data'!B$14*0.9</f>
        <v>98.492926346590608</v>
      </c>
      <c r="U4" s="40">
        <f>T4/(IF(J4=1,'Specification &amp; Data'!H$7,IF(Simulation!J4=2,'Specification &amp; Data'!H$8,IF(Simulation!J4=3,'Specification &amp; Data'!H$9))))</f>
        <v>4.3333173320500977</v>
      </c>
      <c r="V4" s="40">
        <f t="shared" ref="V4:V67" si="16">V3+(L4*F4/(1000*3600))</f>
        <v>2.3352674876408624E-6</v>
      </c>
      <c r="W4" s="40">
        <f t="shared" ref="W4:W67" si="17">W3+(IF(I4&lt;0,AC4,0))</f>
        <v>0</v>
      </c>
      <c r="X4" s="40">
        <f t="shared" si="4"/>
        <v>1.1447853250473214</v>
      </c>
      <c r="Y4" s="40">
        <f t="shared" si="5"/>
        <v>1.534564778883809</v>
      </c>
      <c r="Z4" s="40">
        <f t="shared" ref="Z4:Z67" si="18">(60*1000*X4)/(2*PI()*U4)</f>
        <v>2522.7542222135639</v>
      </c>
      <c r="AA4" s="40">
        <f t="shared" ref="AA4:AA67" si="19">ROUND(U4,0)</f>
        <v>4</v>
      </c>
      <c r="AB4" s="40">
        <f t="shared" ref="AB4:AB67" si="20">MROUND(Z4,500)</f>
        <v>2500</v>
      </c>
      <c r="AC4" s="40">
        <f t="shared" si="6"/>
        <v>3.1799592362425597E-4</v>
      </c>
      <c r="AD4" s="40">
        <f t="shared" ref="AD4:AD67" si="21">AD3+AC4</f>
        <v>1.3987132392399423E-3</v>
      </c>
      <c r="AE4" s="34">
        <f t="shared" ref="AE4:AE67" si="22">(O4*G4)/1000</f>
        <v>1.5180848875627524</v>
      </c>
      <c r="AF4" s="34">
        <f t="shared" ref="AF4:AF67" si="23">(O4*F4)/1000</f>
        <v>1.1447853250473214</v>
      </c>
      <c r="AG4" s="34">
        <f t="shared" si="7"/>
        <v>1.534564778883809</v>
      </c>
      <c r="AH4" s="34">
        <f>INDEX('Specification &amp; Data'!E$24:R$46,MATCH(Simulation!AA4,'Specification &amp; Data'!D$24:D$46,0),MATCH(Simulation!AB4,'Specification &amp; Data'!E$47:R$47,0))</f>
        <v>776.62339300000019</v>
      </c>
      <c r="AI4" s="34">
        <f t="shared" si="8"/>
        <v>3.1799592362425597E-4</v>
      </c>
      <c r="AJ4" s="34">
        <f t="shared" si="0"/>
        <v>0.24696307316523858</v>
      </c>
      <c r="AK4" s="34">
        <f t="shared" ref="AK4:AK67" si="24">AK3+AJ4</f>
        <v>0.24696307316523858</v>
      </c>
      <c r="AL4" s="34">
        <v>2.3289729133329846</v>
      </c>
    </row>
    <row r="5" spans="1:38" x14ac:dyDescent="0.25">
      <c r="C5" s="34">
        <f t="shared" si="9"/>
        <v>3</v>
      </c>
      <c r="D5" s="34">
        <v>8</v>
      </c>
      <c r="E5" s="34">
        <f t="shared" si="1"/>
        <v>12.87473065884646</v>
      </c>
      <c r="F5" s="34">
        <f t="shared" si="10"/>
        <v>3.5763140719017943</v>
      </c>
      <c r="G5" s="37">
        <f t="shared" si="11"/>
        <v>7.4208516991962234</v>
      </c>
      <c r="H5" s="34">
        <f t="shared" si="12"/>
        <v>3.3304424794585459</v>
      </c>
      <c r="I5" s="34">
        <f t="shared" si="13"/>
        <v>0.49174318488649682</v>
      </c>
      <c r="J5" s="34">
        <f t="shared" si="14"/>
        <v>1</v>
      </c>
      <c r="K5" s="34">
        <v>0</v>
      </c>
      <c r="L5" s="34">
        <f>('Specification &amp; Data'!B$22*'Specification &amp; Data'!B$10*'Specification &amp; Data'!B$20*(Simulation!F5^2-'Specification &amp; Data'!B$21^2))/2</f>
        <v>3.6750320667737468</v>
      </c>
      <c r="M5" s="34">
        <f t="shared" si="15"/>
        <v>282.85394148695394</v>
      </c>
      <c r="N5" s="34">
        <f>'Specification &amp; Data'!B$23*'Specification &amp; Data'!B$18*8.91</f>
        <v>60.4296693</v>
      </c>
      <c r="O5" s="34">
        <f t="shared" si="2"/>
        <v>346.95864285372767</v>
      </c>
      <c r="P5" s="40">
        <f t="shared" si="3"/>
        <v>346.95864285372767</v>
      </c>
      <c r="Q5" s="34">
        <f>IF(J5=1,'Specification &amp; Data'!B$52,IF(Simulation!J5=2,'Specification &amp; Data'!B$53,IF(Simulation!J5=3,'Specification &amp; Data'!B$54)))</f>
        <v>575.20663260893332</v>
      </c>
      <c r="R5" s="34">
        <f>(0.5*'Specification &amp; Data'!B$18*Simulation!F5^2)/1000</f>
        <v>3.3363412777309809</v>
      </c>
      <c r="T5" s="40">
        <f>P5*'Specification &amp; Data'!B$14*0.9</f>
        <v>92.077485988104655</v>
      </c>
      <c r="U5" s="40">
        <f>T5/(IF(J5=1,'Specification &amp; Data'!H$7,IF(Simulation!J5=2,'Specification &amp; Data'!H$8,IF(Simulation!J5=3,'Specification &amp; Data'!H$9))))</f>
        <v>4.0510621495780708</v>
      </c>
      <c r="V5" s="40">
        <f t="shared" si="16"/>
        <v>5.9861199585001085E-6</v>
      </c>
      <c r="W5" s="40">
        <f t="shared" si="17"/>
        <v>0</v>
      </c>
      <c r="X5" s="40">
        <f t="shared" si="4"/>
        <v>1.2408330768057352</v>
      </c>
      <c r="Y5" s="40">
        <f t="shared" si="5"/>
        <v>1.6633151163615751</v>
      </c>
      <c r="Z5" s="40">
        <f t="shared" si="18"/>
        <v>2924.9324315519584</v>
      </c>
      <c r="AA5" s="40">
        <f t="shared" si="19"/>
        <v>4</v>
      </c>
      <c r="AB5" s="40">
        <f t="shared" si="20"/>
        <v>3000</v>
      </c>
      <c r="AC5" s="40">
        <f t="shared" si="6"/>
        <v>3.4467585466825979E-4</v>
      </c>
      <c r="AD5" s="40">
        <f t="shared" si="21"/>
        <v>1.7433890939082021E-3</v>
      </c>
      <c r="AE5" s="34">
        <f t="shared" si="22"/>
        <v>2.5747286343719007</v>
      </c>
      <c r="AF5" s="34">
        <f t="shared" si="23"/>
        <v>1.2408330768057352</v>
      </c>
      <c r="AG5" s="34">
        <f t="shared" si="7"/>
        <v>1.6633151163615751</v>
      </c>
      <c r="AH5" s="34">
        <f>INDEX('Specification &amp; Data'!E$24:R$46,MATCH(Simulation!AA5,'Specification &amp; Data'!D$24:D$46,0),MATCH(Simulation!AB5,'Specification &amp; Data'!E$47:R$47,0))</f>
        <v>756.83180300000004</v>
      </c>
      <c r="AI5" s="34">
        <f t="shared" si="8"/>
        <v>3.4467585466825979E-4</v>
      </c>
      <c r="AJ5" s="34">
        <f t="shared" si="0"/>
        <v>0.26086164853914506</v>
      </c>
      <c r="AK5" s="34">
        <f t="shared" si="24"/>
        <v>0.50782472170438364</v>
      </c>
      <c r="AL5" s="34">
        <v>2.3289729133329846</v>
      </c>
    </row>
    <row r="6" spans="1:38" x14ac:dyDescent="0.25">
      <c r="C6" s="34">
        <f t="shared" si="9"/>
        <v>4</v>
      </c>
      <c r="D6" s="34">
        <v>10</v>
      </c>
      <c r="E6" s="34">
        <f t="shared" si="1"/>
        <v>16.093413323558075</v>
      </c>
      <c r="F6" s="34">
        <f t="shared" si="10"/>
        <v>4.4703925898772425</v>
      </c>
      <c r="G6" s="37">
        <f t="shared" si="11"/>
        <v>11.444205030085742</v>
      </c>
      <c r="H6" s="34">
        <f t="shared" si="12"/>
        <v>4.0233533308895186</v>
      </c>
      <c r="I6" s="34">
        <f t="shared" si="13"/>
        <v>0.89407851797544868</v>
      </c>
      <c r="J6" s="34">
        <f t="shared" si="14"/>
        <v>1</v>
      </c>
      <c r="K6" s="34">
        <v>0</v>
      </c>
      <c r="L6" s="34">
        <f>('Specification &amp; Data'!B$22*'Specification &amp; Data'!B$10*'Specification &amp; Data'!B$20*(Simulation!F6^2-'Specification &amp; Data'!B$21^2))/2</f>
        <v>7.0573003562586658</v>
      </c>
      <c r="M6" s="34">
        <f t="shared" si="15"/>
        <v>514.27989361264349</v>
      </c>
      <c r="N6" s="34">
        <f>'Specification &amp; Data'!B$23*'Specification &amp; Data'!B$18*8.91</f>
        <v>60.4296693</v>
      </c>
      <c r="O6" s="34">
        <f t="shared" si="2"/>
        <v>581.76686326890217</v>
      </c>
      <c r="P6" s="40">
        <f t="shared" si="3"/>
        <v>581.76686326890217</v>
      </c>
      <c r="Q6" s="34">
        <f>IF(J6=1,'Specification &amp; Data'!B$52,IF(Simulation!J6=2,'Specification &amp; Data'!B$53,IF(Simulation!J6=3,'Specification &amp; Data'!B$54)))</f>
        <v>575.20663260893332</v>
      </c>
      <c r="R6" s="34">
        <f>(0.5*'Specification &amp; Data'!B$18*Simulation!F6^2)/1000</f>
        <v>5.2130332464546569</v>
      </c>
      <c r="T6" s="40">
        <f>P6*'Specification &amp; Data'!B$14*0.9</f>
        <v>154.39197525213174</v>
      </c>
      <c r="U6" s="40">
        <f>T6/(IF(J6=1,'Specification &amp; Data'!H$7,IF(Simulation!J6=2,'Specification &amp; Data'!H$8,IF(Simulation!J6=3,'Specification &amp; Data'!H$9))))</f>
        <v>6.7926646826924246</v>
      </c>
      <c r="V6" s="40">
        <f t="shared" si="16"/>
        <v>1.4749704185488097E-5</v>
      </c>
      <c r="W6" s="40">
        <f t="shared" si="17"/>
        <v>0</v>
      </c>
      <c r="X6" s="40">
        <f t="shared" si="4"/>
        <v>2.6007262745934274</v>
      </c>
      <c r="Y6" s="40">
        <f t="shared" si="5"/>
        <v>3.4862282501252375</v>
      </c>
      <c r="Z6" s="40">
        <f t="shared" si="18"/>
        <v>3656.165539439949</v>
      </c>
      <c r="AA6" s="40">
        <f t="shared" si="19"/>
        <v>7</v>
      </c>
      <c r="AB6" s="40">
        <f t="shared" si="20"/>
        <v>3500</v>
      </c>
      <c r="AC6" s="40">
        <f t="shared" si="6"/>
        <v>7.2242396516484099E-4</v>
      </c>
      <c r="AD6" s="40">
        <f t="shared" si="21"/>
        <v>2.4658130590730432E-3</v>
      </c>
      <c r="AE6" s="34">
        <f t="shared" si="22"/>
        <v>6.6578592629591737</v>
      </c>
      <c r="AF6" s="34">
        <f t="shared" si="23"/>
        <v>2.6007262745934274</v>
      </c>
      <c r="AG6" s="34">
        <f t="shared" si="7"/>
        <v>3.4862282501252375</v>
      </c>
      <c r="AH6" s="34">
        <f>INDEX('Specification &amp; Data'!E$24:R$46,MATCH(Simulation!AA6,'Specification &amp; Data'!D$24:D$46,0),MATCH(Simulation!AB6,'Specification &amp; Data'!E$47:R$47,0))</f>
        <v>615.56794775683602</v>
      </c>
      <c r="AI6" s="34">
        <f t="shared" si="8"/>
        <v>7.2242396516484099E-4</v>
      </c>
      <c r="AJ6" s="34">
        <f t="shared" si="0"/>
        <v>0.44470103764687718</v>
      </c>
      <c r="AK6" s="34">
        <f t="shared" si="24"/>
        <v>0.95252575935126083</v>
      </c>
      <c r="AL6" s="34">
        <v>2.3289729133329846</v>
      </c>
    </row>
    <row r="7" spans="1:38" x14ac:dyDescent="0.25">
      <c r="C7" s="34">
        <f t="shared" si="9"/>
        <v>5</v>
      </c>
      <c r="D7" s="34">
        <v>10.1</v>
      </c>
      <c r="E7" s="34">
        <f t="shared" si="1"/>
        <v>16.254347456793653</v>
      </c>
      <c r="F7" s="34">
        <f t="shared" si="10"/>
        <v>4.5150965157760146</v>
      </c>
      <c r="G7" s="37">
        <f t="shared" si="11"/>
        <v>15.936949582912371</v>
      </c>
      <c r="H7" s="34">
        <f t="shared" si="12"/>
        <v>4.492744552826629</v>
      </c>
      <c r="I7" s="34">
        <f t="shared" si="13"/>
        <v>4.4703925898772923E-2</v>
      </c>
      <c r="J7" s="34">
        <f t="shared" si="14"/>
        <v>2</v>
      </c>
      <c r="K7" s="34">
        <v>0</v>
      </c>
      <c r="L7" s="34">
        <f>('Specification &amp; Data'!B$22*'Specification &amp; Data'!B$10*'Specification &amp; Data'!B$20*(Simulation!F7^2-'Specification &amp; Data'!B$21^2))/2</f>
        <v>7.2461436690882381</v>
      </c>
      <c r="M7" s="34">
        <f t="shared" si="15"/>
        <v>25.433199554091377</v>
      </c>
      <c r="N7" s="34">
        <f>'Specification &amp; Data'!B$23*'Specification &amp; Data'!B$18*8.91</f>
        <v>60.4296693</v>
      </c>
      <c r="O7" s="34">
        <f t="shared" si="2"/>
        <v>93.109012523179615</v>
      </c>
      <c r="P7" s="40">
        <f t="shared" si="3"/>
        <v>93.109012523179615</v>
      </c>
      <c r="Q7" s="34">
        <f>IF(J7=1,'Specification &amp; Data'!B$52,IF(Simulation!J7=2,'Specification &amp; Data'!B$53,IF(Simulation!J7=3,'Specification &amp; Data'!B$54)))</f>
        <v>568.92541410528543</v>
      </c>
      <c r="R7" s="34">
        <f>(0.5*'Specification &amp; Data'!B$18*Simulation!F7^2)/1000</f>
        <v>5.3178152147083946</v>
      </c>
      <c r="T7" s="40">
        <f>P7*'Specification &amp; Data'!B$14*0.9</f>
        <v>24.70969947730536</v>
      </c>
      <c r="U7" s="40">
        <f>T7/(IF(J7=1,'Specification &amp; Data'!H$7,IF(Simulation!J7=2,'Specification &amp; Data'!H$8,IF(Simulation!J7=3,'Specification &amp; Data'!H$9))))</f>
        <v>1.4824549010753725</v>
      </c>
      <c r="V7" s="40">
        <f t="shared" si="16"/>
        <v>2.3837770305797188E-5</v>
      </c>
      <c r="W7" s="40">
        <f t="shared" si="17"/>
        <v>0</v>
      </c>
      <c r="X7" s="40">
        <f t="shared" si="4"/>
        <v>0.42039617803075358</v>
      </c>
      <c r="Y7" s="40">
        <f t="shared" si="5"/>
        <v>0.56353375071146594</v>
      </c>
      <c r="Z7" s="40">
        <f t="shared" si="18"/>
        <v>2707.9999428785218</v>
      </c>
      <c r="AA7" s="40">
        <f t="shared" si="19"/>
        <v>1</v>
      </c>
      <c r="AB7" s="40">
        <f t="shared" si="20"/>
        <v>2500</v>
      </c>
      <c r="AC7" s="40">
        <f t="shared" si="6"/>
        <v>1.1677671611965376E-4</v>
      </c>
      <c r="AD7" s="40">
        <f t="shared" si="21"/>
        <v>2.5825897751926971E-3</v>
      </c>
      <c r="AE7" s="34">
        <f t="shared" si="22"/>
        <v>1.4838736382966702</v>
      </c>
      <c r="AF7" s="34">
        <f t="shared" si="23"/>
        <v>0.42039617803075358</v>
      </c>
      <c r="AG7" s="34">
        <f t="shared" si="7"/>
        <v>0.56353375071146594</v>
      </c>
      <c r="AH7" s="34">
        <f>INDEX('Specification &amp; Data'!E$24:R$46,MATCH(Simulation!AA7,'Specification &amp; Data'!D$24:D$46,0),MATCH(Simulation!AB7,'Specification &amp; Data'!E$47:R$47,0))</f>
        <v>1050.5262436666601</v>
      </c>
      <c r="AI7" s="34">
        <f t="shared" si="8"/>
        <v>1.1677671611965376E-4</v>
      </c>
      <c r="AJ7" s="34">
        <f t="shared" si="0"/>
        <v>0.12267700493290778</v>
      </c>
      <c r="AK7" s="34">
        <f t="shared" si="24"/>
        <v>1.0752027642841686</v>
      </c>
      <c r="AL7" s="34">
        <v>2.3289729133329846</v>
      </c>
    </row>
    <row r="8" spans="1:38" x14ac:dyDescent="0.25">
      <c r="C8" s="34">
        <f t="shared" si="9"/>
        <v>6</v>
      </c>
      <c r="D8" s="34">
        <v>11</v>
      </c>
      <c r="E8" s="34">
        <f t="shared" si="1"/>
        <v>17.702754655913882</v>
      </c>
      <c r="F8" s="34">
        <f t="shared" si="10"/>
        <v>4.9174318488649673</v>
      </c>
      <c r="G8" s="37">
        <f t="shared" si="11"/>
        <v>20.653213765232863</v>
      </c>
      <c r="H8" s="34">
        <f t="shared" si="12"/>
        <v>4.7162641823204909</v>
      </c>
      <c r="I8" s="34">
        <f t="shared" si="13"/>
        <v>0.40233533308895275</v>
      </c>
      <c r="J8" s="34">
        <f t="shared" si="14"/>
        <v>2</v>
      </c>
      <c r="K8" s="34">
        <v>0</v>
      </c>
      <c r="L8" s="34">
        <f>('Specification &amp; Data'!B$22*'Specification &amp; Data'!B$10*'Specification &amp; Data'!B$20*(Simulation!F8^2-'Specification &amp; Data'!B$21^2))/2</f>
        <v>9.0302901917915381</v>
      </c>
      <c r="M8" s="34">
        <f t="shared" si="15"/>
        <v>228.8987959868204</v>
      </c>
      <c r="N8" s="34">
        <f>'Specification &amp; Data'!B$23*'Specification &amp; Data'!B$18*8.91</f>
        <v>60.4296693</v>
      </c>
      <c r="O8" s="34">
        <f t="shared" si="2"/>
        <v>298.35875547861195</v>
      </c>
      <c r="P8" s="40">
        <f t="shared" si="3"/>
        <v>298.35875547861195</v>
      </c>
      <c r="Q8" s="34">
        <f>IF(J8=1,'Specification &amp; Data'!B$52,IF(Simulation!J8=2,'Specification &amp; Data'!B$53,IF(Simulation!J8=3,'Specification &amp; Data'!B$54)))</f>
        <v>568.92541410528543</v>
      </c>
      <c r="R8" s="34">
        <f>(0.5*'Specification &amp; Data'!B$18*Simulation!F8^2)/1000</f>
        <v>6.3077702282101367</v>
      </c>
      <c r="T8" s="40">
        <f>P8*'Specification &amp; Data'!B$14*0.9</f>
        <v>79.179823569323943</v>
      </c>
      <c r="U8" s="40">
        <f>T8/(IF(J8=1,'Specification &amp; Data'!H$7,IF(Simulation!J8=2,'Specification &amp; Data'!H$8,IF(Simulation!J8=3,'Specification &amp; Data'!H$9))))</f>
        <v>4.7503822385389904</v>
      </c>
      <c r="V8" s="40">
        <f t="shared" si="16"/>
        <v>3.6172724915132918E-5</v>
      </c>
      <c r="W8" s="40">
        <f t="shared" si="17"/>
        <v>0</v>
      </c>
      <c r="X8" s="40">
        <f t="shared" si="4"/>
        <v>1.4671588465782415</v>
      </c>
      <c r="Y8" s="40">
        <f t="shared" si="5"/>
        <v>1.9667008667268653</v>
      </c>
      <c r="Z8" s="40">
        <f t="shared" si="18"/>
        <v>2949.3068684815594</v>
      </c>
      <c r="AA8" s="40">
        <f t="shared" si="19"/>
        <v>5</v>
      </c>
      <c r="AB8" s="40">
        <f t="shared" si="20"/>
        <v>3000</v>
      </c>
      <c r="AC8" s="40">
        <f t="shared" si="6"/>
        <v>4.0754412404951152E-4</v>
      </c>
      <c r="AD8" s="40">
        <f t="shared" si="21"/>
        <v>2.9901338992422088E-3</v>
      </c>
      <c r="AE8" s="34">
        <f t="shared" si="22"/>
        <v>6.1620671556286144</v>
      </c>
      <c r="AF8" s="34">
        <f t="shared" si="23"/>
        <v>1.4671588465782415</v>
      </c>
      <c r="AG8" s="34">
        <f t="shared" si="7"/>
        <v>1.9667008667268653</v>
      </c>
      <c r="AH8" s="34">
        <f>INDEX('Specification &amp; Data'!E$24:R$46,MATCH(Simulation!AA8,'Specification &amp; Data'!D$24:D$46,0),MATCH(Simulation!AB8,'Specification &amp; Data'!E$47:R$47,0))</f>
        <v>707.63852250000014</v>
      </c>
      <c r="AI8" s="34">
        <f t="shared" si="8"/>
        <v>4.0754412404951152E-4</v>
      </c>
      <c r="AJ8" s="34">
        <f t="shared" si="0"/>
        <v>0.28839392179595308</v>
      </c>
      <c r="AK8" s="34">
        <f t="shared" si="24"/>
        <v>1.3635966860801216</v>
      </c>
      <c r="AL8" s="34">
        <v>2.3289729133329846</v>
      </c>
    </row>
    <row r="9" spans="1:38" x14ac:dyDescent="0.25">
      <c r="C9" s="34">
        <f t="shared" si="9"/>
        <v>7</v>
      </c>
      <c r="D9" s="34">
        <v>12</v>
      </c>
      <c r="E9" s="34">
        <f t="shared" si="1"/>
        <v>19.312095988269689</v>
      </c>
      <c r="F9" s="34">
        <f t="shared" si="10"/>
        <v>5.3644711078526912</v>
      </c>
      <c r="G9" s="37">
        <f t="shared" si="11"/>
        <v>25.794165243591692</v>
      </c>
      <c r="H9" s="34">
        <f t="shared" si="12"/>
        <v>5.1409514783588293</v>
      </c>
      <c r="I9" s="34">
        <f t="shared" si="13"/>
        <v>0.4470392589877239</v>
      </c>
      <c r="J9" s="34">
        <f t="shared" si="14"/>
        <v>2</v>
      </c>
      <c r="K9" s="34">
        <v>0</v>
      </c>
      <c r="L9" s="34">
        <f>('Specification &amp; Data'!B$22*'Specification &amp; Data'!B$10*'Specification &amp; Data'!B$20*(Simulation!F9^2-'Specification &amp; Data'!B$21^2))/2</f>
        <v>11.19118382118468</v>
      </c>
      <c r="M9" s="34">
        <f t="shared" si="15"/>
        <v>254.33199554091075</v>
      </c>
      <c r="N9" s="34">
        <f>'Specification &amp; Data'!B$23*'Specification &amp; Data'!B$18*8.91</f>
        <v>60.4296693</v>
      </c>
      <c r="O9" s="34">
        <f t="shared" si="2"/>
        <v>325.95284866209545</v>
      </c>
      <c r="P9" s="40">
        <f t="shared" si="3"/>
        <v>325.95284866209545</v>
      </c>
      <c r="Q9" s="34">
        <f>IF(J9=1,'Specification &amp; Data'!B$52,IF(Simulation!J9=2,'Specification &amp; Data'!B$53,IF(Simulation!J9=3,'Specification &amp; Data'!B$54)))</f>
        <v>568.92541410528543</v>
      </c>
      <c r="R9" s="34">
        <f>(0.5*'Specification &amp; Data'!B$18*Simulation!F9^2)/1000</f>
        <v>7.5067678748947078</v>
      </c>
      <c r="T9" s="40">
        <f>P9*'Specification &amp; Data'!B$14*0.9</f>
        <v>86.502871375709958</v>
      </c>
      <c r="U9" s="40">
        <f>T9/(IF(J9=1,'Specification &amp; Data'!H$7,IF(Simulation!J9=2,'Specification &amp; Data'!H$8,IF(Simulation!J9=3,'Specification &amp; Data'!H$9))))</f>
        <v>5.1897274487612757</v>
      </c>
      <c r="V9" s="40">
        <f t="shared" si="16"/>
        <v>5.2849053323858941E-5</v>
      </c>
      <c r="W9" s="40">
        <f t="shared" si="17"/>
        <v>0</v>
      </c>
      <c r="X9" s="40">
        <f t="shared" si="4"/>
        <v>1.7485646391700918</v>
      </c>
      <c r="Y9" s="40">
        <f t="shared" si="5"/>
        <v>2.3439204278419461</v>
      </c>
      <c r="Z9" s="40">
        <f t="shared" si="18"/>
        <v>3217.4256747071549</v>
      </c>
      <c r="AA9" s="40">
        <f t="shared" si="19"/>
        <v>5</v>
      </c>
      <c r="AB9" s="40">
        <f t="shared" si="20"/>
        <v>3000</v>
      </c>
      <c r="AC9" s="40">
        <f t="shared" si="6"/>
        <v>4.8571239976946993E-4</v>
      </c>
      <c r="AD9" s="40">
        <f t="shared" si="21"/>
        <v>3.4758462990116786E-3</v>
      </c>
      <c r="AE9" s="34">
        <f t="shared" si="22"/>
        <v>8.4076816400095247</v>
      </c>
      <c r="AF9" s="34">
        <f t="shared" si="23"/>
        <v>1.7485646391700918</v>
      </c>
      <c r="AG9" s="34">
        <f t="shared" si="7"/>
        <v>2.3439204278419461</v>
      </c>
      <c r="AH9" s="34">
        <f>INDEX('Specification &amp; Data'!E$24:R$46,MATCH(Simulation!AA9,'Specification &amp; Data'!D$24:D$46,0),MATCH(Simulation!AB9,'Specification &amp; Data'!E$47:R$47,0))</f>
        <v>707.63852250000014</v>
      </c>
      <c r="AI9" s="34">
        <f t="shared" si="8"/>
        <v>4.8571239976946993E-4</v>
      </c>
      <c r="AJ9" s="34">
        <f t="shared" si="0"/>
        <v>0.3437088049327971</v>
      </c>
      <c r="AK9" s="34">
        <f t="shared" si="24"/>
        <v>1.7073054910129186</v>
      </c>
      <c r="AL9" s="34">
        <v>2.3289729133329846</v>
      </c>
    </row>
    <row r="10" spans="1:38" x14ac:dyDescent="0.25">
      <c r="C10" s="34">
        <f t="shared" si="9"/>
        <v>8</v>
      </c>
      <c r="D10" s="34">
        <v>14</v>
      </c>
      <c r="E10" s="34">
        <f t="shared" si="1"/>
        <v>22.530778652981304</v>
      </c>
      <c r="F10" s="34">
        <f t="shared" si="10"/>
        <v>6.2585496258281399</v>
      </c>
      <c r="G10" s="37">
        <f t="shared" si="11"/>
        <v>31.605675610432108</v>
      </c>
      <c r="H10" s="34">
        <f t="shared" si="12"/>
        <v>5.811510366840416</v>
      </c>
      <c r="I10" s="34">
        <f t="shared" si="13"/>
        <v>0.89407851797544957</v>
      </c>
      <c r="J10" s="34">
        <f t="shared" si="14"/>
        <v>2</v>
      </c>
      <c r="K10" s="34">
        <v>0</v>
      </c>
      <c r="L10" s="34">
        <f>('Specification &amp; Data'!B$22*'Specification &amp; Data'!B$10*'Specification &amp; Data'!B$20*(Simulation!F10^2-'Specification &amp; Data'!B$21^2))/2</f>
        <v>16.076682461551783</v>
      </c>
      <c r="M10" s="34">
        <f t="shared" si="15"/>
        <v>508.66399108182253</v>
      </c>
      <c r="N10" s="34">
        <f>'Specification &amp; Data'!B$23*'Specification &amp; Data'!B$18*8.91</f>
        <v>60.4296693</v>
      </c>
      <c r="O10" s="34">
        <f t="shared" si="2"/>
        <v>585.17034284337433</v>
      </c>
      <c r="P10" s="40">
        <f t="shared" si="3"/>
        <v>585.17034284337433</v>
      </c>
      <c r="Q10" s="34">
        <f>IF(J10=1,'Specification &amp; Data'!B$52,IF(Simulation!J10=2,'Specification &amp; Data'!B$53,IF(Simulation!J10=3,'Specification &amp; Data'!B$54)))</f>
        <v>568.92541410528543</v>
      </c>
      <c r="R10" s="34">
        <f>(0.5*'Specification &amp; Data'!B$18*Simulation!F10^2)/1000</f>
        <v>10.217545163051129</v>
      </c>
      <c r="T10" s="40">
        <f>P10*'Specification &amp; Data'!B$14*0.9</f>
        <v>155.29520636997242</v>
      </c>
      <c r="U10" s="40">
        <f>T10/(IF(J10=1,'Specification &amp; Data'!H$7,IF(Simulation!J10=2,'Specification &amp; Data'!H$8,IF(Simulation!J10=3,'Specification &amp; Data'!H$9))))</f>
        <v>9.3169137895878098</v>
      </c>
      <c r="V10" s="40">
        <f t="shared" si="16"/>
        <v>8.0798140825054141E-5</v>
      </c>
      <c r="W10" s="40">
        <f t="shared" si="17"/>
        <v>0</v>
      </c>
      <c r="X10" s="40">
        <f t="shared" si="4"/>
        <v>3.6623176302481246</v>
      </c>
      <c r="Y10" s="40">
        <f t="shared" si="5"/>
        <v>4.9092729627990952</v>
      </c>
      <c r="Z10" s="40">
        <f t="shared" si="18"/>
        <v>3753.6632871583474</v>
      </c>
      <c r="AA10" s="40">
        <f t="shared" si="19"/>
        <v>9</v>
      </c>
      <c r="AB10" s="40">
        <f t="shared" si="20"/>
        <v>4000</v>
      </c>
      <c r="AC10" s="40">
        <f t="shared" si="6"/>
        <v>1.0173104528467013E-3</v>
      </c>
      <c r="AD10" s="40">
        <f t="shared" si="21"/>
        <v>4.4931567518583801E-3</v>
      </c>
      <c r="AE10" s="34">
        <f t="shared" si="22"/>
        <v>18.494704032753031</v>
      </c>
      <c r="AF10" s="34">
        <f t="shared" si="23"/>
        <v>3.6623176302481246</v>
      </c>
      <c r="AG10" s="34">
        <f t="shared" si="7"/>
        <v>4.9092729627990952</v>
      </c>
      <c r="AH10" s="34">
        <f>INDEX('Specification &amp; Data'!E$24:R$46,MATCH(Simulation!AA10,'Specification &amp; Data'!D$24:D$46,0),MATCH(Simulation!AB10,'Specification &amp; Data'!E$47:R$47,0))</f>
        <v>533.46044242968753</v>
      </c>
      <c r="AI10" s="34">
        <f t="shared" si="8"/>
        <v>1.0173104528467013E-3</v>
      </c>
      <c r="AJ10" s="34">
        <f t="shared" si="0"/>
        <v>0.54269488426394707</v>
      </c>
      <c r="AK10" s="34">
        <f t="shared" si="24"/>
        <v>2.2500003752768656</v>
      </c>
      <c r="AL10" s="34">
        <v>2.3289729133329846</v>
      </c>
    </row>
    <row r="11" spans="1:38" x14ac:dyDescent="0.25">
      <c r="C11" s="34">
        <f t="shared" si="9"/>
        <v>9</v>
      </c>
      <c r="D11" s="34">
        <v>16</v>
      </c>
      <c r="E11" s="34">
        <f t="shared" si="1"/>
        <v>25.749461317692919</v>
      </c>
      <c r="F11" s="34">
        <f t="shared" si="10"/>
        <v>7.1526281438035886</v>
      </c>
      <c r="G11" s="37">
        <f t="shared" si="11"/>
        <v>38.311264495247968</v>
      </c>
      <c r="H11" s="34">
        <f t="shared" si="12"/>
        <v>6.7055888848158638</v>
      </c>
      <c r="I11" s="34">
        <f t="shared" si="13"/>
        <v>0.8940785179754478</v>
      </c>
      <c r="J11" s="34">
        <f t="shared" si="14"/>
        <v>2</v>
      </c>
      <c r="K11" s="34">
        <v>0</v>
      </c>
      <c r="L11" s="34">
        <f>('Specification &amp; Data'!B$22*'Specification &amp; Data'!B$10*'Specification &amp; Data'!B$20*(Simulation!F11^2-'Specification &amp; Data'!B$21^2))/2</f>
        <v>21.713796277359986</v>
      </c>
      <c r="M11" s="34">
        <f t="shared" si="15"/>
        <v>508.66399108182151</v>
      </c>
      <c r="N11" s="34">
        <f>'Specification &amp; Data'!B$23*'Specification &amp; Data'!B$18*8.91</f>
        <v>60.4296693</v>
      </c>
      <c r="O11" s="34">
        <f t="shared" si="2"/>
        <v>590.80745665918153</v>
      </c>
      <c r="P11" s="40">
        <f t="shared" si="3"/>
        <v>590.80745665918153</v>
      </c>
      <c r="Q11" s="34">
        <f>IF(J11=1,'Specification &amp; Data'!B$52,IF(Simulation!J11=2,'Specification &amp; Data'!B$53,IF(Simulation!J11=3,'Specification &amp; Data'!B$54)))</f>
        <v>568.92541410528543</v>
      </c>
      <c r="R11" s="34">
        <f>(0.5*'Specification &amp; Data'!B$18*Simulation!F11^2)/1000</f>
        <v>13.345365110923924</v>
      </c>
      <c r="T11" s="40">
        <f>P11*'Specification &amp; Data'!B$14*0.9</f>
        <v>156.79120965185973</v>
      </c>
      <c r="U11" s="40">
        <f>T11/(IF(J11=1,'Specification &amp; Data'!H$7,IF(Simulation!J11=2,'Specification &amp; Data'!H$8,IF(Simulation!J11=3,'Specification &amp; Data'!H$9))))</f>
        <v>9.4066662934292911</v>
      </c>
      <c r="V11" s="40">
        <f t="shared" si="16"/>
        <v>1.2394000481457155E-4</v>
      </c>
      <c r="W11" s="40">
        <f t="shared" si="17"/>
        <v>0</v>
      </c>
      <c r="X11" s="40">
        <f t="shared" si="4"/>
        <v>4.2258260420694809</v>
      </c>
      <c r="Y11" s="40">
        <f t="shared" si="5"/>
        <v>5.6646461689939418</v>
      </c>
      <c r="Z11" s="40">
        <f t="shared" si="18"/>
        <v>4289.9008996095399</v>
      </c>
      <c r="AA11" s="40">
        <f t="shared" si="19"/>
        <v>9</v>
      </c>
      <c r="AB11" s="40">
        <f t="shared" si="20"/>
        <v>4500</v>
      </c>
      <c r="AC11" s="40">
        <f t="shared" si="6"/>
        <v>1.1738405672415224E-3</v>
      </c>
      <c r="AD11" s="40">
        <f t="shared" si="21"/>
        <v>5.6669973190999028E-3</v>
      </c>
      <c r="AE11" s="34">
        <f t="shared" si="22"/>
        <v>22.634580737834654</v>
      </c>
      <c r="AF11" s="34">
        <f t="shared" si="23"/>
        <v>4.2258260420694809</v>
      </c>
      <c r="AG11" s="34">
        <f t="shared" si="7"/>
        <v>5.6646461689939418</v>
      </c>
      <c r="AH11" s="34">
        <f>INDEX('Specification &amp; Data'!E$24:R$46,MATCH(Simulation!AA11,'Specification &amp; Data'!D$24:D$46,0),MATCH(Simulation!AB11,'Specification &amp; Data'!E$47:R$47,0))</f>
        <v>491.51302200000009</v>
      </c>
      <c r="AI11" s="34">
        <f t="shared" si="8"/>
        <v>1.1738405672415224E-3</v>
      </c>
      <c r="AJ11" s="34">
        <f t="shared" si="0"/>
        <v>0.57695792455107497</v>
      </c>
      <c r="AK11" s="34">
        <f t="shared" si="24"/>
        <v>2.8269582998279406</v>
      </c>
      <c r="AL11" s="34">
        <v>2.3289729133329846</v>
      </c>
    </row>
    <row r="12" spans="1:38" x14ac:dyDescent="0.25">
      <c r="C12" s="34">
        <f t="shared" si="9"/>
        <v>10</v>
      </c>
      <c r="D12" s="34">
        <v>18</v>
      </c>
      <c r="E12" s="34">
        <f t="shared" si="1"/>
        <v>28.968143982404534</v>
      </c>
      <c r="F12" s="34">
        <f t="shared" si="10"/>
        <v>8.0467066617790373</v>
      </c>
      <c r="G12" s="37">
        <f t="shared" si="11"/>
        <v>45.91093189803928</v>
      </c>
      <c r="H12" s="34">
        <f t="shared" si="12"/>
        <v>7.5996674027913134</v>
      </c>
      <c r="I12" s="34">
        <f t="shared" si="13"/>
        <v>0.89407851797544957</v>
      </c>
      <c r="J12" s="34">
        <f t="shared" si="14"/>
        <v>2</v>
      </c>
      <c r="K12" s="34">
        <v>0</v>
      </c>
      <c r="L12" s="34">
        <f>('Specification &amp; Data'!B$22*'Specification &amp; Data'!B$10*'Specification &amp; Data'!B$20*(Simulation!F12^2-'Specification &amp; Data'!B$21^2))/2</f>
        <v>28.102525268609277</v>
      </c>
      <c r="M12" s="34">
        <f t="shared" si="15"/>
        <v>508.66399108182253</v>
      </c>
      <c r="N12" s="34">
        <f>'Specification &amp; Data'!B$23*'Specification &amp; Data'!B$18*8.91</f>
        <v>60.4296693</v>
      </c>
      <c r="O12" s="34">
        <f t="shared" si="2"/>
        <v>597.19618565043186</v>
      </c>
      <c r="P12" s="40">
        <f t="shared" si="3"/>
        <v>597.19618565043186</v>
      </c>
      <c r="Q12" s="34">
        <f>IF(J12=1,'Specification &amp; Data'!B$52,IF(Simulation!J12=2,'Specification &amp; Data'!B$53,IF(Simulation!J12=3,'Specification &amp; Data'!B$54)))</f>
        <v>568.92541410528543</v>
      </c>
      <c r="R12" s="34">
        <f>(0.5*'Specification &amp; Data'!B$18*Simulation!F12^2)/1000</f>
        <v>16.890227718513092</v>
      </c>
      <c r="T12" s="40">
        <f>P12*'Specification &amp; Data'!B$14*0.9</f>
        <v>158.48668003799924</v>
      </c>
      <c r="U12" s="40">
        <f>T12/(IF(J12=1,'Specification &amp; Data'!H$7,IF(Simulation!J12=2,'Specification &amp; Data'!H$8,IF(Simulation!J12=3,'Specification &amp; Data'!H$9))))</f>
        <v>9.5083857977830011</v>
      </c>
      <c r="V12" s="40">
        <f t="shared" si="16"/>
        <v>1.8675466517338601E-4</v>
      </c>
      <c r="W12" s="40">
        <f t="shared" si="17"/>
        <v>0</v>
      </c>
      <c r="X12" s="40">
        <f t="shared" si="4"/>
        <v>4.8054625254623611</v>
      </c>
      <c r="Y12" s="40">
        <f t="shared" si="5"/>
        <v>6.441638774078231</v>
      </c>
      <c r="Z12" s="40">
        <f t="shared" si="18"/>
        <v>4826.1385120607338</v>
      </c>
      <c r="AA12" s="40">
        <f t="shared" si="19"/>
        <v>10</v>
      </c>
      <c r="AB12" s="40">
        <f t="shared" si="20"/>
        <v>5000</v>
      </c>
      <c r="AC12" s="40">
        <f t="shared" si="6"/>
        <v>1.3348507015173226E-3</v>
      </c>
      <c r="AD12" s="40">
        <f t="shared" si="21"/>
        <v>7.0018480206172256E-3</v>
      </c>
      <c r="AE12" s="34">
        <f t="shared" si="22"/>
        <v>27.417833409165802</v>
      </c>
      <c r="AF12" s="34">
        <f t="shared" si="23"/>
        <v>4.8054625254623611</v>
      </c>
      <c r="AG12" s="34">
        <f t="shared" si="7"/>
        <v>6.441638774078231</v>
      </c>
      <c r="AH12" s="34">
        <f>INDEX('Specification &amp; Data'!E$24:R$46,MATCH(Simulation!AA12,'Specification &amp; Data'!D$24:D$46,0),MATCH(Simulation!AB12,'Specification &amp; Data'!E$47:R$47,0))</f>
        <v>373.21543350000007</v>
      </c>
      <c r="AI12" s="34">
        <f t="shared" si="8"/>
        <v>1.3348507015173226E-3</v>
      </c>
      <c r="AJ12" s="34">
        <f t="shared" si="0"/>
        <v>0.49818688322456678</v>
      </c>
      <c r="AK12" s="34">
        <f t="shared" si="24"/>
        <v>3.3251451830525074</v>
      </c>
      <c r="AL12" s="34">
        <v>2.3289729133329846</v>
      </c>
    </row>
    <row r="13" spans="1:38" x14ac:dyDescent="0.25">
      <c r="C13" s="34">
        <f t="shared" si="9"/>
        <v>11</v>
      </c>
      <c r="D13" s="34">
        <v>20</v>
      </c>
      <c r="E13" s="34">
        <f>F13*3.6</f>
        <v>32.186826647116149</v>
      </c>
      <c r="F13" s="34">
        <f t="shared" si="10"/>
        <v>8.9407851797544851</v>
      </c>
      <c r="G13" s="37">
        <f t="shared" si="11"/>
        <v>54.404677818806043</v>
      </c>
      <c r="H13" s="34">
        <f t="shared" si="12"/>
        <v>8.4937459207667612</v>
      </c>
      <c r="I13" s="34">
        <f t="shared" si="13"/>
        <v>0.8940785179754478</v>
      </c>
      <c r="J13" s="34">
        <f t="shared" si="14"/>
        <v>2</v>
      </c>
      <c r="K13" s="34">
        <v>0</v>
      </c>
      <c r="L13" s="34">
        <f>('Specification &amp; Data'!B$22*'Specification &amp; Data'!B$10*'Specification &amp; Data'!B$20*(Simulation!F13^2-'Specification &amp; Data'!B$21^2))/2</f>
        <v>35.24286943529966</v>
      </c>
      <c r="M13" s="34">
        <f t="shared" si="15"/>
        <v>508.66399108182151</v>
      </c>
      <c r="N13" s="34">
        <f>'Specification &amp; Data'!B$23*'Specification &amp; Data'!B$18*8.91</f>
        <v>60.4296693</v>
      </c>
      <c r="O13" s="34">
        <f t="shared" si="2"/>
        <v>604.33652981712112</v>
      </c>
      <c r="P13" s="40">
        <f t="shared" si="3"/>
        <v>604.33652981712112</v>
      </c>
      <c r="Q13" s="34">
        <f>IF(J13=1,'Specification &amp; Data'!B$52,IF(Simulation!J13=2,'Specification &amp; Data'!B$53,IF(Simulation!J13=3,'Specification &amp; Data'!B$54)))</f>
        <v>568.92541410528543</v>
      </c>
      <c r="R13" s="34">
        <f>(0.5*'Specification &amp; Data'!B$18*Simulation!F13^2)/1000</f>
        <v>20.852132985818628</v>
      </c>
      <c r="T13" s="40">
        <f>P13*'Specification &amp; Data'!B$14*0.9</f>
        <v>160.38161752838985</v>
      </c>
      <c r="U13" s="40">
        <f>T13/(IF(J13=1,'Specification &amp; Data'!H$7,IF(Simulation!J13=2,'Specification &amp; Data'!H$8,IF(Simulation!J13=3,'Specification &amp; Data'!H$9))))</f>
        <v>9.6220723026488795</v>
      </c>
      <c r="V13" s="40">
        <f t="shared" si="16"/>
        <v>2.7428214426759422E-4</v>
      </c>
      <c r="W13" s="40">
        <f t="shared" si="17"/>
        <v>0</v>
      </c>
      <c r="X13" s="40">
        <f t="shared" si="4"/>
        <v>5.4032430893731709</v>
      </c>
      <c r="Y13" s="40">
        <f t="shared" si="5"/>
        <v>7.2429532029130979</v>
      </c>
      <c r="Z13" s="40">
        <f t="shared" si="18"/>
        <v>5362.376124511924</v>
      </c>
      <c r="AA13" s="40">
        <f t="shared" si="19"/>
        <v>10</v>
      </c>
      <c r="AB13" s="40">
        <f t="shared" si="20"/>
        <v>5500</v>
      </c>
      <c r="AC13" s="40">
        <f t="shared" si="6"/>
        <v>1.5009008581592142E-3</v>
      </c>
      <c r="AD13" s="40">
        <f t="shared" si="21"/>
        <v>8.5027488787764397E-3</v>
      </c>
      <c r="AE13" s="34">
        <f t="shared" si="22"/>
        <v>32.878734198835744</v>
      </c>
      <c r="AF13" s="34">
        <f t="shared" si="23"/>
        <v>5.4032430893731709</v>
      </c>
      <c r="AG13" s="34">
        <f t="shared" si="7"/>
        <v>7.2429532029130979</v>
      </c>
      <c r="AH13" s="34">
        <f>INDEX('Specification &amp; Data'!E$24:R$46,MATCH(Simulation!AA13,'Specification &amp; Data'!D$24:D$46,0),MATCH(Simulation!AB13,'Specification &amp; Data'!E$47:R$47,0))</f>
        <v>359.74288350000018</v>
      </c>
      <c r="AI13" s="34">
        <f t="shared" si="8"/>
        <v>1.5009008581592142E-3</v>
      </c>
      <c r="AJ13" s="34">
        <f t="shared" si="0"/>
        <v>0.53993840256182046</v>
      </c>
      <c r="AK13" s="34">
        <f t="shared" si="24"/>
        <v>3.865083585614328</v>
      </c>
      <c r="AL13" s="34">
        <v>2.3289729133329846</v>
      </c>
    </row>
    <row r="14" spans="1:38" x14ac:dyDescent="0.25">
      <c r="C14" s="34">
        <f t="shared" si="9"/>
        <v>12</v>
      </c>
      <c r="D14" s="34">
        <v>20.2</v>
      </c>
      <c r="E14" s="34">
        <f t="shared" si="1"/>
        <v>32.508694913587306</v>
      </c>
      <c r="F14" s="34">
        <f t="shared" si="10"/>
        <v>9.0301930315520291</v>
      </c>
      <c r="G14" s="37">
        <f t="shared" si="11"/>
        <v>63.390166924459301</v>
      </c>
      <c r="H14" s="34">
        <f t="shared" si="12"/>
        <v>8.985489105653258</v>
      </c>
      <c r="I14" s="34">
        <f t="shared" si="13"/>
        <v>8.9407851797545845E-2</v>
      </c>
      <c r="J14" s="34">
        <f t="shared" si="14"/>
        <v>3</v>
      </c>
      <c r="K14" s="34">
        <v>0</v>
      </c>
      <c r="L14" s="34">
        <f>('Specification &amp; Data'!B$22*'Specification &amp; Data'!B$10*'Specification &amp; Data'!B$20*(Simulation!F14^2-'Specification &amp; Data'!B$21^2))/2</f>
        <v>35.998242686617957</v>
      </c>
      <c r="M14" s="34">
        <f t="shared" si="15"/>
        <v>50.593938462920285</v>
      </c>
      <c r="N14" s="34">
        <f>'Specification &amp; Data'!B$23*'Specification &amp; Data'!B$18*8.91</f>
        <v>60.4296693</v>
      </c>
      <c r="O14" s="34">
        <f t="shared" si="2"/>
        <v>147.02185044953825</v>
      </c>
      <c r="P14" s="40">
        <f t="shared" si="3"/>
        <v>147.02185044953825</v>
      </c>
      <c r="Q14" s="34">
        <f>IF(J14=1,'Specification &amp; Data'!B$52,IF(Simulation!J14=2,'Specification &amp; Data'!B$53,IF(Simulation!J14=3,'Specification &amp; Data'!B$54)))</f>
        <v>565.87802352621827</v>
      </c>
      <c r="R14" s="34">
        <f>(0.5*'Specification &amp; Data'!B$18*Simulation!F14^2)/1000</f>
        <v>21.271260858833578</v>
      </c>
      <c r="T14" s="40">
        <f>P14*'Specification &amp; Data'!B$14*0.9</f>
        <v>39.017337234685151</v>
      </c>
      <c r="U14" s="40">
        <f>T14/(IF(J14=1,'Specification &amp; Data'!H$7,IF(Simulation!J14=2,'Specification &amp; Data'!H$8,IF(Simulation!J14=3,'Specification &amp; Data'!H$9))))</f>
        <v>3.0657447542554013</v>
      </c>
      <c r="V14" s="40">
        <f t="shared" si="16"/>
        <v>3.6457966656115433E-4</v>
      </c>
      <c r="W14" s="40">
        <f t="shared" si="17"/>
        <v>0</v>
      </c>
      <c r="X14" s="40">
        <f t="shared" si="4"/>
        <v>1.3276356894153047</v>
      </c>
      <c r="Y14" s="40">
        <f t="shared" si="5"/>
        <v>1.7796725059186391</v>
      </c>
      <c r="Z14" s="40">
        <f t="shared" si="18"/>
        <v>4135.3693708982355</v>
      </c>
      <c r="AA14" s="40">
        <f t="shared" si="19"/>
        <v>3</v>
      </c>
      <c r="AB14" s="40">
        <f t="shared" si="20"/>
        <v>4000</v>
      </c>
      <c r="AC14" s="40">
        <f t="shared" si="6"/>
        <v>3.687876915042513E-4</v>
      </c>
      <c r="AD14" s="40">
        <f t="shared" si="21"/>
        <v>8.8715365702806918E-3</v>
      </c>
      <c r="AE14" s="34">
        <f t="shared" si="22"/>
        <v>9.3197396415391207</v>
      </c>
      <c r="AF14" s="34">
        <f t="shared" si="23"/>
        <v>1.3276356894153047</v>
      </c>
      <c r="AG14" s="34">
        <f t="shared" si="7"/>
        <v>1.7796725059186391</v>
      </c>
      <c r="AH14" s="34">
        <f>INDEX('Specification &amp; Data'!E$24:R$46,MATCH(Simulation!AA14,'Specification &amp; Data'!D$24:D$46,0),MATCH(Simulation!AB14,'Specification &amp; Data'!E$47:R$47,0))</f>
        <v>746.95257000000004</v>
      </c>
      <c r="AI14" s="34">
        <f t="shared" si="8"/>
        <v>3.687876915042513E-4</v>
      </c>
      <c r="AJ14" s="34">
        <f t="shared" si="0"/>
        <v>0.27546691395346767</v>
      </c>
      <c r="AK14" s="34">
        <f t="shared" si="24"/>
        <v>4.1405504995677953</v>
      </c>
      <c r="AL14" s="34">
        <v>2.3289729133329846</v>
      </c>
    </row>
    <row r="15" spans="1:38" x14ac:dyDescent="0.25">
      <c r="C15" s="34">
        <f t="shared" si="9"/>
        <v>13</v>
      </c>
      <c r="D15" s="34">
        <v>22</v>
      </c>
      <c r="E15" s="34">
        <f t="shared" si="1"/>
        <v>35.405509311827764</v>
      </c>
      <c r="F15" s="34">
        <f t="shared" si="10"/>
        <v>9.8348636977299346</v>
      </c>
      <c r="G15" s="37">
        <f t="shared" si="11"/>
        <v>72.822695289100281</v>
      </c>
      <c r="H15" s="34">
        <f t="shared" si="12"/>
        <v>9.4325283646409819</v>
      </c>
      <c r="I15" s="34">
        <f t="shared" si="13"/>
        <v>0.8046706661779055</v>
      </c>
      <c r="J15" s="34">
        <f t="shared" si="14"/>
        <v>3</v>
      </c>
      <c r="K15" s="34">
        <v>0</v>
      </c>
      <c r="L15" s="34">
        <f>('Specification &amp; Data'!B$22*'Specification &amp; Data'!B$10*'Specification &amp; Data'!B$20*(Simulation!F15^2-'Specification &amp; Data'!B$21^2))/2</f>
        <v>43.134828777431153</v>
      </c>
      <c r="M15" s="34">
        <f t="shared" si="15"/>
        <v>455.34544616627852</v>
      </c>
      <c r="N15" s="34">
        <f>'Specification &amp; Data'!B$23*'Specification &amp; Data'!B$18*8.91</f>
        <v>60.4296693</v>
      </c>
      <c r="O15" s="34">
        <f t="shared" si="2"/>
        <v>558.90994424370967</v>
      </c>
      <c r="P15" s="40">
        <f t="shared" si="3"/>
        <v>558.90994424370967</v>
      </c>
      <c r="Q15" s="34">
        <f>IF(J15=1,'Specification &amp; Data'!B$52,IF(Simulation!J15=2,'Specification &amp; Data'!B$53,IF(Simulation!J15=3,'Specification &amp; Data'!B$54)))</f>
        <v>565.87802352621827</v>
      </c>
      <c r="R15" s="34">
        <f>(0.5*'Specification &amp; Data'!B$18*Simulation!F15^2)/1000</f>
        <v>25.231080912840547</v>
      </c>
      <c r="T15" s="40">
        <f>P15*'Specification &amp; Data'!B$14*0.9</f>
        <v>148.32610058775373</v>
      </c>
      <c r="U15" s="40">
        <f>T15/(IF(J15=1,'Specification &amp; Data'!H$7,IF(Simulation!J15=2,'Specification &amp; Data'!H$8,IF(Simulation!J15=3,'Specification &amp; Data'!H$9))))</f>
        <v>11.654561716011331</v>
      </c>
      <c r="V15" s="40">
        <f t="shared" si="16"/>
        <v>4.8241998924197489E-4</v>
      </c>
      <c r="W15" s="40">
        <f t="shared" si="17"/>
        <v>0</v>
      </c>
      <c r="X15" s="40">
        <f t="shared" si="4"/>
        <v>5.4968031209427215</v>
      </c>
      <c r="Y15" s="40">
        <f t="shared" si="5"/>
        <v>7.3683687948293857</v>
      </c>
      <c r="Z15" s="40">
        <f t="shared" si="18"/>
        <v>4503.8676316713454</v>
      </c>
      <c r="AA15" s="40">
        <f t="shared" si="19"/>
        <v>12</v>
      </c>
      <c r="AB15" s="40">
        <f t="shared" si="20"/>
        <v>4500</v>
      </c>
      <c r="AC15" s="40">
        <f t="shared" si="6"/>
        <v>1.5268897558174226E-3</v>
      </c>
      <c r="AD15" s="40">
        <f t="shared" si="21"/>
        <v>1.0398426326098114E-2</v>
      </c>
      <c r="AE15" s="34">
        <f t="shared" si="22"/>
        <v>40.701328563707698</v>
      </c>
      <c r="AF15" s="34">
        <f t="shared" si="23"/>
        <v>5.4968031209427215</v>
      </c>
      <c r="AG15" s="34">
        <f t="shared" si="7"/>
        <v>7.3683687948293857</v>
      </c>
      <c r="AH15" s="34">
        <f>INDEX('Specification &amp; Data'!E$24:R$46,MATCH(Simulation!AA15,'Specification &amp; Data'!D$24:D$46,0),MATCH(Simulation!AB15,'Specification &amp; Data'!E$47:R$47,0))</f>
        <v>398.81406750000002</v>
      </c>
      <c r="AI15" s="34">
        <f t="shared" si="8"/>
        <v>1.5268897558174226E-3</v>
      </c>
      <c r="AJ15" s="34">
        <f t="shared" si="0"/>
        <v>0.60894511414162811</v>
      </c>
      <c r="AK15" s="34">
        <f t="shared" si="24"/>
        <v>4.7494956137094233</v>
      </c>
      <c r="AL15" s="34">
        <v>2.3289729133329846</v>
      </c>
    </row>
    <row r="16" spans="1:38" x14ac:dyDescent="0.25">
      <c r="C16" s="34">
        <f t="shared" si="9"/>
        <v>14</v>
      </c>
      <c r="D16" s="34">
        <v>23</v>
      </c>
      <c r="E16" s="34">
        <f t="shared" si="1"/>
        <v>37.014850644183575</v>
      </c>
      <c r="F16" s="34">
        <f t="shared" si="10"/>
        <v>10.281902956717659</v>
      </c>
      <c r="G16" s="37">
        <f t="shared" si="11"/>
        <v>82.881078616324075</v>
      </c>
      <c r="H16" s="34">
        <f t="shared" si="12"/>
        <v>10.058383327223797</v>
      </c>
      <c r="I16" s="34">
        <f t="shared" si="13"/>
        <v>0.44703925898772567</v>
      </c>
      <c r="J16" s="34">
        <f t="shared" si="14"/>
        <v>3</v>
      </c>
      <c r="K16" s="34">
        <v>0</v>
      </c>
      <c r="L16" s="34">
        <f>('Specification &amp; Data'!B$22*'Specification &amp; Data'!B$10*'Specification &amp; Data'!B$20*(Simulation!F16^2-'Specification &amp; Data'!B$21^2))/2</f>
        <v>47.362664139287297</v>
      </c>
      <c r="M16" s="34">
        <f t="shared" si="15"/>
        <v>252.9696923145994</v>
      </c>
      <c r="N16" s="34">
        <f>'Specification &amp; Data'!B$23*'Specification &amp; Data'!B$18*8.91</f>
        <v>60.4296693</v>
      </c>
      <c r="O16" s="34">
        <f t="shared" si="2"/>
        <v>360.76202575388669</v>
      </c>
      <c r="P16" s="40">
        <f t="shared" si="3"/>
        <v>360.76202575388669</v>
      </c>
      <c r="Q16" s="34">
        <f>IF(J16=1,'Specification &amp; Data'!B$52,IF(Simulation!J16=2,'Specification &amp; Data'!B$53,IF(Simulation!J16=3,'Specification &amp; Data'!B$54)))</f>
        <v>565.87802352621827</v>
      </c>
      <c r="R16" s="34">
        <f>(0.5*'Specification &amp; Data'!B$18*Simulation!F16^2)/1000</f>
        <v>27.576945873745139</v>
      </c>
      <c r="T16" s="40">
        <f>P16*'Specification &amp; Data'!B$14*0.9</f>
        <v>95.740691450069932</v>
      </c>
      <c r="U16" s="40">
        <f>T16/(IF(J16=1,'Specification &amp; Data'!H$7,IF(Simulation!J16=2,'Specification &amp; Data'!H$8,IF(Simulation!J16=3,'Specification &amp; Data'!H$9))))</f>
        <v>7.5227204977204378</v>
      </c>
      <c r="V16" s="40">
        <f t="shared" si="16"/>
        <v>6.1769174381190917E-4</v>
      </c>
      <c r="W16" s="40">
        <f t="shared" si="17"/>
        <v>0</v>
      </c>
      <c r="X16" s="40">
        <f t="shared" si="4"/>
        <v>3.7093201392703397</v>
      </c>
      <c r="Y16" s="40">
        <f t="shared" si="5"/>
        <v>4.972279007064798</v>
      </c>
      <c r="Z16" s="40">
        <f t="shared" si="18"/>
        <v>4708.5888876564077</v>
      </c>
      <c r="AA16" s="40">
        <f t="shared" si="19"/>
        <v>8</v>
      </c>
      <c r="AB16" s="40">
        <f t="shared" si="20"/>
        <v>4500</v>
      </c>
      <c r="AC16" s="40">
        <f t="shared" si="6"/>
        <v>1.030366705352872E-3</v>
      </c>
      <c r="AD16" s="40">
        <f t="shared" si="21"/>
        <v>1.1428793031450987E-2</v>
      </c>
      <c r="AE16" s="34">
        <f t="shared" si="22"/>
        <v>29.900345818292216</v>
      </c>
      <c r="AF16" s="34">
        <f t="shared" si="23"/>
        <v>3.7093201392703397</v>
      </c>
      <c r="AG16" s="34">
        <f>AF16*1000/(746)</f>
        <v>4.972279007064798</v>
      </c>
      <c r="AH16" s="34">
        <f>INDEX('Specification &amp; Data'!E$24:R$46,MATCH(Simulation!AA16,'Specification &amp; Data'!D$24:D$46,0),MATCH(Simulation!AB16,'Specification &amp; Data'!E$47:R$47,0))</f>
        <v>489.46439267578143</v>
      </c>
      <c r="AI16" s="34">
        <f t="shared" si="8"/>
        <v>1.030366705352872E-3</v>
      </c>
      <c r="AJ16" s="34">
        <f t="shared" si="0"/>
        <v>0.50432781366888935</v>
      </c>
      <c r="AK16" s="34">
        <f t="shared" si="24"/>
        <v>5.2538234273783129</v>
      </c>
      <c r="AL16" s="34">
        <v>2.3289729133329846</v>
      </c>
    </row>
    <row r="17" spans="2:38" x14ac:dyDescent="0.25">
      <c r="C17" s="34">
        <f t="shared" si="9"/>
        <v>15</v>
      </c>
      <c r="D17" s="34">
        <v>24.5</v>
      </c>
      <c r="E17" s="34">
        <f t="shared" si="1"/>
        <v>39.428862642717284</v>
      </c>
      <c r="F17" s="34">
        <f t="shared" si="10"/>
        <v>10.952461845199245</v>
      </c>
      <c r="G17" s="37">
        <f t="shared" si="11"/>
        <v>93.49826101728253</v>
      </c>
      <c r="H17" s="34">
        <f t="shared" si="12"/>
        <v>10.617182400958452</v>
      </c>
      <c r="I17" s="34">
        <f t="shared" si="13"/>
        <v>0.67055888848158673</v>
      </c>
      <c r="J17" s="34">
        <f t="shared" si="14"/>
        <v>3</v>
      </c>
      <c r="K17" s="34">
        <v>0</v>
      </c>
      <c r="L17" s="34">
        <f>('Specification &amp; Data'!B$22*'Specification &amp; Data'!B$10*'Specification &amp; Data'!B$20*(Simulation!F17^2-'Specification &amp; Data'!B$21^2))/2</f>
        <v>54.056736795559537</v>
      </c>
      <c r="M17" s="34">
        <f t="shared" si="15"/>
        <v>379.4545384718981</v>
      </c>
      <c r="N17" s="34">
        <f>'Specification &amp; Data'!B$23*'Specification &amp; Data'!B$18*8.91</f>
        <v>60.4296693</v>
      </c>
      <c r="O17" s="34">
        <f t="shared" si="2"/>
        <v>493.94094456745762</v>
      </c>
      <c r="P17" s="40">
        <f t="shared" si="3"/>
        <v>493.94094456745762</v>
      </c>
      <c r="Q17" s="34">
        <f>IF(J17=1,'Specification &amp; Data'!B$52,IF(Simulation!J17=2,'Specification &amp; Data'!B$53,IF(Simulation!J17=3,'Specification &amp; Data'!B$54)))</f>
        <v>565.87802352621827</v>
      </c>
      <c r="R17" s="34">
        <f>(0.5*'Specification &amp; Data'!B$18*Simulation!F17^2)/1000</f>
        <v>31.291232061844081</v>
      </c>
      <c r="T17" s="40">
        <f>P17*'Specification &amp; Data'!B$14*0.9</f>
        <v>131.08432759674835</v>
      </c>
      <c r="U17" s="40">
        <f>T17/(IF(J17=1,'Specification &amp; Data'!H$7,IF(Simulation!J17=2,'Specification &amp; Data'!H$8,IF(Simulation!J17=3,'Specification &amp; Data'!H$9))))</f>
        <v>10.299808192384216</v>
      </c>
      <c r="V17" s="40">
        <f t="shared" si="16"/>
        <v>7.8215128470894915E-4</v>
      </c>
      <c r="W17" s="40">
        <f t="shared" si="17"/>
        <v>0</v>
      </c>
      <c r="X17" s="40">
        <f t="shared" si="4"/>
        <v>5.4098693491567547</v>
      </c>
      <c r="Y17" s="40">
        <f t="shared" si="5"/>
        <v>7.2518355886819768</v>
      </c>
      <c r="Z17" s="40">
        <f t="shared" si="18"/>
        <v>5015.6707716339997</v>
      </c>
      <c r="AA17" s="40">
        <f t="shared" si="19"/>
        <v>10</v>
      </c>
      <c r="AB17" s="40">
        <f t="shared" si="20"/>
        <v>5000</v>
      </c>
      <c r="AC17" s="40">
        <f t="shared" si="6"/>
        <v>1.5027414858768762E-3</v>
      </c>
      <c r="AD17" s="40">
        <f t="shared" si="21"/>
        <v>1.2931534517327863E-2</v>
      </c>
      <c r="AE17" s="34">
        <f t="shared" si="22"/>
        <v>46.182619362291234</v>
      </c>
      <c r="AF17" s="34">
        <f t="shared" si="23"/>
        <v>5.4098693491567547</v>
      </c>
      <c r="AG17" s="34">
        <f t="shared" si="7"/>
        <v>7.2518355886819768</v>
      </c>
      <c r="AH17" s="34">
        <f>INDEX('Specification &amp; Data'!E$24:R$46,MATCH(Simulation!AA17,'Specification &amp; Data'!D$24:D$46,0),MATCH(Simulation!AB17,'Specification &amp; Data'!E$47:R$47,0))</f>
        <v>373.21543350000007</v>
      </c>
      <c r="AI17" s="34">
        <f t="shared" si="8"/>
        <v>1.5027414858768762E-3</v>
      </c>
      <c r="AJ17" s="34">
        <f t="shared" si="0"/>
        <v>0.56084631508997262</v>
      </c>
      <c r="AK17" s="34">
        <f t="shared" si="24"/>
        <v>5.8146697424682854</v>
      </c>
      <c r="AL17" s="34">
        <v>2.3289729133329802</v>
      </c>
    </row>
    <row r="18" spans="2:38" x14ac:dyDescent="0.25">
      <c r="C18" s="34">
        <f t="shared" si="9"/>
        <v>16</v>
      </c>
      <c r="D18" s="34">
        <v>26</v>
      </c>
      <c r="E18" s="34">
        <f t="shared" si="1"/>
        <v>41.842874641250987</v>
      </c>
      <c r="F18" s="34">
        <f t="shared" si="10"/>
        <v>11.62302073368083</v>
      </c>
      <c r="G18" s="37">
        <f t="shared" si="11"/>
        <v>104.78600230672257</v>
      </c>
      <c r="H18" s="34">
        <f t="shared" si="12"/>
        <v>11.287741289440039</v>
      </c>
      <c r="I18" s="34">
        <f t="shared" si="13"/>
        <v>0.67055888848158673</v>
      </c>
      <c r="J18" s="34">
        <f t="shared" si="14"/>
        <v>3</v>
      </c>
      <c r="K18" s="34">
        <v>0</v>
      </c>
      <c r="L18" s="34">
        <f>('Specification &amp; Data'!B$22*'Specification &amp; Data'!B$10*'Specification &amp; Data'!B$20*(Simulation!F18^2-'Specification &amp; Data'!B$21^2))/2</f>
        <v>61.173592988017361</v>
      </c>
      <c r="M18" s="34">
        <f t="shared" si="15"/>
        <v>379.4545384718981</v>
      </c>
      <c r="N18" s="34">
        <f>'Specification &amp; Data'!B$23*'Specification &amp; Data'!B$18*8.91</f>
        <v>60.4296693</v>
      </c>
      <c r="O18" s="34">
        <f t="shared" si="2"/>
        <v>501.05780075991549</v>
      </c>
      <c r="P18" s="40">
        <f t="shared" si="3"/>
        <v>501.05780075991549</v>
      </c>
      <c r="Q18" s="34">
        <f>IF(J18=1,'Specification &amp; Data'!B$52,IF(Simulation!J18=2,'Specification &amp; Data'!B$53,IF(Simulation!J18=3,'Specification &amp; Data'!B$54)))</f>
        <v>565.87802352621827</v>
      </c>
      <c r="R18" s="34">
        <f>(0.5*'Specification &amp; Data'!B$18*Simulation!F18^2)/1000</f>
        <v>35.240104746033474</v>
      </c>
      <c r="T18" s="40">
        <f>P18*'Specification &amp; Data'!B$14*0.9</f>
        <v>132.9730317401314</v>
      </c>
      <c r="U18" s="40">
        <f>T18/(IF(J18=1,'Specification &amp; Data'!H$7,IF(Simulation!J18=2,'Specification &amp; Data'!H$8,IF(Simulation!J18=3,'Specification &amp; Data'!H$9))))</f>
        <v>10.44821106224407</v>
      </c>
      <c r="V18" s="40">
        <f t="shared" si="16"/>
        <v>9.7965737905713756E-4</v>
      </c>
      <c r="W18" s="40">
        <f t="shared" si="17"/>
        <v>0</v>
      </c>
      <c r="X18" s="40">
        <f t="shared" si="4"/>
        <v>5.8238052070050159</v>
      </c>
      <c r="Y18" s="40">
        <f t="shared" si="5"/>
        <v>7.8067093927681181</v>
      </c>
      <c r="Z18" s="40">
        <f t="shared" si="18"/>
        <v>5322.7526556115909</v>
      </c>
      <c r="AA18" s="40">
        <f t="shared" si="19"/>
        <v>10</v>
      </c>
      <c r="AB18" s="40">
        <f t="shared" si="20"/>
        <v>5500</v>
      </c>
      <c r="AC18" s="40">
        <f t="shared" si="6"/>
        <v>1.6177236686125045E-3</v>
      </c>
      <c r="AD18" s="40">
        <f t="shared" si="21"/>
        <v>1.4549258185940366E-2</v>
      </c>
      <c r="AE18" s="34">
        <f t="shared" si="22"/>
        <v>52.503843866229843</v>
      </c>
      <c r="AF18" s="34">
        <f t="shared" si="23"/>
        <v>5.8238052070050159</v>
      </c>
      <c r="AG18" s="34">
        <f t="shared" si="7"/>
        <v>7.8067093927681181</v>
      </c>
      <c r="AH18" s="34">
        <f>INDEX('Specification &amp; Data'!E$24:R$46,MATCH(Simulation!AA18,'Specification &amp; Data'!D$24:D$46,0),MATCH(Simulation!AB18,'Specification &amp; Data'!E$47:R$47,0))</f>
        <v>359.74288350000018</v>
      </c>
      <c r="AI18" s="34">
        <f t="shared" si="8"/>
        <v>1.6177236686125045E-3</v>
      </c>
      <c r="AJ18" s="34">
        <f t="shared" si="0"/>
        <v>0.5819645772528611</v>
      </c>
      <c r="AK18" s="34">
        <f t="shared" si="24"/>
        <v>6.3966343197211462</v>
      </c>
      <c r="AL18" s="34">
        <v>2.3289729133329802</v>
      </c>
    </row>
    <row r="19" spans="2:38" x14ac:dyDescent="0.25">
      <c r="C19" s="34">
        <f t="shared" si="9"/>
        <v>17</v>
      </c>
      <c r="D19" s="34">
        <v>28</v>
      </c>
      <c r="E19" s="34">
        <f t="shared" si="1"/>
        <v>45.061557305962609</v>
      </c>
      <c r="F19" s="34">
        <f t="shared" si="10"/>
        <v>12.51709925165628</v>
      </c>
      <c r="G19" s="37">
        <f t="shared" si="11"/>
        <v>116.85606229939111</v>
      </c>
      <c r="H19" s="34">
        <f t="shared" si="12"/>
        <v>12.070059992668554</v>
      </c>
      <c r="I19" s="34">
        <f t="shared" si="13"/>
        <v>0.8940785179754478</v>
      </c>
      <c r="J19" s="34">
        <f t="shared" si="14"/>
        <v>3</v>
      </c>
      <c r="K19" s="34">
        <v>0</v>
      </c>
      <c r="L19" s="34">
        <f>('Specification &amp; Data'!B$22*'Specification &amp; Data'!B$10*'Specification &amp; Data'!B$20*(Simulation!F19^2-'Specification &amp; Data'!B$21^2))/2</f>
        <v>71.320397856472141</v>
      </c>
      <c r="M19" s="34">
        <f t="shared" si="15"/>
        <v>505.93938462919681</v>
      </c>
      <c r="N19" s="34">
        <f>'Specification &amp; Data'!B$23*'Specification &amp; Data'!B$18*8.91</f>
        <v>60.4296693</v>
      </c>
      <c r="O19" s="34">
        <f t="shared" si="2"/>
        <v>637.68945178566889</v>
      </c>
      <c r="P19" s="40">
        <f t="shared" si="3"/>
        <v>637.68945178566889</v>
      </c>
      <c r="Q19" s="34">
        <f>IF(J19=1,'Specification &amp; Data'!B$52,IF(Simulation!J19=2,'Specification &amp; Data'!B$53,IF(Simulation!J19=3,'Specification &amp; Data'!B$54)))</f>
        <v>565.87802352621827</v>
      </c>
      <c r="R19" s="34">
        <f>(0.5*'Specification &amp; Data'!B$18*Simulation!F19^2)/1000</f>
        <v>40.870180652204517</v>
      </c>
      <c r="T19" s="40">
        <f>P19*'Specification &amp; Data'!B$14*0.9</f>
        <v>169.23296989696598</v>
      </c>
      <c r="U19" s="40">
        <f>T19/(IF(J19=1,'Specification &amp; Data'!H$7,IF(Simulation!J19=2,'Specification &amp; Data'!H$8,IF(Simulation!J19=3,'Specification &amp; Data'!H$9))))</f>
        <v>13.297296188820056</v>
      </c>
      <c r="V19" s="40">
        <f t="shared" si="16"/>
        <v>1.2276364064563252E-3</v>
      </c>
      <c r="W19" s="40">
        <f t="shared" si="17"/>
        <v>0</v>
      </c>
      <c r="X19" s="40">
        <f t="shared" si="4"/>
        <v>7.9820221597354992</v>
      </c>
      <c r="Y19" s="40">
        <f t="shared" si="5"/>
        <v>10.699761608224531</v>
      </c>
      <c r="Z19" s="40">
        <f t="shared" si="18"/>
        <v>5732.1951675817136</v>
      </c>
      <c r="AA19" s="40">
        <f t="shared" si="19"/>
        <v>13</v>
      </c>
      <c r="AB19" s="40">
        <f t="shared" si="20"/>
        <v>5500</v>
      </c>
      <c r="AC19" s="40">
        <f t="shared" si="6"/>
        <v>2.2172283777043052E-3</v>
      </c>
      <c r="AD19" s="40">
        <f t="shared" si="21"/>
        <v>1.676648656364467E-2</v>
      </c>
      <c r="AE19" s="34">
        <f t="shared" si="22"/>
        <v>74.517878305530687</v>
      </c>
      <c r="AF19" s="34">
        <f t="shared" si="23"/>
        <v>7.9820221597354992</v>
      </c>
      <c r="AG19" s="34">
        <f t="shared" si="7"/>
        <v>10.699761608224531</v>
      </c>
      <c r="AH19" s="34">
        <f>INDEX('Specification &amp; Data'!E$24:R$46,MATCH(Simulation!AA19,'Specification &amp; Data'!D$24:D$46,0),MATCH(Simulation!AB19,'Specification &amp; Data'!E$47:R$47,0))</f>
        <v>313.44811950000002</v>
      </c>
      <c r="AI19" s="34">
        <f t="shared" si="8"/>
        <v>2.2172283777043052E-3</v>
      </c>
      <c r="AJ19" s="34">
        <f t="shared" si="0"/>
        <v>0.69498606549345021</v>
      </c>
      <c r="AK19" s="34">
        <f t="shared" si="24"/>
        <v>7.091620385214596</v>
      </c>
      <c r="AL19" s="34">
        <v>2.3289729133329802</v>
      </c>
    </row>
    <row r="20" spans="2:38" x14ac:dyDescent="0.25">
      <c r="C20" s="34">
        <f t="shared" si="9"/>
        <v>18</v>
      </c>
      <c r="D20" s="34">
        <v>30</v>
      </c>
      <c r="E20" s="34">
        <f t="shared" si="1"/>
        <v>48.280239970674224</v>
      </c>
      <c r="F20" s="34">
        <f t="shared" si="10"/>
        <v>13.411177769631728</v>
      </c>
      <c r="G20" s="37">
        <f t="shared" si="11"/>
        <v>129.82020081003512</v>
      </c>
      <c r="H20" s="34">
        <f t="shared" si="12"/>
        <v>12.964138510644004</v>
      </c>
      <c r="I20" s="34">
        <f t="shared" si="13"/>
        <v>0.8940785179754478</v>
      </c>
      <c r="J20" s="34">
        <f t="shared" si="14"/>
        <v>3</v>
      </c>
      <c r="K20" s="34">
        <v>0</v>
      </c>
      <c r="L20" s="34">
        <f>('Specification &amp; Data'!B$22*'Specification &amp; Data'!B$10*'Specification &amp; Data'!B$20*(Simulation!F20^2-'Specification &amp; Data'!B$21^2))/2</f>
        <v>82.218817900367981</v>
      </c>
      <c r="M20" s="34">
        <f t="shared" si="15"/>
        <v>505.93938462919681</v>
      </c>
      <c r="N20" s="34">
        <f>'Specification &amp; Data'!B$23*'Specification &amp; Data'!B$18*8.91</f>
        <v>60.4296693</v>
      </c>
      <c r="O20" s="34">
        <f t="shared" si="2"/>
        <v>648.58787182956473</v>
      </c>
      <c r="P20" s="40">
        <f t="shared" si="3"/>
        <v>648.58787182956473</v>
      </c>
      <c r="Q20" s="34">
        <f>IF(J20=1,'Specification &amp; Data'!B$52,IF(Simulation!J20=2,'Specification &amp; Data'!B$53,IF(Simulation!J20=3,'Specification &amp; Data'!B$54)))</f>
        <v>565.87802352621827</v>
      </c>
      <c r="R20" s="34">
        <f>(0.5*'Specification &amp; Data'!B$18*Simulation!F20^2)/1000</f>
        <v>46.917299218091912</v>
      </c>
      <c r="T20" s="40">
        <f>P20*'Specification &amp; Data'!B$14*0.9</f>
        <v>172.12524290861526</v>
      </c>
      <c r="U20" s="40">
        <f>T20/(IF(J20=1,'Specification &amp; Data'!H$7,IF(Simulation!J20=2,'Specification &amp; Data'!H$8,IF(Simulation!J20=3,'Specification &amp; Data'!H$9))))</f>
        <v>13.524553388869467</v>
      </c>
      <c r="V20" s="40">
        <f t="shared" si="16"/>
        <v>1.533928401698218E-3</v>
      </c>
      <c r="W20" s="40">
        <f t="shared" si="17"/>
        <v>0</v>
      </c>
      <c r="X20" s="40">
        <f t="shared" si="4"/>
        <v>8.6983272483334115</v>
      </c>
      <c r="Y20" s="40">
        <f t="shared" si="5"/>
        <v>11.659956096961677</v>
      </c>
      <c r="Z20" s="40">
        <f t="shared" si="18"/>
        <v>6141.6376795518372</v>
      </c>
      <c r="AA20" s="40">
        <f t="shared" si="19"/>
        <v>14</v>
      </c>
      <c r="AB20" s="40">
        <f t="shared" si="20"/>
        <v>6000</v>
      </c>
      <c r="AC20" s="40">
        <f t="shared" si="6"/>
        <v>2.4162020134259475E-3</v>
      </c>
      <c r="AD20" s="40">
        <f t="shared" si="21"/>
        <v>1.9182688577070617E-2</v>
      </c>
      <c r="AE20" s="34">
        <f t="shared" si="22"/>
        <v>84.199807763867412</v>
      </c>
      <c r="AF20" s="34">
        <f t="shared" si="23"/>
        <v>8.6983272483334115</v>
      </c>
      <c r="AG20" s="34">
        <f t="shared" si="7"/>
        <v>11.659956096961677</v>
      </c>
      <c r="AH20" s="34">
        <f>INDEX('Specification &amp; Data'!E$24:R$46,MATCH(Simulation!AA20,'Specification &amp; Data'!D$24:D$46,0),MATCH(Simulation!AB20,'Specification &amp; Data'!E$47:R$47,0))</f>
        <v>298.88214449999998</v>
      </c>
      <c r="AI20" s="34">
        <f t="shared" si="8"/>
        <v>2.4162020134259475E-3</v>
      </c>
      <c r="AJ20" s="34">
        <f t="shared" si="0"/>
        <v>0.7221596393179649</v>
      </c>
      <c r="AK20" s="34">
        <f t="shared" si="24"/>
        <v>7.8137800245325613</v>
      </c>
      <c r="AL20" s="34">
        <v>2.3289729133329802</v>
      </c>
    </row>
    <row r="21" spans="2:38" x14ac:dyDescent="0.25">
      <c r="C21" s="34">
        <f t="shared" si="9"/>
        <v>19</v>
      </c>
      <c r="D21" s="34">
        <v>30</v>
      </c>
      <c r="E21" s="34">
        <f t="shared" si="1"/>
        <v>48.280239970674224</v>
      </c>
      <c r="F21" s="34">
        <f t="shared" si="10"/>
        <v>13.411177769631728</v>
      </c>
      <c r="G21" s="37">
        <f t="shared" si="11"/>
        <v>143.23137857966685</v>
      </c>
      <c r="H21" s="34">
        <f t="shared" si="12"/>
        <v>13.411177769631728</v>
      </c>
      <c r="I21" s="34">
        <f t="shared" si="13"/>
        <v>0</v>
      </c>
      <c r="J21" s="34">
        <f t="shared" si="14"/>
        <v>3</v>
      </c>
      <c r="K21" s="34">
        <v>0</v>
      </c>
      <c r="L21" s="34">
        <f>('Specification &amp; Data'!B$22*'Specification &amp; Data'!B$10*'Specification &amp; Data'!B$20*(Simulation!F21^2-'Specification &amp; Data'!B$21^2))/2</f>
        <v>82.218817900367981</v>
      </c>
      <c r="M21" s="34">
        <f t="shared" si="15"/>
        <v>0</v>
      </c>
      <c r="N21" s="34">
        <f>'Specification &amp; Data'!B$23*'Specification &amp; Data'!B$18*8.91</f>
        <v>60.4296693</v>
      </c>
      <c r="O21" s="34">
        <f t="shared" si="2"/>
        <v>142.64848720036798</v>
      </c>
      <c r="P21" s="40">
        <f t="shared" si="3"/>
        <v>142.64848720036798</v>
      </c>
      <c r="Q21" s="34">
        <f>IF(J21=1,'Specification &amp; Data'!B$52,IF(Simulation!J21=2,'Specification &amp; Data'!B$53,IF(Simulation!J21=3,'Specification &amp; Data'!B$54)))</f>
        <v>565.87802352621827</v>
      </c>
      <c r="R21" s="34">
        <f>(0.5*'Specification &amp; Data'!B$18*Simulation!F21^2)/1000</f>
        <v>46.917299218091912</v>
      </c>
      <c r="T21" s="40">
        <f>P21*'Specification &amp; Data'!B$14*0.9</f>
        <v>37.856713910866887</v>
      </c>
      <c r="U21" s="40">
        <f>T21/(IF(J21=1,'Specification &amp; Data'!H$7,IF(Simulation!J21=2,'Specification &amp; Data'!H$8,IF(Simulation!J21=3,'Specification &amp; Data'!H$9))))</f>
        <v>2.9745500413701969</v>
      </c>
      <c r="V21" s="40">
        <f t="shared" si="16"/>
        <v>1.8402203969401108E-3</v>
      </c>
      <c r="W21" s="40">
        <f t="shared" si="17"/>
        <v>0</v>
      </c>
      <c r="X21" s="40">
        <f t="shared" si="4"/>
        <v>1.9130842204131711</v>
      </c>
      <c r="Y21" s="40">
        <f t="shared" si="5"/>
        <v>2.564456059535082</v>
      </c>
      <c r="Z21" s="40">
        <f t="shared" si="18"/>
        <v>6141.6376795518354</v>
      </c>
      <c r="AA21" s="40">
        <f t="shared" si="19"/>
        <v>3</v>
      </c>
      <c r="AB21" s="40">
        <f t="shared" si="20"/>
        <v>6000</v>
      </c>
      <c r="AC21" s="40">
        <f t="shared" si="6"/>
        <v>5.3141228344810308E-4</v>
      </c>
      <c r="AD21" s="40">
        <f t="shared" si="21"/>
        <v>1.9714100860518721E-2</v>
      </c>
      <c r="AE21" s="34">
        <f t="shared" si="22"/>
        <v>20.431739474012669</v>
      </c>
      <c r="AF21" s="34">
        <f t="shared" si="23"/>
        <v>1.9130842204131711</v>
      </c>
      <c r="AG21" s="34">
        <f t="shared" si="7"/>
        <v>2.564456059535082</v>
      </c>
      <c r="AH21" s="34">
        <f>INDEX('Specification &amp; Data'!E$24:R$46,MATCH(Simulation!AA21,'Specification &amp; Data'!D$24:D$46,0),MATCH(Simulation!AB21,'Specification &amp; Data'!E$47:R$47,0))</f>
        <v>763.30881900000008</v>
      </c>
      <c r="AI21" s="34">
        <f t="shared" si="8"/>
        <v>5.3141228344810308E-4</v>
      </c>
      <c r="AJ21" s="34">
        <f t="shared" si="0"/>
        <v>0.40563168248086484</v>
      </c>
      <c r="AK21" s="34">
        <f t="shared" si="24"/>
        <v>8.2194117070134265</v>
      </c>
      <c r="AL21" s="34">
        <v>2.3289729133329802</v>
      </c>
    </row>
    <row r="22" spans="2:38" x14ac:dyDescent="0.25">
      <c r="C22" s="34">
        <f t="shared" si="9"/>
        <v>20</v>
      </c>
      <c r="D22" s="34">
        <v>28</v>
      </c>
      <c r="E22" s="34">
        <f t="shared" si="1"/>
        <v>45.061557305962609</v>
      </c>
      <c r="F22" s="34">
        <f t="shared" si="10"/>
        <v>12.51709925165628</v>
      </c>
      <c r="G22" s="37">
        <f t="shared" si="11"/>
        <v>156.19551709031086</v>
      </c>
      <c r="H22" s="34">
        <f t="shared" si="12"/>
        <v>12.964138510644004</v>
      </c>
      <c r="I22" s="34">
        <f t="shared" si="13"/>
        <v>-0.8940785179754478</v>
      </c>
      <c r="J22" s="34">
        <f t="shared" si="14"/>
        <v>3</v>
      </c>
      <c r="K22" s="34">
        <v>0</v>
      </c>
      <c r="L22" s="34">
        <f>('Specification &amp; Data'!B$22*'Specification &amp; Data'!B$10*'Specification &amp; Data'!B$20*(Simulation!F22^2-'Specification &amp; Data'!B$21^2))/2</f>
        <v>71.320397856472141</v>
      </c>
      <c r="M22" s="34">
        <f t="shared" si="15"/>
        <v>-505.93938462919681</v>
      </c>
      <c r="N22" s="34">
        <f>'Specification &amp; Data'!B$23*'Specification &amp; Data'!B$18*8.91</f>
        <v>60.4296693</v>
      </c>
      <c r="O22" s="34">
        <f t="shared" si="2"/>
        <v>-374.18931747272467</v>
      </c>
      <c r="P22" s="40">
        <f t="shared" si="3"/>
        <v>374.18931747272467</v>
      </c>
      <c r="Q22" s="34">
        <f>IF(J22=1,'Specification &amp; Data'!B$52,IF(Simulation!J22=2,'Specification &amp; Data'!B$53,IF(Simulation!J22=3,'Specification &amp; Data'!B$54)))</f>
        <v>565.87802352621827</v>
      </c>
      <c r="R22" s="34">
        <f>(0.5*'Specification &amp; Data'!B$18*Simulation!F22^2)/1000</f>
        <v>40.870180652204517</v>
      </c>
      <c r="T22" s="40">
        <f>P22*'Specification &amp; Data'!B$14*0.9</f>
        <v>99.304088098530784</v>
      </c>
      <c r="U22" s="40">
        <f>T22/(IF(J22=1,'Specification &amp; Data'!H$7,IF(Simulation!J22=2,'Specification &amp; Data'!H$8,IF(Simulation!J22=3,'Specification &amp; Data'!H$9))))</f>
        <v>7.8027105061784887</v>
      </c>
      <c r="V22" s="40">
        <f t="shared" si="16"/>
        <v>2.0881994243392987E-3</v>
      </c>
      <c r="W22" s="40">
        <f t="shared" si="17"/>
        <v>1.3010457849210045E-3</v>
      </c>
      <c r="X22" s="40">
        <f t="shared" si="4"/>
        <v>4.6837648257156159</v>
      </c>
      <c r="Y22" s="40">
        <f t="shared" si="5"/>
        <v>6.278505128305115</v>
      </c>
      <c r="Z22" s="40">
        <f t="shared" si="18"/>
        <v>5732.1951675817136</v>
      </c>
      <c r="AA22" s="40">
        <f t="shared" si="19"/>
        <v>8</v>
      </c>
      <c r="AB22" s="40">
        <f t="shared" si="20"/>
        <v>5500</v>
      </c>
      <c r="AC22" s="40">
        <f t="shared" si="6"/>
        <v>1.3010457849210045E-3</v>
      </c>
      <c r="AD22" s="40">
        <f t="shared" si="21"/>
        <v>2.1015146645439724E-2</v>
      </c>
      <c r="AE22" s="34">
        <f t="shared" si="22"/>
        <v>-58.446693932322717</v>
      </c>
      <c r="AF22" s="34">
        <f t="shared" si="23"/>
        <v>-4.6837648257156159</v>
      </c>
      <c r="AG22" s="34">
        <f t="shared" si="7"/>
        <v>-6.278505128305115</v>
      </c>
      <c r="AH22" s="34">
        <f>INDEX('Specification &amp; Data'!E$24:R$46,MATCH(Simulation!AA22,'Specification &amp; Data'!D$24:D$46,0),MATCH(Simulation!AB22,'Specification &amp; Data'!E$47:R$47,0))</f>
        <v>430.19858700000003</v>
      </c>
      <c r="AI22" s="34">
        <f t="shared" si="8"/>
        <v>-1.3010457849210045E-3</v>
      </c>
      <c r="AJ22" s="34">
        <f t="shared" si="0"/>
        <v>0.55970805829532211</v>
      </c>
      <c r="AK22" s="34">
        <f t="shared" si="24"/>
        <v>8.7791197653087494</v>
      </c>
      <c r="AL22" s="34">
        <v>2.3289729133329802</v>
      </c>
    </row>
    <row r="23" spans="2:38" x14ac:dyDescent="0.25">
      <c r="C23" s="34">
        <f t="shared" si="9"/>
        <v>21</v>
      </c>
      <c r="D23" s="34">
        <v>26</v>
      </c>
      <c r="E23" s="34">
        <f t="shared" si="1"/>
        <v>41.842874641250987</v>
      </c>
      <c r="F23" s="34">
        <f t="shared" si="10"/>
        <v>11.62302073368083</v>
      </c>
      <c r="G23" s="37">
        <f t="shared" si="11"/>
        <v>168.26557708297941</v>
      </c>
      <c r="H23" s="34">
        <f t="shared" si="12"/>
        <v>12.070059992668554</v>
      </c>
      <c r="I23" s="34">
        <f t="shared" si="13"/>
        <v>-0.89407851797545135</v>
      </c>
      <c r="J23" s="34">
        <f t="shared" si="14"/>
        <v>3</v>
      </c>
      <c r="K23" s="34">
        <v>0</v>
      </c>
      <c r="L23" s="34">
        <f>('Specification &amp; Data'!B$22*'Specification &amp; Data'!B$10*'Specification &amp; Data'!B$20*(Simulation!F23^2-'Specification &amp; Data'!B$21^2))/2</f>
        <v>61.173592988017361</v>
      </c>
      <c r="M23" s="34">
        <f t="shared" si="15"/>
        <v>-505.9393846291988</v>
      </c>
      <c r="N23" s="34">
        <f>'Specification &amp; Data'!B$23*'Specification &amp; Data'!B$18*8.91</f>
        <v>60.4296693</v>
      </c>
      <c r="O23" s="34">
        <f t="shared" si="2"/>
        <v>-384.33612234118141</v>
      </c>
      <c r="P23" s="40">
        <f t="shared" si="3"/>
        <v>384.33612234118141</v>
      </c>
      <c r="Q23" s="34">
        <f>IF(J23=1,'Specification &amp; Data'!B$52,IF(Simulation!J23=2,'Specification &amp; Data'!B$53,IF(Simulation!J23=3,'Specification &amp; Data'!B$54)))</f>
        <v>565.87802352621827</v>
      </c>
      <c r="R23" s="34">
        <f>(0.5*'Specification &amp; Data'!B$18*Simulation!F23^2)/1000</f>
        <v>35.240104746033474</v>
      </c>
      <c r="T23" s="40">
        <f>P23*'Specification &amp; Data'!B$14*0.9</f>
        <v>101.99689400592892</v>
      </c>
      <c r="U23" s="40">
        <f>T23/(IF(J23=1,'Specification &amp; Data'!H$7,IF(Simulation!J23=2,'Specification &amp; Data'!H$8,IF(Simulation!J23=3,'Specification &amp; Data'!H$9))))</f>
        <v>8.0142947958797084</v>
      </c>
      <c r="V23" s="40">
        <f t="shared" si="16"/>
        <v>2.2857055186874869E-3</v>
      </c>
      <c r="W23" s="40">
        <f t="shared" si="17"/>
        <v>2.5419198734415722E-3</v>
      </c>
      <c r="X23" s="40">
        <f t="shared" si="4"/>
        <v>4.4671467186740434</v>
      </c>
      <c r="Y23" s="40">
        <f t="shared" si="5"/>
        <v>5.9881323306622569</v>
      </c>
      <c r="Z23" s="40">
        <f t="shared" si="18"/>
        <v>5322.7526556115899</v>
      </c>
      <c r="AA23" s="40">
        <f t="shared" si="19"/>
        <v>8</v>
      </c>
      <c r="AB23" s="40">
        <f t="shared" si="20"/>
        <v>5500</v>
      </c>
      <c r="AC23" s="40">
        <f t="shared" si="6"/>
        <v>1.2408740885205677E-3</v>
      </c>
      <c r="AD23" s="40">
        <f t="shared" si="21"/>
        <v>2.2256020733960293E-2</v>
      </c>
      <c r="AE23" s="34">
        <f t="shared" si="22"/>
        <v>-64.670539419573458</v>
      </c>
      <c r="AF23" s="34">
        <f t="shared" si="23"/>
        <v>-4.4671467186740434</v>
      </c>
      <c r="AG23" s="34">
        <f t="shared" si="7"/>
        <v>-5.9881323306622569</v>
      </c>
      <c r="AH23" s="34">
        <f>INDEX('Specification &amp; Data'!E$24:R$46,MATCH(Simulation!AA23,'Specification &amp; Data'!D$24:D$46,0),MATCH(Simulation!AB23,'Specification &amp; Data'!E$47:R$47,0))</f>
        <v>430.19858700000003</v>
      </c>
      <c r="AI23" s="34">
        <f t="shared" si="8"/>
        <v>-1.2408740885205677E-3</v>
      </c>
      <c r="AJ23" s="34">
        <f t="shared" si="0"/>
        <v>0.53382227952646122</v>
      </c>
      <c r="AK23" s="34">
        <f t="shared" si="24"/>
        <v>9.3129420448352107</v>
      </c>
      <c r="AL23" s="34">
        <v>2.3289729133329802</v>
      </c>
    </row>
    <row r="24" spans="2:38" x14ac:dyDescent="0.25">
      <c r="C24" s="34">
        <f t="shared" si="9"/>
        <v>22</v>
      </c>
      <c r="D24" s="34">
        <v>24</v>
      </c>
      <c r="E24" s="34">
        <f t="shared" si="1"/>
        <v>38.624191976539379</v>
      </c>
      <c r="F24" s="34">
        <f t="shared" si="10"/>
        <v>10.728942215705382</v>
      </c>
      <c r="G24" s="37">
        <f t="shared" si="11"/>
        <v>179.44155855767252</v>
      </c>
      <c r="H24" s="34">
        <f t="shared" si="12"/>
        <v>11.175981474693106</v>
      </c>
      <c r="I24" s="34">
        <f t="shared" si="13"/>
        <v>-0.8940785179754478</v>
      </c>
      <c r="J24" s="34">
        <f t="shared" si="14"/>
        <v>3</v>
      </c>
      <c r="K24" s="34">
        <v>0</v>
      </c>
      <c r="L24" s="34">
        <f>('Specification &amp; Data'!B$22*'Specification &amp; Data'!B$10*'Specification &amp; Data'!B$20*(Simulation!F24^2-'Specification &amp; Data'!B$21^2))/2</f>
        <v>51.77840329500372</v>
      </c>
      <c r="M24" s="34">
        <f t="shared" si="15"/>
        <v>-505.93938462919681</v>
      </c>
      <c r="N24" s="34">
        <f>'Specification &amp; Data'!B$23*'Specification &amp; Data'!B$18*8.91</f>
        <v>60.4296693</v>
      </c>
      <c r="O24" s="34">
        <f t="shared" si="2"/>
        <v>-393.73131203419308</v>
      </c>
      <c r="P24" s="40">
        <f t="shared" si="3"/>
        <v>393.73131203419308</v>
      </c>
      <c r="Q24" s="34">
        <f>IF(J24=1,'Specification &amp; Data'!B$52,IF(Simulation!J24=2,'Specification &amp; Data'!B$53,IF(Simulation!J24=3,'Specification &amp; Data'!B$54)))</f>
        <v>565.87802352621827</v>
      </c>
      <c r="R24" s="34">
        <f>(0.5*'Specification &amp; Data'!B$18*Simulation!F24^2)/1000</f>
        <v>30.027071499578831</v>
      </c>
      <c r="T24" s="40">
        <f>P24*'Specification &amp; Data'!B$14*0.9</f>
        <v>104.49023280907433</v>
      </c>
      <c r="U24" s="40">
        <f>T24/(IF(J24=1,'Specification &amp; Data'!H$7,IF(Simulation!J24=2,'Specification &amp; Data'!H$8,IF(Simulation!J24=3,'Specification &amp; Data'!H$9))))</f>
        <v>8.2102061752326083</v>
      </c>
      <c r="V24" s="40">
        <f t="shared" si="16"/>
        <v>2.4400187122912602E-3</v>
      </c>
      <c r="W24" s="40">
        <f t="shared" si="17"/>
        <v>3.7153422332551066E-3</v>
      </c>
      <c r="X24" s="40">
        <f t="shared" si="4"/>
        <v>4.2243204953287234</v>
      </c>
      <c r="Y24" s="40">
        <f t="shared" si="5"/>
        <v>5.6626280098240258</v>
      </c>
      <c r="Z24" s="40">
        <f t="shared" si="18"/>
        <v>4913.310143641469</v>
      </c>
      <c r="AA24" s="40">
        <f t="shared" si="19"/>
        <v>8</v>
      </c>
      <c r="AB24" s="40">
        <f t="shared" si="20"/>
        <v>5000</v>
      </c>
      <c r="AC24" s="40">
        <f t="shared" si="6"/>
        <v>1.1734223598135344E-3</v>
      </c>
      <c r="AD24" s="40">
        <f t="shared" si="21"/>
        <v>2.3429443093773827E-2</v>
      </c>
      <c r="AE24" s="34">
        <f t="shared" si="22"/>
        <v>-70.651760284372898</v>
      </c>
      <c r="AF24" s="34">
        <f t="shared" si="23"/>
        <v>-4.2243204953287234</v>
      </c>
      <c r="AG24" s="34">
        <f t="shared" si="7"/>
        <v>-5.6626280098240258</v>
      </c>
      <c r="AH24" s="34">
        <f>INDEX('Specification &amp; Data'!E$24:R$46,MATCH(Simulation!AA24,'Specification &amp; Data'!D$24:D$46,0),MATCH(Simulation!AB24,'Specification &amp; Data'!E$47:R$47,0))</f>
        <v>416.52538200000015</v>
      </c>
      <c r="AI24" s="34">
        <f t="shared" si="8"/>
        <v>-1.1734223598135344E-3</v>
      </c>
      <c r="AJ24" s="34">
        <f t="shared" si="0"/>
        <v>0.48876019666867404</v>
      </c>
      <c r="AK24" s="34">
        <f t="shared" si="24"/>
        <v>9.8017022415038841</v>
      </c>
      <c r="AL24" s="34">
        <v>2.3289729133329802</v>
      </c>
    </row>
    <row r="25" spans="2:38" x14ac:dyDescent="0.25">
      <c r="C25" s="34">
        <f t="shared" si="9"/>
        <v>23</v>
      </c>
      <c r="D25" s="34">
        <v>22</v>
      </c>
      <c r="E25" s="34">
        <f t="shared" si="1"/>
        <v>35.405509311827764</v>
      </c>
      <c r="F25" s="34">
        <f t="shared" si="10"/>
        <v>9.8348636977299346</v>
      </c>
      <c r="G25" s="37">
        <f t="shared" si="11"/>
        <v>189.72346151439018</v>
      </c>
      <c r="H25" s="34">
        <f t="shared" si="12"/>
        <v>10.281902956717659</v>
      </c>
      <c r="I25" s="34">
        <f t="shared" si="13"/>
        <v>-0.8940785179754478</v>
      </c>
      <c r="J25" s="34">
        <f t="shared" si="14"/>
        <v>3</v>
      </c>
      <c r="K25" s="34">
        <v>0</v>
      </c>
      <c r="L25" s="34">
        <f>('Specification &amp; Data'!B$22*'Specification &amp; Data'!B$10*'Specification &amp; Data'!B$20*(Simulation!F25^2-'Specification &amp; Data'!B$21^2))/2</f>
        <v>43.134828777431153</v>
      </c>
      <c r="M25" s="34">
        <f t="shared" si="15"/>
        <v>-505.93938462919681</v>
      </c>
      <c r="N25" s="34">
        <f>'Specification &amp; Data'!B$23*'Specification &amp; Data'!B$18*8.91</f>
        <v>60.4296693</v>
      </c>
      <c r="O25" s="34">
        <f t="shared" si="2"/>
        <v>-402.37488655176566</v>
      </c>
      <c r="P25" s="40">
        <f t="shared" si="3"/>
        <v>402.37488655176566</v>
      </c>
      <c r="Q25" s="34">
        <f>IF(J25=1,'Specification &amp; Data'!B$52,IF(Simulation!J25=2,'Specification &amp; Data'!B$53,IF(Simulation!J25=3,'Specification &amp; Data'!B$54)))</f>
        <v>565.87802352621827</v>
      </c>
      <c r="R25" s="34">
        <f>(0.5*'Specification &amp; Data'!B$18*Simulation!F25^2)/1000</f>
        <v>25.231080912840547</v>
      </c>
      <c r="T25" s="40">
        <f>P25*'Specification &amp; Data'!B$14*0.9</f>
        <v>106.78410450796858</v>
      </c>
      <c r="U25" s="40">
        <f>T25/(IF(J25=1,'Specification &amp; Data'!H$7,IF(Simulation!J25=2,'Specification &amp; Data'!H$8,IF(Simulation!J25=3,'Specification &amp; Data'!H$9))))</f>
        <v>8.3904446442373146</v>
      </c>
      <c r="V25" s="40">
        <f t="shared" si="16"/>
        <v>2.5578590349720808E-3</v>
      </c>
      <c r="W25" s="40">
        <f t="shared" si="17"/>
        <v>4.8145928345401517E-3</v>
      </c>
      <c r="X25" s="40">
        <f t="shared" si="4"/>
        <v>3.957302164626161</v>
      </c>
      <c r="Y25" s="40">
        <f t="shared" si="5"/>
        <v>5.3046945906516898</v>
      </c>
      <c r="Z25" s="40">
        <f t="shared" si="18"/>
        <v>4503.8676316713472</v>
      </c>
      <c r="AA25" s="40">
        <f t="shared" si="19"/>
        <v>8</v>
      </c>
      <c r="AB25" s="40">
        <f t="shared" si="20"/>
        <v>4500</v>
      </c>
      <c r="AC25" s="40">
        <f t="shared" si="6"/>
        <v>1.0992506012850447E-3</v>
      </c>
      <c r="AD25" s="40">
        <f t="shared" si="21"/>
        <v>2.4528693695058872E-2</v>
      </c>
      <c r="AE25" s="34">
        <f t="shared" si="22"/>
        <v>-76.33995630306103</v>
      </c>
      <c r="AF25" s="34">
        <f t="shared" si="23"/>
        <v>-3.957302164626161</v>
      </c>
      <c r="AG25" s="34">
        <f t="shared" si="7"/>
        <v>-5.3046945906516898</v>
      </c>
      <c r="AH25" s="34">
        <f>INDEX('Specification &amp; Data'!E$24:R$46,MATCH(Simulation!AA25,'Specification &amp; Data'!D$24:D$46,0),MATCH(Simulation!AB25,'Specification &amp; Data'!E$47:R$47,0))</f>
        <v>489.46439267578143</v>
      </c>
      <c r="AI25" s="34">
        <f t="shared" si="8"/>
        <v>-1.0992506012850447E-3</v>
      </c>
      <c r="AJ25" s="34">
        <f t="shared" si="0"/>
        <v>0.53804402795647199</v>
      </c>
      <c r="AK25" s="34">
        <f t="shared" si="24"/>
        <v>10.339746269460356</v>
      </c>
      <c r="AL25" s="34">
        <v>2.3289729133329802</v>
      </c>
    </row>
    <row r="26" spans="2:38" x14ac:dyDescent="0.25">
      <c r="C26" s="34">
        <f t="shared" si="9"/>
        <v>24</v>
      </c>
      <c r="D26" s="34">
        <v>20</v>
      </c>
      <c r="E26" s="34">
        <f t="shared" si="1"/>
        <v>32.186826647116149</v>
      </c>
      <c r="F26" s="34">
        <f t="shared" si="10"/>
        <v>8.9407851797544851</v>
      </c>
      <c r="G26" s="37">
        <f t="shared" si="11"/>
        <v>199.11128595313238</v>
      </c>
      <c r="H26" s="34">
        <f t="shared" si="12"/>
        <v>9.3878244387422107</v>
      </c>
      <c r="I26" s="34">
        <f t="shared" si="13"/>
        <v>-0.8940785179754478</v>
      </c>
      <c r="J26" s="34">
        <f t="shared" si="14"/>
        <v>2</v>
      </c>
      <c r="K26" s="34">
        <v>0</v>
      </c>
      <c r="L26" s="34">
        <f>('Specification &amp; Data'!B$22*'Specification &amp; Data'!B$10*'Specification &amp; Data'!B$20*(Simulation!F26^2-'Specification &amp; Data'!B$21^2))/2</f>
        <v>35.24286943529966</v>
      </c>
      <c r="M26" s="34">
        <f t="shared" si="15"/>
        <v>-508.66399108182151</v>
      </c>
      <c r="N26" s="34">
        <f>'Specification &amp; Data'!B$23*'Specification &amp; Data'!B$18*8.91</f>
        <v>60.4296693</v>
      </c>
      <c r="O26" s="34">
        <f t="shared" si="2"/>
        <v>-412.99145234652184</v>
      </c>
      <c r="P26" s="40">
        <f t="shared" si="3"/>
        <v>412.99145234652184</v>
      </c>
      <c r="Q26" s="34">
        <f>IF(J26=1,'Specification &amp; Data'!B$52,IF(Simulation!J26=2,'Specification &amp; Data'!B$53,IF(Simulation!J26=3,'Specification &amp; Data'!B$54)))</f>
        <v>568.92541410528543</v>
      </c>
      <c r="R26" s="34">
        <f>(0.5*'Specification &amp; Data'!B$18*Simulation!F26^2)/1000</f>
        <v>20.852132985818628</v>
      </c>
      <c r="T26" s="40">
        <f>P26*'Specification &amp; Data'!B$14*0.9</f>
        <v>109.60157773811542</v>
      </c>
      <c r="U26" s="40">
        <f>T26/(IF(J26=1,'Specification &amp; Data'!H$7,IF(Simulation!J26=2,'Specification &amp; Data'!H$8,IF(Simulation!J26=3,'Specification &amp; Data'!H$9))))</f>
        <v>6.5755310473400108</v>
      </c>
      <c r="V26" s="40">
        <f t="shared" si="16"/>
        <v>2.6453865140662891E-3</v>
      </c>
      <c r="W26" s="40">
        <f t="shared" si="17"/>
        <v>5.8402783502360025E-3</v>
      </c>
      <c r="X26" s="40">
        <f t="shared" si="4"/>
        <v>3.692467856505063</v>
      </c>
      <c r="Y26" s="40">
        <f t="shared" si="5"/>
        <v>4.9496888156904335</v>
      </c>
      <c r="Z26" s="40">
        <f t="shared" si="18"/>
        <v>5362.3761245119249</v>
      </c>
      <c r="AA26" s="40">
        <f t="shared" si="19"/>
        <v>7</v>
      </c>
      <c r="AB26" s="40">
        <f t="shared" si="20"/>
        <v>5500</v>
      </c>
      <c r="AC26" s="40">
        <f t="shared" si="6"/>
        <v>1.0256855156958507E-3</v>
      </c>
      <c r="AD26" s="40">
        <f t="shared" si="21"/>
        <v>2.5554379210754721E-2</v>
      </c>
      <c r="AE26" s="34">
        <f t="shared" si="22"/>
        <v>-82.231259164367756</v>
      </c>
      <c r="AF26" s="34">
        <f t="shared" si="23"/>
        <v>-3.692467856505063</v>
      </c>
      <c r="AG26" s="34">
        <f t="shared" si="7"/>
        <v>-4.9496888156904335</v>
      </c>
      <c r="AH26" s="34">
        <f>INDEX('Specification &amp; Data'!E$24:R$46,MATCH(Simulation!AA26,'Specification &amp; Data'!D$24:D$46,0),MATCH(Simulation!AB26,'Specification &amp; Data'!E$47:R$47,0))</f>
        <v>464.79867524999986</v>
      </c>
      <c r="AI26" s="34">
        <f t="shared" si="8"/>
        <v>-1.0256855156958507E-3</v>
      </c>
      <c r="AJ26" s="34">
        <f t="shared" si="0"/>
        <v>0.47673726891854434</v>
      </c>
      <c r="AK26" s="34">
        <f t="shared" si="24"/>
        <v>10.8164835383789</v>
      </c>
      <c r="AL26" s="34">
        <v>2.3289729133329802</v>
      </c>
    </row>
    <row r="27" spans="2:38" x14ac:dyDescent="0.25">
      <c r="C27" s="34">
        <f t="shared" si="9"/>
        <v>25</v>
      </c>
      <c r="D27" s="34">
        <v>19.8</v>
      </c>
      <c r="E27" s="34">
        <f t="shared" si="1"/>
        <v>31.864958380644989</v>
      </c>
      <c r="F27" s="34">
        <f t="shared" si="10"/>
        <v>8.851377327956941</v>
      </c>
      <c r="G27" s="37">
        <f t="shared" si="11"/>
        <v>208.00736720698808</v>
      </c>
      <c r="H27" s="34">
        <f t="shared" si="12"/>
        <v>8.8960812538557121</v>
      </c>
      <c r="I27" s="34">
        <f t="shared" si="13"/>
        <v>-8.9407851797545845E-2</v>
      </c>
      <c r="J27" s="34">
        <f t="shared" si="14"/>
        <v>2</v>
      </c>
      <c r="K27" s="34">
        <v>0</v>
      </c>
      <c r="L27" s="34">
        <f>('Specification &amp; Data'!B$22*'Specification &amp; Data'!B$10*'Specification &amp; Data'!B$20*(Simulation!F27^2-'Specification &amp; Data'!B$21^2))/2</f>
        <v>34.49501233573578</v>
      </c>
      <c r="M27" s="34">
        <f t="shared" si="15"/>
        <v>-50.866399108182755</v>
      </c>
      <c r="N27" s="34">
        <f>'Specification &amp; Data'!B$23*'Specification &amp; Data'!B$18*8.91</f>
        <v>60.4296693</v>
      </c>
      <c r="O27" s="34">
        <f t="shared" si="2"/>
        <v>44.058282527553025</v>
      </c>
      <c r="P27" s="40">
        <f t="shared" si="3"/>
        <v>44.058282527553025</v>
      </c>
      <c r="Q27" s="34">
        <f>IF(J27=1,'Specification &amp; Data'!B$52,IF(Simulation!J27=2,'Specification &amp; Data'!B$53,IF(Simulation!J27=3,'Specification &amp; Data'!B$54)))</f>
        <v>568.92541410528543</v>
      </c>
      <c r="R27" s="34">
        <f>(0.5*'Specification &amp; Data'!B$18*Simulation!F27^2)/1000</f>
        <v>20.43717553940084</v>
      </c>
      <c r="T27" s="40">
        <f>P27*'Specification &amp; Data'!B$14*0.9</f>
        <v>11.69239036308138</v>
      </c>
      <c r="U27" s="40">
        <f>T27/(IF(J27=1,'Specification &amp; Data'!H$7,IF(Simulation!J27=2,'Specification &amp; Data'!H$8,IF(Simulation!J27=3,'Specification &amp; Data'!H$9))))</f>
        <v>0.70148329464534176</v>
      </c>
      <c r="V27" s="40">
        <f t="shared" si="16"/>
        <v>2.7301999502096575E-3</v>
      </c>
      <c r="W27" s="40">
        <f t="shared" si="17"/>
        <v>5.9486051510896426E-3</v>
      </c>
      <c r="X27" s="40">
        <f t="shared" si="4"/>
        <v>0.38997648307310429</v>
      </c>
      <c r="Y27" s="40">
        <f t="shared" si="5"/>
        <v>0.52275667972265993</v>
      </c>
      <c r="Z27" s="40">
        <f t="shared" si="18"/>
        <v>5308.7523632668072</v>
      </c>
      <c r="AA27" s="40">
        <f t="shared" si="19"/>
        <v>1</v>
      </c>
      <c r="AB27" s="40">
        <f t="shared" si="20"/>
        <v>5500</v>
      </c>
      <c r="AC27" s="40">
        <f t="shared" si="6"/>
        <v>1.0832680085364008E-4</v>
      </c>
      <c r="AD27" s="40">
        <f t="shared" si="21"/>
        <v>2.5662706011608361E-2</v>
      </c>
      <c r="AE27" s="34">
        <f t="shared" si="22"/>
        <v>9.1644473522179482</v>
      </c>
      <c r="AF27" s="34">
        <f t="shared" si="23"/>
        <v>0.38997648307310429</v>
      </c>
      <c r="AG27" s="34">
        <f t="shared" si="7"/>
        <v>0.52275667972265993</v>
      </c>
      <c r="AH27" s="34">
        <f>INDEX('Specification &amp; Data'!E$24:R$46,MATCH(Simulation!AA27,'Specification &amp; Data'!D$24:D$46,0),MATCH(Simulation!AB27,'Specification &amp; Data'!E$47:R$47,0))</f>
        <v>863.13181500000007</v>
      </c>
      <c r="AI27" s="34">
        <f t="shared" si="8"/>
        <v>1.0832680085364008E-4</v>
      </c>
      <c r="AJ27" s="34">
        <f t="shared" si="0"/>
        <v>9.3500308233945922E-2</v>
      </c>
      <c r="AK27" s="34">
        <f t="shared" si="24"/>
        <v>10.909983846612846</v>
      </c>
      <c r="AL27" s="34">
        <v>2.3289729133329802</v>
      </c>
    </row>
    <row r="28" spans="2:38" x14ac:dyDescent="0.25">
      <c r="C28" s="34">
        <f t="shared" si="9"/>
        <v>26</v>
      </c>
      <c r="D28" s="34">
        <v>18</v>
      </c>
      <c r="E28" s="34">
        <f t="shared" si="1"/>
        <v>28.968143982404534</v>
      </c>
      <c r="F28" s="34">
        <f t="shared" si="10"/>
        <v>8.0467066617790373</v>
      </c>
      <c r="G28" s="37">
        <f t="shared" si="11"/>
        <v>216.45640920185608</v>
      </c>
      <c r="H28" s="34">
        <f t="shared" si="12"/>
        <v>8.44904199486799</v>
      </c>
      <c r="I28" s="34">
        <f t="shared" si="13"/>
        <v>-0.80467066617790195</v>
      </c>
      <c r="J28" s="34">
        <f t="shared" si="14"/>
        <v>2</v>
      </c>
      <c r="K28" s="34">
        <v>0</v>
      </c>
      <c r="L28" s="34">
        <f>('Specification &amp; Data'!B$22*'Specification &amp; Data'!B$10*'Specification &amp; Data'!B$20*(Simulation!F28^2-'Specification &amp; Data'!B$21^2))/2</f>
        <v>28.102525268609277</v>
      </c>
      <c r="M28" s="34">
        <f t="shared" si="15"/>
        <v>-457.79759197363876</v>
      </c>
      <c r="N28" s="34">
        <f>'Specification &amp; Data'!B$23*'Specification &amp; Data'!B$18*8.91</f>
        <v>60.4296693</v>
      </c>
      <c r="O28" s="34">
        <f t="shared" si="2"/>
        <v>-369.26539740502949</v>
      </c>
      <c r="P28" s="40">
        <f t="shared" si="3"/>
        <v>369.26539740502949</v>
      </c>
      <c r="Q28" s="34">
        <f>IF(J28=1,'Specification &amp; Data'!B$52,IF(Simulation!J28=2,'Specification &amp; Data'!B$53,IF(Simulation!J28=3,'Specification &amp; Data'!B$54)))</f>
        <v>568.92541410528543</v>
      </c>
      <c r="R28" s="34">
        <f>(0.5*'Specification &amp; Data'!B$18*Simulation!F28^2)/1000</f>
        <v>16.890227718513092</v>
      </c>
      <c r="T28" s="40">
        <f>P28*'Specification &amp; Data'!B$14*0.9</f>
        <v>97.997355465180902</v>
      </c>
      <c r="U28" s="40">
        <f>T28/(IF(J28=1,'Specification &amp; Data'!H$7,IF(Simulation!J28=2,'Specification &amp; Data'!H$8,IF(Simulation!J28=3,'Specification &amp; Data'!H$9))))</f>
        <v>5.8793373847064512</v>
      </c>
      <c r="V28" s="40">
        <f t="shared" si="16"/>
        <v>2.793014610568472E-3</v>
      </c>
      <c r="W28" s="40">
        <f t="shared" si="17"/>
        <v>6.7739857992184021E-3</v>
      </c>
      <c r="X28" s="40">
        <f t="shared" si="4"/>
        <v>2.9713703332635344</v>
      </c>
      <c r="Y28" s="40">
        <f t="shared" si="5"/>
        <v>3.9830701518277944</v>
      </c>
      <c r="Z28" s="40">
        <f t="shared" si="18"/>
        <v>4826.1385120607329</v>
      </c>
      <c r="AA28" s="40">
        <f t="shared" si="19"/>
        <v>6</v>
      </c>
      <c r="AB28" s="40">
        <f t="shared" si="20"/>
        <v>5000</v>
      </c>
      <c r="AC28" s="40">
        <f t="shared" si="6"/>
        <v>8.2538064812875955E-4</v>
      </c>
      <c r="AD28" s="40">
        <f t="shared" si="21"/>
        <v>2.648808665973712E-2</v>
      </c>
      <c r="AE28" s="34">
        <f t="shared" si="22"/>
        <v>-79.929861964789055</v>
      </c>
      <c r="AF28" s="34">
        <f t="shared" si="23"/>
        <v>-2.9713703332635344</v>
      </c>
      <c r="AG28" s="34">
        <f t="shared" si="7"/>
        <v>-3.9830701518277944</v>
      </c>
      <c r="AH28" s="34">
        <f>INDEX('Specification &amp; Data'!E$24:R$46,MATCH(Simulation!AA28,'Specification &amp; Data'!D$24:D$46,0),MATCH(Simulation!AB28,'Specification &amp; Data'!E$47:R$47,0))</f>
        <v>501.88401900000008</v>
      </c>
      <c r="AI28" s="34">
        <f t="shared" si="8"/>
        <v>-8.2538064812875955E-4</v>
      </c>
      <c r="AJ28" s="34">
        <f t="shared" si="0"/>
        <v>0.41424535688768677</v>
      </c>
      <c r="AK28" s="34">
        <f t="shared" si="24"/>
        <v>11.324229203500533</v>
      </c>
      <c r="AL28" s="34">
        <v>2.3289729133329802</v>
      </c>
    </row>
    <row r="29" spans="2:38" x14ac:dyDescent="0.25">
      <c r="C29" s="34">
        <f t="shared" si="9"/>
        <v>27</v>
      </c>
      <c r="D29" s="34">
        <v>17</v>
      </c>
      <c r="E29" s="34">
        <f t="shared" si="1"/>
        <v>27.358802650048727</v>
      </c>
      <c r="F29" s="34">
        <f t="shared" si="10"/>
        <v>7.5996674027913125</v>
      </c>
      <c r="G29" s="37">
        <f t="shared" si="11"/>
        <v>224.27959623414125</v>
      </c>
      <c r="H29" s="34">
        <f t="shared" si="12"/>
        <v>7.8231870322851744</v>
      </c>
      <c r="I29" s="34">
        <f t="shared" si="13"/>
        <v>-0.44703925898772567</v>
      </c>
      <c r="J29" s="34">
        <f t="shared" si="14"/>
        <v>2</v>
      </c>
      <c r="K29" s="34">
        <v>0</v>
      </c>
      <c r="L29" s="34">
        <f>('Specification &amp; Data'!B$22*'Specification &amp; Data'!B$10*'Specification &amp; Data'!B$20*(Simulation!F29^2-'Specification &amp; Data'!B$21^2))/2</f>
        <v>24.81420887605449</v>
      </c>
      <c r="M29" s="34">
        <f t="shared" si="15"/>
        <v>-254.33199554091178</v>
      </c>
      <c r="N29" s="34">
        <f>'Specification &amp; Data'!B$23*'Specification &amp; Data'!B$18*8.91</f>
        <v>60.4296693</v>
      </c>
      <c r="O29" s="34">
        <f t="shared" si="2"/>
        <v>-169.08811736485728</v>
      </c>
      <c r="P29" s="40">
        <f t="shared" si="3"/>
        <v>169.08811736485728</v>
      </c>
      <c r="Q29" s="34">
        <f>IF(J29=1,'Specification &amp; Data'!B$52,IF(Simulation!J29=2,'Specification &amp; Data'!B$53,IF(Simulation!J29=3,'Specification &amp; Data'!B$54)))</f>
        <v>568.92541410528543</v>
      </c>
      <c r="R29" s="34">
        <f>(0.5*'Specification &amp; Data'!B$18*Simulation!F29^2)/1000</f>
        <v>15.06566608225396</v>
      </c>
      <c r="T29" s="40">
        <f>P29*'Specification &amp; Data'!B$14*0.9</f>
        <v>44.873384992981357</v>
      </c>
      <c r="U29" s="40">
        <f>T29/(IF(J29=1,'Specification &amp; Data'!H$7,IF(Simulation!J29=2,'Specification &amp; Data'!H$8,IF(Simulation!J29=3,'Specification &amp; Data'!H$9))))</f>
        <v>2.6921723419495716</v>
      </c>
      <c r="V29" s="40">
        <f t="shared" si="16"/>
        <v>2.845397870102196E-3</v>
      </c>
      <c r="W29" s="40">
        <f t="shared" si="17"/>
        <v>7.1309339808120296E-3</v>
      </c>
      <c r="X29" s="40">
        <f t="shared" si="4"/>
        <v>1.2850134537370574</v>
      </c>
      <c r="Y29" s="40">
        <f t="shared" si="5"/>
        <v>1.7225381417386829</v>
      </c>
      <c r="Z29" s="40">
        <f t="shared" si="18"/>
        <v>4558.0197058351368</v>
      </c>
      <c r="AA29" s="40">
        <f t="shared" si="19"/>
        <v>3</v>
      </c>
      <c r="AB29" s="40">
        <f t="shared" si="20"/>
        <v>4500</v>
      </c>
      <c r="AC29" s="40">
        <f t="shared" si="6"/>
        <v>3.5694818159362707E-4</v>
      </c>
      <c r="AD29" s="40">
        <f t="shared" si="21"/>
        <v>2.6845034841330748E-2</v>
      </c>
      <c r="AE29" s="34">
        <f t="shared" si="22"/>
        <v>-37.923014690581283</v>
      </c>
      <c r="AF29" s="34">
        <f t="shared" si="23"/>
        <v>-1.2850134537370574</v>
      </c>
      <c r="AG29" s="34">
        <f t="shared" si="7"/>
        <v>-1.7225381417386829</v>
      </c>
      <c r="AH29" s="34">
        <f>INDEX('Specification &amp; Data'!E$24:R$46,MATCH(Simulation!AA29,'Specification &amp; Data'!D$24:D$46,0),MATCH(Simulation!AB29,'Specification &amp; Data'!E$47:R$47,0))</f>
        <v>739.33341300000006</v>
      </c>
      <c r="AI29" s="34">
        <f t="shared" si="8"/>
        <v>-3.5694818159362707E-4</v>
      </c>
      <c r="AJ29" s="34">
        <f t="shared" si="0"/>
        <v>0.2639037173617601</v>
      </c>
      <c r="AK29" s="34">
        <f t="shared" si="24"/>
        <v>11.588132920862293</v>
      </c>
      <c r="AL29" s="34">
        <v>2.3289729133329802</v>
      </c>
    </row>
    <row r="30" spans="2:38" x14ac:dyDescent="0.25">
      <c r="C30" s="34">
        <f t="shared" si="9"/>
        <v>28</v>
      </c>
      <c r="D30" s="34">
        <v>16</v>
      </c>
      <c r="E30" s="34">
        <f t="shared" si="1"/>
        <v>25.749461317692919</v>
      </c>
      <c r="F30" s="34">
        <f t="shared" si="10"/>
        <v>7.1526281438035886</v>
      </c>
      <c r="G30" s="37">
        <f t="shared" si="11"/>
        <v>231.6557440074387</v>
      </c>
      <c r="H30" s="34">
        <f t="shared" si="12"/>
        <v>7.3761477732974505</v>
      </c>
      <c r="I30" s="34">
        <f t="shared" si="13"/>
        <v>-0.4470392589877239</v>
      </c>
      <c r="J30" s="34">
        <f t="shared" si="14"/>
        <v>2</v>
      </c>
      <c r="K30" s="34">
        <v>0</v>
      </c>
      <c r="L30" s="34">
        <f>('Specification &amp; Data'!B$22*'Specification &amp; Data'!B$10*'Specification &amp; Data'!B$20*(Simulation!F30^2-'Specification &amp; Data'!B$21^2))/2</f>
        <v>21.713796277359986</v>
      </c>
      <c r="M30" s="34">
        <f t="shared" si="15"/>
        <v>-254.33199554091075</v>
      </c>
      <c r="N30" s="34">
        <f>'Specification &amp; Data'!B$23*'Specification &amp; Data'!B$18*8.91</f>
        <v>60.4296693</v>
      </c>
      <c r="O30" s="34">
        <f t="shared" si="2"/>
        <v>-172.18852996355076</v>
      </c>
      <c r="P30" s="40">
        <f t="shared" si="3"/>
        <v>172.18852996355076</v>
      </c>
      <c r="Q30" s="34">
        <f>IF(J30=1,'Specification &amp; Data'!B$52,IF(Simulation!J30=2,'Specification &amp; Data'!B$53,IF(Simulation!J30=3,'Specification &amp; Data'!B$54)))</f>
        <v>568.92541410528543</v>
      </c>
      <c r="R30" s="34">
        <f>(0.5*'Specification &amp; Data'!B$18*Simulation!F30^2)/1000</f>
        <v>13.345365110923924</v>
      </c>
      <c r="T30" s="40">
        <f>P30*'Specification &amp; Data'!B$14*0.9</f>
        <v>45.696186798019241</v>
      </c>
      <c r="U30" s="40">
        <f>T30/(IF(J30=1,'Specification &amp; Data'!H$7,IF(Simulation!J30=2,'Specification &amp; Data'!H$8,IF(Simulation!J30=3,'Specification &amp; Data'!H$9))))</f>
        <v>2.741536219062378</v>
      </c>
      <c r="V30" s="40">
        <f t="shared" si="16"/>
        <v>2.8885397340917135E-3</v>
      </c>
      <c r="W30" s="40">
        <f t="shared" si="17"/>
        <v>7.4730452378835464E-3</v>
      </c>
      <c r="X30" s="40">
        <f t="shared" si="4"/>
        <v>1.2316005254574607</v>
      </c>
      <c r="Y30" s="40">
        <f t="shared" si="5"/>
        <v>1.6509390421681778</v>
      </c>
      <c r="Z30" s="40">
        <f t="shared" si="18"/>
        <v>4289.9008996095408</v>
      </c>
      <c r="AA30" s="40">
        <f t="shared" si="19"/>
        <v>3</v>
      </c>
      <c r="AB30" s="40">
        <f t="shared" si="20"/>
        <v>4500</v>
      </c>
      <c r="AC30" s="40">
        <f t="shared" si="6"/>
        <v>3.4211125707151683E-4</v>
      </c>
      <c r="AD30" s="40">
        <f t="shared" si="21"/>
        <v>2.7187146098402264E-2</v>
      </c>
      <c r="AE30" s="34">
        <f t="shared" si="22"/>
        <v>-39.888462018253506</v>
      </c>
      <c r="AF30" s="34">
        <f t="shared" si="23"/>
        <v>-1.2316005254574607</v>
      </c>
      <c r="AG30" s="34">
        <f t="shared" si="7"/>
        <v>-1.6509390421681778</v>
      </c>
      <c r="AH30" s="34">
        <f>INDEX('Specification &amp; Data'!E$24:R$46,MATCH(Simulation!AA30,'Specification &amp; Data'!D$24:D$46,0),MATCH(Simulation!AB30,'Specification &amp; Data'!E$47:R$47,0))</f>
        <v>739.33341300000006</v>
      </c>
      <c r="AI30" s="34">
        <f t="shared" si="8"/>
        <v>-3.4211125707151683E-4</v>
      </c>
      <c r="AJ30" s="34">
        <f t="shared" si="0"/>
        <v>0.25293428331640494</v>
      </c>
      <c r="AK30" s="34">
        <f t="shared" si="24"/>
        <v>11.841067204178698</v>
      </c>
      <c r="AL30" s="34">
        <v>2.3289729133329802</v>
      </c>
    </row>
    <row r="31" spans="2:38" x14ac:dyDescent="0.25">
      <c r="C31" s="34">
        <f t="shared" si="9"/>
        <v>29</v>
      </c>
      <c r="D31" s="34">
        <v>15</v>
      </c>
      <c r="E31" s="34">
        <f t="shared" si="1"/>
        <v>24.140119985337112</v>
      </c>
      <c r="F31" s="34">
        <f t="shared" si="10"/>
        <v>6.7055888848158638</v>
      </c>
      <c r="G31" s="37">
        <f t="shared" si="11"/>
        <v>238.58485252174842</v>
      </c>
      <c r="H31" s="34">
        <f t="shared" si="12"/>
        <v>6.9291085143097266</v>
      </c>
      <c r="I31" s="34">
        <f t="shared" si="13"/>
        <v>-0.4470392589877239</v>
      </c>
      <c r="J31" s="34">
        <f t="shared" si="14"/>
        <v>2</v>
      </c>
      <c r="K31" s="34">
        <v>0</v>
      </c>
      <c r="L31" s="34">
        <f>('Specification &amp; Data'!B$22*'Specification &amp; Data'!B$10*'Specification &amp; Data'!B$20*(Simulation!F31^2-'Specification &amp; Data'!B$21^2))/2</f>
        <v>18.801287472525743</v>
      </c>
      <c r="M31" s="34">
        <f t="shared" si="15"/>
        <v>-254.33199554091075</v>
      </c>
      <c r="N31" s="34">
        <f>'Specification &amp; Data'!B$23*'Specification &amp; Data'!B$18*8.91</f>
        <v>60.4296693</v>
      </c>
      <c r="O31" s="34">
        <f t="shared" si="2"/>
        <v>-175.10103876838502</v>
      </c>
      <c r="P31" s="40">
        <f t="shared" si="3"/>
        <v>175.10103876838502</v>
      </c>
      <c r="Q31" s="34">
        <f>IF(J31=1,'Specification &amp; Data'!B$52,IF(Simulation!J31=2,'Specification &amp; Data'!B$53,IF(Simulation!J31=3,'Specification &amp; Data'!B$54)))</f>
        <v>568.92541410528543</v>
      </c>
      <c r="R31" s="34">
        <f>(0.5*'Specification &amp; Data'!B$18*Simulation!F31^2)/1000</f>
        <v>11.729324804522978</v>
      </c>
      <c r="T31" s="40">
        <f>P31*'Specification &amp; Data'!B$14*0.9</f>
        <v>46.469121826994488</v>
      </c>
      <c r="U31" s="40">
        <f>T31/(IF(J31=1,'Specification &amp; Data'!H$7,IF(Simulation!J31=2,'Specification &amp; Data'!H$8,IF(Simulation!J31=3,'Specification &amp; Data'!H$9))))</f>
        <v>2.7879083460471512</v>
      </c>
      <c r="V31" s="40">
        <f t="shared" si="16"/>
        <v>2.9235602075072678E-3</v>
      </c>
      <c r="W31" s="40">
        <f t="shared" si="17"/>
        <v>7.7991995654627111E-3</v>
      </c>
      <c r="X31" s="40">
        <f t="shared" si="4"/>
        <v>1.1741555792849943</v>
      </c>
      <c r="Y31" s="40">
        <f t="shared" si="5"/>
        <v>1.5739350928753275</v>
      </c>
      <c r="Z31" s="40">
        <f t="shared" si="18"/>
        <v>4021.7820933839439</v>
      </c>
      <c r="AA31" s="40">
        <f t="shared" si="19"/>
        <v>3</v>
      </c>
      <c r="AB31" s="40">
        <f t="shared" si="20"/>
        <v>4000</v>
      </c>
      <c r="AC31" s="40">
        <f t="shared" si="6"/>
        <v>3.2615432757916507E-4</v>
      </c>
      <c r="AD31" s="40">
        <f t="shared" si="21"/>
        <v>2.7513300425981428E-2</v>
      </c>
      <c r="AE31" s="34">
        <f t="shared" si="22"/>
        <v>-41.776455510960091</v>
      </c>
      <c r="AF31" s="34">
        <f t="shared" si="23"/>
        <v>-1.1741555792849943</v>
      </c>
      <c r="AG31" s="34">
        <f t="shared" si="7"/>
        <v>-1.5739350928753275</v>
      </c>
      <c r="AH31" s="34">
        <f>INDEX('Specification &amp; Data'!E$24:R$46,MATCH(Simulation!AA31,'Specification &amp; Data'!D$24:D$46,0),MATCH(Simulation!AB31,'Specification &amp; Data'!E$47:R$47,0))</f>
        <v>746.95257000000004</v>
      </c>
      <c r="AI31" s="34">
        <f t="shared" si="8"/>
        <v>-3.2615432757916507E-4</v>
      </c>
      <c r="AJ31" s="34">
        <f t="shared" si="0"/>
        <v>0.24362181320187923</v>
      </c>
      <c r="AK31" s="34">
        <f t="shared" si="24"/>
        <v>12.084689017380576</v>
      </c>
      <c r="AL31" s="34">
        <v>2.3289729133329802</v>
      </c>
    </row>
    <row r="32" spans="2:38" x14ac:dyDescent="0.25">
      <c r="B32" s="36" t="s">
        <v>112</v>
      </c>
      <c r="C32" s="34">
        <f t="shared" si="9"/>
        <v>30</v>
      </c>
      <c r="D32" s="34">
        <v>14</v>
      </c>
      <c r="E32" s="34">
        <f t="shared" si="1"/>
        <v>22.530778652981304</v>
      </c>
      <c r="F32" s="34">
        <f t="shared" si="10"/>
        <v>6.2585496258281399</v>
      </c>
      <c r="G32" s="37">
        <f t="shared" si="11"/>
        <v>245.06692177707041</v>
      </c>
      <c r="H32" s="34">
        <f t="shared" si="12"/>
        <v>6.4820692553220018</v>
      </c>
      <c r="I32" s="34">
        <f t="shared" si="13"/>
        <v>-0.4470392589877239</v>
      </c>
      <c r="J32" s="34">
        <f t="shared" si="14"/>
        <v>2</v>
      </c>
      <c r="K32" s="34">
        <v>0</v>
      </c>
      <c r="L32" s="34">
        <f>('Specification &amp; Data'!B$22*'Specification &amp; Data'!B$10*'Specification &amp; Data'!B$20*(Simulation!F32^2-'Specification &amp; Data'!B$21^2))/2</f>
        <v>16.076682461551783</v>
      </c>
      <c r="M32" s="34">
        <f t="shared" si="15"/>
        <v>-254.33199554091075</v>
      </c>
      <c r="N32" s="34">
        <f>'Specification &amp; Data'!B$23*'Specification &amp; Data'!B$18*8.91</f>
        <v>60.4296693</v>
      </c>
      <c r="O32" s="34">
        <f t="shared" si="2"/>
        <v>-177.82564377935898</v>
      </c>
      <c r="P32" s="40">
        <f t="shared" si="3"/>
        <v>177.82564377935898</v>
      </c>
      <c r="Q32" s="34">
        <f>IF(J32=1,'Specification &amp; Data'!B$52,IF(Simulation!J32=2,'Specification &amp; Data'!B$53,IF(Simulation!J32=3,'Specification &amp; Data'!B$54)))</f>
        <v>568.92541410528543</v>
      </c>
      <c r="R32" s="34">
        <f>(0.5*'Specification &amp; Data'!B$18*Simulation!F32^2)/1000</f>
        <v>10.217545163051129</v>
      </c>
      <c r="T32" s="40">
        <f>P32*'Specification &amp; Data'!B$14*0.9</f>
        <v>47.192190079906808</v>
      </c>
      <c r="U32" s="40">
        <f>T32/(IF(J32=1,'Specification &amp; Data'!H$7,IF(Simulation!J32=2,'Specification &amp; Data'!H$8,IF(Simulation!J32=3,'Specification &amp; Data'!H$9))))</f>
        <v>2.8312887229038739</v>
      </c>
      <c r="V32" s="40">
        <f t="shared" si="16"/>
        <v>2.9515092950084631E-3</v>
      </c>
      <c r="W32" s="40">
        <f t="shared" si="17"/>
        <v>8.1083469588899212E-3</v>
      </c>
      <c r="X32" s="40">
        <f t="shared" si="4"/>
        <v>1.1129306163379553</v>
      </c>
      <c r="Y32" s="40">
        <f t="shared" si="5"/>
        <v>1.4918640969677686</v>
      </c>
      <c r="Z32" s="40">
        <f t="shared" si="18"/>
        <v>3753.6632871583488</v>
      </c>
      <c r="AA32" s="40">
        <f t="shared" si="19"/>
        <v>3</v>
      </c>
      <c r="AB32" s="40">
        <f t="shared" si="20"/>
        <v>4000</v>
      </c>
      <c r="AC32" s="40">
        <f t="shared" si="6"/>
        <v>3.0914739342720982E-4</v>
      </c>
      <c r="AD32" s="40">
        <f t="shared" si="21"/>
        <v>2.7822447819408638E-2</v>
      </c>
      <c r="AE32" s="34">
        <f t="shared" si="22"/>
        <v>-43.57918313403335</v>
      </c>
      <c r="AF32" s="34">
        <f t="shared" si="23"/>
        <v>-1.1129306163379553</v>
      </c>
      <c r="AG32" s="34">
        <f t="shared" si="7"/>
        <v>-1.4918640969677686</v>
      </c>
      <c r="AH32" s="34">
        <f>INDEX('Specification &amp; Data'!E$24:R$46,MATCH(Simulation!AA32,'Specification &amp; Data'!D$24:D$46,0),MATCH(Simulation!AB32,'Specification &amp; Data'!E$47:R$47,0))</f>
        <v>746.95257000000004</v>
      </c>
      <c r="AI32" s="34">
        <f t="shared" si="8"/>
        <v>-3.0914739342720982E-4</v>
      </c>
      <c r="AJ32" s="34">
        <f t="shared" si="0"/>
        <v>0.23091844002925549</v>
      </c>
      <c r="AK32" s="34">
        <f t="shared" si="24"/>
        <v>12.315607457409831</v>
      </c>
      <c r="AL32" s="34">
        <v>2.3289729133329802</v>
      </c>
    </row>
    <row r="33" spans="2:38" x14ac:dyDescent="0.25">
      <c r="C33" s="34">
        <f t="shared" si="9"/>
        <v>31</v>
      </c>
      <c r="D33" s="34">
        <v>14</v>
      </c>
      <c r="E33" s="34">
        <f t="shared" si="1"/>
        <v>22.530778652981304</v>
      </c>
      <c r="F33" s="34">
        <f t="shared" si="10"/>
        <v>6.2585496258281399</v>
      </c>
      <c r="G33" s="37">
        <f t="shared" si="11"/>
        <v>251.32547140289856</v>
      </c>
      <c r="H33" s="34">
        <f t="shared" si="12"/>
        <v>6.2585496258281399</v>
      </c>
      <c r="I33" s="34">
        <f t="shared" si="13"/>
        <v>0</v>
      </c>
      <c r="J33" s="34">
        <f t="shared" si="14"/>
        <v>2</v>
      </c>
      <c r="K33" s="34">
        <v>0</v>
      </c>
      <c r="L33" s="34">
        <f>('Specification &amp; Data'!B$22*'Specification &amp; Data'!B$10*'Specification &amp; Data'!B$20*(Simulation!F33^2-'Specification &amp; Data'!B$21^2))/2</f>
        <v>16.076682461551783</v>
      </c>
      <c r="M33" s="34">
        <f t="shared" si="15"/>
        <v>0</v>
      </c>
      <c r="N33" s="34">
        <f>'Specification &amp; Data'!B$23*'Specification &amp; Data'!B$18*8.91</f>
        <v>60.4296693</v>
      </c>
      <c r="O33" s="34">
        <f t="shared" si="2"/>
        <v>76.506351761551784</v>
      </c>
      <c r="P33" s="40">
        <f t="shared" si="3"/>
        <v>76.506351761551784</v>
      </c>
      <c r="Q33" s="34">
        <f>IF(J33=1,'Specification &amp; Data'!B$52,IF(Simulation!J33=2,'Specification &amp; Data'!B$53,IF(Simulation!J33=3,'Specification &amp; Data'!B$54)))</f>
        <v>568.92541410528543</v>
      </c>
      <c r="R33" s="34">
        <f>(0.5*'Specification &amp; Data'!B$18*Simulation!F33^2)/1000</f>
        <v>10.217545163051129</v>
      </c>
      <c r="T33" s="40">
        <f>P33*'Specification &amp; Data'!B$14*0.9</f>
        <v>20.303608736719514</v>
      </c>
      <c r="U33" s="40">
        <f>T33/(IF(J33=1,'Specification &amp; Data'!H$7,IF(Simulation!J33=2,'Specification &amp; Data'!H$8,IF(Simulation!J33=3,'Specification &amp; Data'!H$9))))</f>
        <v>1.2181121145933487</v>
      </c>
      <c r="V33" s="40">
        <f t="shared" si="16"/>
        <v>2.9794583825096584E-3</v>
      </c>
      <c r="W33" s="40">
        <f t="shared" si="17"/>
        <v>8.1083469588899212E-3</v>
      </c>
      <c r="X33" s="40">
        <f t="shared" si="4"/>
        <v>0.47881879919073594</v>
      </c>
      <c r="Y33" s="40">
        <f t="shared" si="5"/>
        <v>0.64184825628784981</v>
      </c>
      <c r="Z33" s="40">
        <f t="shared" si="18"/>
        <v>3753.6632871583474</v>
      </c>
      <c r="AA33" s="40">
        <f t="shared" si="19"/>
        <v>1</v>
      </c>
      <c r="AB33" s="40">
        <f t="shared" si="20"/>
        <v>4000</v>
      </c>
      <c r="AC33" s="40">
        <f t="shared" si="6"/>
        <v>1.3300522199742666E-4</v>
      </c>
      <c r="AD33" s="40">
        <f t="shared" si="21"/>
        <v>2.7955453041406064E-2</v>
      </c>
      <c r="AE33" s="34">
        <f t="shared" si="22"/>
        <v>19.227994921787982</v>
      </c>
      <c r="AF33" s="34">
        <f t="shared" si="23"/>
        <v>0.47881879919073594</v>
      </c>
      <c r="AG33" s="34">
        <f t="shared" si="7"/>
        <v>0.64184825628784981</v>
      </c>
      <c r="AH33" s="34">
        <f>INDEX('Specification &amp; Data'!E$24:R$46,MATCH(Simulation!AA33,'Specification &amp; Data'!D$24:D$46,0),MATCH(Simulation!AB33,'Specification &amp; Data'!E$47:R$47,0))</f>
        <v>944.35122599999977</v>
      </c>
      <c r="AI33" s="34">
        <f t="shared" si="8"/>
        <v>1.3300522199742666E-4</v>
      </c>
      <c r="AJ33" s="34">
        <f t="shared" si="0"/>
        <v>0.125603644457672</v>
      </c>
      <c r="AK33" s="34">
        <f t="shared" si="24"/>
        <v>12.441211101867502</v>
      </c>
      <c r="AL33" s="34">
        <v>2.3289729133329802</v>
      </c>
    </row>
    <row r="34" spans="2:38" x14ac:dyDescent="0.25">
      <c r="C34" s="34">
        <f t="shared" si="9"/>
        <v>32</v>
      </c>
      <c r="D34" s="34">
        <v>14</v>
      </c>
      <c r="E34" s="34">
        <f t="shared" si="1"/>
        <v>22.530778652981304</v>
      </c>
      <c r="F34" s="34">
        <f t="shared" si="10"/>
        <v>6.2585496258281399</v>
      </c>
      <c r="G34" s="37">
        <f t="shared" si="11"/>
        <v>257.58402102872668</v>
      </c>
      <c r="H34" s="34">
        <f t="shared" si="12"/>
        <v>6.2585496258281399</v>
      </c>
      <c r="I34" s="34">
        <f t="shared" si="13"/>
        <v>0</v>
      </c>
      <c r="J34" s="34">
        <f t="shared" si="14"/>
        <v>2</v>
      </c>
      <c r="K34" s="34">
        <v>0</v>
      </c>
      <c r="L34" s="34">
        <f>('Specification &amp; Data'!B$22*'Specification &amp; Data'!B$10*'Specification &amp; Data'!B$20*(Simulation!F34^2-'Specification &amp; Data'!B$21^2))/2</f>
        <v>16.076682461551783</v>
      </c>
      <c r="M34" s="34">
        <f t="shared" si="15"/>
        <v>0</v>
      </c>
      <c r="N34" s="34">
        <f>'Specification &amp; Data'!B$23*'Specification &amp; Data'!B$18*8.91</f>
        <v>60.4296693</v>
      </c>
      <c r="O34" s="34">
        <f t="shared" si="2"/>
        <v>76.506351761551784</v>
      </c>
      <c r="P34" s="40">
        <f t="shared" si="3"/>
        <v>76.506351761551784</v>
      </c>
      <c r="Q34" s="34">
        <f>IF(J34=1,'Specification &amp; Data'!B$52,IF(Simulation!J34=2,'Specification &amp; Data'!B$53,IF(Simulation!J34=3,'Specification &amp; Data'!B$54)))</f>
        <v>568.92541410528543</v>
      </c>
      <c r="R34" s="34">
        <f>(0.5*'Specification &amp; Data'!B$18*Simulation!F34^2)/1000</f>
        <v>10.217545163051129</v>
      </c>
      <c r="T34" s="40">
        <f>P34*'Specification &amp; Data'!B$14*0.9</f>
        <v>20.303608736719514</v>
      </c>
      <c r="U34" s="40">
        <f>T34/(IF(J34=1,'Specification &amp; Data'!H$7,IF(Simulation!J34=2,'Specification &amp; Data'!H$8,IF(Simulation!J34=3,'Specification &amp; Data'!H$9))))</f>
        <v>1.2181121145933487</v>
      </c>
      <c r="V34" s="40">
        <f t="shared" si="16"/>
        <v>3.0074074700108537E-3</v>
      </c>
      <c r="W34" s="40">
        <f t="shared" si="17"/>
        <v>8.1083469588899212E-3</v>
      </c>
      <c r="X34" s="40">
        <f t="shared" si="4"/>
        <v>0.47881879919073594</v>
      </c>
      <c r="Y34" s="40">
        <f t="shared" si="5"/>
        <v>0.64184825628784981</v>
      </c>
      <c r="Z34" s="40">
        <f t="shared" si="18"/>
        <v>3753.6632871583474</v>
      </c>
      <c r="AA34" s="40">
        <f t="shared" si="19"/>
        <v>1</v>
      </c>
      <c r="AB34" s="40">
        <f t="shared" si="20"/>
        <v>4000</v>
      </c>
      <c r="AC34" s="40">
        <f t="shared" si="6"/>
        <v>1.3300522199742666E-4</v>
      </c>
      <c r="AD34" s="40">
        <f t="shared" si="21"/>
        <v>2.808845826340349E-2</v>
      </c>
      <c r="AE34" s="34">
        <f t="shared" si="22"/>
        <v>19.706813720978715</v>
      </c>
      <c r="AF34" s="34">
        <f t="shared" si="23"/>
        <v>0.47881879919073594</v>
      </c>
      <c r="AG34" s="34">
        <f t="shared" si="7"/>
        <v>0.64184825628784981</v>
      </c>
      <c r="AH34" s="34">
        <f>INDEX('Specification &amp; Data'!E$24:R$46,MATCH(Simulation!AA34,'Specification &amp; Data'!D$24:D$46,0),MATCH(Simulation!AB34,'Specification &amp; Data'!E$47:R$47,0))</f>
        <v>944.35122599999977</v>
      </c>
      <c r="AI34" s="34">
        <f t="shared" si="8"/>
        <v>1.3300522199742666E-4</v>
      </c>
      <c r="AJ34" s="34">
        <f t="shared" si="0"/>
        <v>0.125603644457672</v>
      </c>
      <c r="AK34" s="34">
        <f t="shared" si="24"/>
        <v>12.566814746325173</v>
      </c>
      <c r="AL34" s="34">
        <v>2.3289729133329802</v>
      </c>
    </row>
    <row r="35" spans="2:38" x14ac:dyDescent="0.25">
      <c r="C35" s="34">
        <f t="shared" si="9"/>
        <v>33</v>
      </c>
      <c r="D35" s="34">
        <v>14</v>
      </c>
      <c r="E35" s="34">
        <f t="shared" si="1"/>
        <v>22.530778652981304</v>
      </c>
      <c r="F35" s="34">
        <f t="shared" si="10"/>
        <v>6.2585496258281399</v>
      </c>
      <c r="G35" s="37">
        <f t="shared" si="11"/>
        <v>263.84257065455483</v>
      </c>
      <c r="H35" s="34">
        <f t="shared" si="12"/>
        <v>6.2585496258281399</v>
      </c>
      <c r="I35" s="34">
        <f t="shared" si="13"/>
        <v>0</v>
      </c>
      <c r="J35" s="34">
        <f t="shared" si="14"/>
        <v>2</v>
      </c>
      <c r="K35" s="34">
        <v>0</v>
      </c>
      <c r="L35" s="34">
        <f>('Specification &amp; Data'!B$22*'Specification &amp; Data'!B$10*'Specification &amp; Data'!B$20*(Simulation!F35^2-'Specification &amp; Data'!B$21^2))/2</f>
        <v>16.076682461551783</v>
      </c>
      <c r="M35" s="34">
        <f t="shared" si="15"/>
        <v>0</v>
      </c>
      <c r="N35" s="34">
        <f>'Specification &amp; Data'!B$23*'Specification &amp; Data'!B$18*8.91</f>
        <v>60.4296693</v>
      </c>
      <c r="O35" s="34">
        <f t="shared" si="2"/>
        <v>76.506351761551784</v>
      </c>
      <c r="P35" s="40">
        <f t="shared" si="3"/>
        <v>76.506351761551784</v>
      </c>
      <c r="Q35" s="34">
        <f>IF(J35=1,'Specification &amp; Data'!B$52,IF(Simulation!J35=2,'Specification &amp; Data'!B$53,IF(Simulation!J35=3,'Specification &amp; Data'!B$54)))</f>
        <v>568.92541410528543</v>
      </c>
      <c r="R35" s="34">
        <f>(0.5*'Specification &amp; Data'!B$18*Simulation!F35^2)/1000</f>
        <v>10.217545163051129</v>
      </c>
      <c r="T35" s="40">
        <f>P35*'Specification &amp; Data'!B$14*0.9</f>
        <v>20.303608736719514</v>
      </c>
      <c r="U35" s="40">
        <f>T35/(IF(J35=1,'Specification &amp; Data'!H$7,IF(Simulation!J35=2,'Specification &amp; Data'!H$8,IF(Simulation!J35=3,'Specification &amp; Data'!H$9))))</f>
        <v>1.2181121145933487</v>
      </c>
      <c r="V35" s="40">
        <f t="shared" si="16"/>
        <v>3.035356557512049E-3</v>
      </c>
      <c r="W35" s="40">
        <f t="shared" si="17"/>
        <v>8.1083469588899212E-3</v>
      </c>
      <c r="X35" s="40">
        <f t="shared" si="4"/>
        <v>0.47881879919073594</v>
      </c>
      <c r="Y35" s="40">
        <f t="shared" si="5"/>
        <v>0.64184825628784981</v>
      </c>
      <c r="Z35" s="40">
        <f t="shared" si="18"/>
        <v>3753.6632871583474</v>
      </c>
      <c r="AA35" s="40">
        <f t="shared" si="19"/>
        <v>1</v>
      </c>
      <c r="AB35" s="40">
        <f t="shared" si="20"/>
        <v>4000</v>
      </c>
      <c r="AC35" s="40">
        <f t="shared" si="6"/>
        <v>1.3300522199742666E-4</v>
      </c>
      <c r="AD35" s="40">
        <f t="shared" si="21"/>
        <v>2.8221463485400916E-2</v>
      </c>
      <c r="AE35" s="34">
        <f t="shared" si="22"/>
        <v>20.185632520169452</v>
      </c>
      <c r="AF35" s="34">
        <f t="shared" si="23"/>
        <v>0.47881879919073594</v>
      </c>
      <c r="AG35" s="34">
        <f t="shared" si="7"/>
        <v>0.64184825628784981</v>
      </c>
      <c r="AH35" s="34">
        <f>INDEX('Specification &amp; Data'!E$24:R$46,MATCH(Simulation!AA35,'Specification &amp; Data'!D$24:D$46,0),MATCH(Simulation!AB35,'Specification &amp; Data'!E$47:R$47,0))</f>
        <v>944.35122599999977</v>
      </c>
      <c r="AI35" s="34">
        <f t="shared" si="8"/>
        <v>1.3300522199742666E-4</v>
      </c>
      <c r="AJ35" s="34">
        <f t="shared" si="0"/>
        <v>0.125603644457672</v>
      </c>
      <c r="AK35" s="34">
        <f t="shared" si="24"/>
        <v>12.692418390782844</v>
      </c>
      <c r="AL35" s="34">
        <v>2.3289729133329802</v>
      </c>
    </row>
    <row r="36" spans="2:38" x14ac:dyDescent="0.25">
      <c r="C36" s="34">
        <f t="shared" si="9"/>
        <v>34</v>
      </c>
      <c r="D36" s="34">
        <v>14</v>
      </c>
      <c r="E36" s="34">
        <f t="shared" si="1"/>
        <v>22.530778652981304</v>
      </c>
      <c r="F36" s="34">
        <f t="shared" si="10"/>
        <v>6.2585496258281399</v>
      </c>
      <c r="G36" s="37">
        <f t="shared" si="11"/>
        <v>270.10112028038299</v>
      </c>
      <c r="H36" s="34">
        <f t="shared" si="12"/>
        <v>6.2585496258281399</v>
      </c>
      <c r="I36" s="34">
        <f t="shared" si="13"/>
        <v>0</v>
      </c>
      <c r="J36" s="34">
        <f t="shared" si="14"/>
        <v>2</v>
      </c>
      <c r="K36" s="34">
        <v>0</v>
      </c>
      <c r="L36" s="34">
        <f>('Specification &amp; Data'!B$22*'Specification &amp; Data'!B$10*'Specification &amp; Data'!B$20*(Simulation!F36^2-'Specification &amp; Data'!B$21^2))/2</f>
        <v>16.076682461551783</v>
      </c>
      <c r="M36" s="34">
        <f t="shared" si="15"/>
        <v>0</v>
      </c>
      <c r="N36" s="34">
        <f>'Specification &amp; Data'!B$23*'Specification &amp; Data'!B$18*8.91</f>
        <v>60.4296693</v>
      </c>
      <c r="O36" s="34">
        <f t="shared" si="2"/>
        <v>76.506351761551784</v>
      </c>
      <c r="P36" s="40">
        <f t="shared" si="3"/>
        <v>76.506351761551784</v>
      </c>
      <c r="Q36" s="34">
        <f>IF(J36=1,'Specification &amp; Data'!B$52,IF(Simulation!J36=2,'Specification &amp; Data'!B$53,IF(Simulation!J36=3,'Specification &amp; Data'!B$54)))</f>
        <v>568.92541410528543</v>
      </c>
      <c r="R36" s="34">
        <f>(0.5*'Specification &amp; Data'!B$18*Simulation!F36^2)/1000</f>
        <v>10.217545163051129</v>
      </c>
      <c r="T36" s="40">
        <f>P36*'Specification &amp; Data'!B$14*0.9</f>
        <v>20.303608736719514</v>
      </c>
      <c r="U36" s="40">
        <f>T36/(IF(J36=1,'Specification &amp; Data'!H$7,IF(Simulation!J36=2,'Specification &amp; Data'!H$8,IF(Simulation!J36=3,'Specification &amp; Data'!H$9))))</f>
        <v>1.2181121145933487</v>
      </c>
      <c r="V36" s="40">
        <f t="shared" si="16"/>
        <v>3.0633056450132443E-3</v>
      </c>
      <c r="W36" s="40">
        <f t="shared" si="17"/>
        <v>8.1083469588899212E-3</v>
      </c>
      <c r="X36" s="40">
        <f t="shared" si="4"/>
        <v>0.47881879919073594</v>
      </c>
      <c r="Y36" s="40">
        <f t="shared" si="5"/>
        <v>0.64184825628784981</v>
      </c>
      <c r="Z36" s="40">
        <f t="shared" si="18"/>
        <v>3753.6632871583474</v>
      </c>
      <c r="AA36" s="40">
        <f t="shared" si="19"/>
        <v>1</v>
      </c>
      <c r="AB36" s="40">
        <f t="shared" si="20"/>
        <v>4000</v>
      </c>
      <c r="AC36" s="40">
        <f t="shared" si="6"/>
        <v>1.3300522199742666E-4</v>
      </c>
      <c r="AD36" s="40">
        <f t="shared" si="21"/>
        <v>2.8354468707398342E-2</v>
      </c>
      <c r="AE36" s="34">
        <f t="shared" si="22"/>
        <v>20.66445131936019</v>
      </c>
      <c r="AF36" s="34">
        <f t="shared" si="23"/>
        <v>0.47881879919073594</v>
      </c>
      <c r="AG36" s="34">
        <f t="shared" si="7"/>
        <v>0.64184825628784981</v>
      </c>
      <c r="AH36" s="34">
        <f>INDEX('Specification &amp; Data'!E$24:R$46,MATCH(Simulation!AA36,'Specification &amp; Data'!D$24:D$46,0),MATCH(Simulation!AB36,'Specification &amp; Data'!E$47:R$47,0))</f>
        <v>944.35122599999977</v>
      </c>
      <c r="AI36" s="34">
        <f t="shared" si="8"/>
        <v>1.3300522199742666E-4</v>
      </c>
      <c r="AJ36" s="34">
        <f t="shared" si="0"/>
        <v>0.125603644457672</v>
      </c>
      <c r="AK36" s="34">
        <f t="shared" si="24"/>
        <v>12.818022035240515</v>
      </c>
      <c r="AL36" s="34">
        <v>2.3289729133329802</v>
      </c>
    </row>
    <row r="37" spans="2:38" x14ac:dyDescent="0.25">
      <c r="C37" s="34">
        <f t="shared" si="9"/>
        <v>35</v>
      </c>
      <c r="D37" s="34">
        <v>14</v>
      </c>
      <c r="E37" s="34">
        <f t="shared" si="1"/>
        <v>22.530778652981304</v>
      </c>
      <c r="F37" s="34">
        <f t="shared" si="10"/>
        <v>6.2585496258281399</v>
      </c>
      <c r="G37" s="37">
        <f t="shared" si="11"/>
        <v>276.35966990621114</v>
      </c>
      <c r="H37" s="34">
        <f t="shared" si="12"/>
        <v>6.2585496258281399</v>
      </c>
      <c r="I37" s="34">
        <f t="shared" si="13"/>
        <v>0</v>
      </c>
      <c r="J37" s="34">
        <f t="shared" si="14"/>
        <v>2</v>
      </c>
      <c r="K37" s="34">
        <v>0</v>
      </c>
      <c r="L37" s="34">
        <f>('Specification &amp; Data'!B$22*'Specification &amp; Data'!B$10*'Specification &amp; Data'!B$20*(Simulation!F37^2-'Specification &amp; Data'!B$21^2))/2</f>
        <v>16.076682461551783</v>
      </c>
      <c r="M37" s="34">
        <f t="shared" si="15"/>
        <v>0</v>
      </c>
      <c r="N37" s="34">
        <f>'Specification &amp; Data'!B$23*'Specification &amp; Data'!B$18*8.91</f>
        <v>60.4296693</v>
      </c>
      <c r="O37" s="34">
        <f t="shared" si="2"/>
        <v>76.506351761551784</v>
      </c>
      <c r="P37" s="40">
        <f t="shared" si="3"/>
        <v>76.506351761551784</v>
      </c>
      <c r="Q37" s="34">
        <f>IF(J37=1,'Specification &amp; Data'!B$52,IF(Simulation!J37=2,'Specification &amp; Data'!B$53,IF(Simulation!J37=3,'Specification &amp; Data'!B$54)))</f>
        <v>568.92541410528543</v>
      </c>
      <c r="R37" s="34">
        <f>(0.5*'Specification &amp; Data'!B$18*Simulation!F37^2)/1000</f>
        <v>10.217545163051129</v>
      </c>
      <c r="T37" s="40">
        <f>P37*'Specification &amp; Data'!B$14*0.9</f>
        <v>20.303608736719514</v>
      </c>
      <c r="U37" s="40">
        <f>T37/(IF(J37=1,'Specification &amp; Data'!H$7,IF(Simulation!J37=2,'Specification &amp; Data'!H$8,IF(Simulation!J37=3,'Specification &amp; Data'!H$9))))</f>
        <v>1.2181121145933487</v>
      </c>
      <c r="V37" s="40">
        <f t="shared" si="16"/>
        <v>3.0912547325144396E-3</v>
      </c>
      <c r="W37" s="40">
        <f t="shared" si="17"/>
        <v>8.1083469588899212E-3</v>
      </c>
      <c r="X37" s="40">
        <f t="shared" si="4"/>
        <v>0.47881879919073594</v>
      </c>
      <c r="Y37" s="40">
        <f t="shared" si="5"/>
        <v>0.64184825628784981</v>
      </c>
      <c r="Z37" s="40">
        <f t="shared" si="18"/>
        <v>3753.6632871583474</v>
      </c>
      <c r="AA37" s="40">
        <f t="shared" si="19"/>
        <v>1</v>
      </c>
      <c r="AB37" s="40">
        <f t="shared" si="20"/>
        <v>4000</v>
      </c>
      <c r="AC37" s="40">
        <f t="shared" si="6"/>
        <v>1.3300522199742666E-4</v>
      </c>
      <c r="AD37" s="40">
        <f t="shared" si="21"/>
        <v>2.8487473929395768E-2</v>
      </c>
      <c r="AE37" s="34">
        <f t="shared" si="22"/>
        <v>21.143270118550927</v>
      </c>
      <c r="AF37" s="34">
        <f t="shared" si="23"/>
        <v>0.47881879919073594</v>
      </c>
      <c r="AG37" s="34">
        <f t="shared" si="7"/>
        <v>0.64184825628784981</v>
      </c>
      <c r="AH37" s="34">
        <f>INDEX('Specification &amp; Data'!E$24:R$46,MATCH(Simulation!AA37,'Specification &amp; Data'!D$24:D$46,0),MATCH(Simulation!AB37,'Specification &amp; Data'!E$47:R$47,0))</f>
        <v>944.35122599999977</v>
      </c>
      <c r="AI37" s="34">
        <f t="shared" si="8"/>
        <v>1.3300522199742666E-4</v>
      </c>
      <c r="AJ37" s="34">
        <f t="shared" si="0"/>
        <v>0.125603644457672</v>
      </c>
      <c r="AK37" s="34">
        <f t="shared" si="24"/>
        <v>12.943625679698187</v>
      </c>
      <c r="AL37" s="34">
        <v>2.3289729133329802</v>
      </c>
    </row>
    <row r="38" spans="2:38" x14ac:dyDescent="0.25">
      <c r="C38" s="34">
        <f t="shared" si="9"/>
        <v>36</v>
      </c>
      <c r="D38" s="34">
        <v>14</v>
      </c>
      <c r="E38" s="34">
        <f t="shared" si="1"/>
        <v>22.530778652981304</v>
      </c>
      <c r="F38" s="34">
        <f t="shared" si="10"/>
        <v>6.2585496258281399</v>
      </c>
      <c r="G38" s="37">
        <f t="shared" si="11"/>
        <v>282.61821953203929</v>
      </c>
      <c r="H38" s="34">
        <f t="shared" si="12"/>
        <v>6.2585496258281399</v>
      </c>
      <c r="I38" s="34">
        <f t="shared" si="13"/>
        <v>0</v>
      </c>
      <c r="J38" s="34">
        <f t="shared" si="14"/>
        <v>2</v>
      </c>
      <c r="K38" s="34">
        <v>0</v>
      </c>
      <c r="L38" s="34">
        <f>('Specification &amp; Data'!B$22*'Specification &amp; Data'!B$10*'Specification &amp; Data'!B$20*(Simulation!F38^2-'Specification &amp; Data'!B$21^2))/2</f>
        <v>16.076682461551783</v>
      </c>
      <c r="M38" s="34">
        <f t="shared" si="15"/>
        <v>0</v>
      </c>
      <c r="N38" s="34">
        <f>'Specification &amp; Data'!B$23*'Specification &amp; Data'!B$18*8.91</f>
        <v>60.4296693</v>
      </c>
      <c r="O38" s="34">
        <f t="shared" si="2"/>
        <v>76.506351761551784</v>
      </c>
      <c r="P38" s="40">
        <f t="shared" si="3"/>
        <v>76.506351761551784</v>
      </c>
      <c r="Q38" s="34">
        <f>IF(J38=1,'Specification &amp; Data'!B$52,IF(Simulation!J38=2,'Specification &amp; Data'!B$53,IF(Simulation!J38=3,'Specification &amp; Data'!B$54)))</f>
        <v>568.92541410528543</v>
      </c>
      <c r="R38" s="34">
        <f>(0.5*'Specification &amp; Data'!B$18*Simulation!F38^2)/1000</f>
        <v>10.217545163051129</v>
      </c>
      <c r="T38" s="40">
        <f>P38*'Specification &amp; Data'!B$14*0.9</f>
        <v>20.303608736719514</v>
      </c>
      <c r="U38" s="40">
        <f>T38/(IF(J38=1,'Specification &amp; Data'!H$7,IF(Simulation!J38=2,'Specification &amp; Data'!H$8,IF(Simulation!J38=3,'Specification &amp; Data'!H$9))))</f>
        <v>1.2181121145933487</v>
      </c>
      <c r="V38" s="40">
        <f t="shared" si="16"/>
        <v>3.1192038200156349E-3</v>
      </c>
      <c r="W38" s="40">
        <f t="shared" si="17"/>
        <v>8.1083469588899212E-3</v>
      </c>
      <c r="X38" s="40">
        <f t="shared" si="4"/>
        <v>0.47881879919073594</v>
      </c>
      <c r="Y38" s="40">
        <f t="shared" si="5"/>
        <v>0.64184825628784981</v>
      </c>
      <c r="Z38" s="40">
        <f t="shared" si="18"/>
        <v>3753.6632871583474</v>
      </c>
      <c r="AA38" s="40">
        <f t="shared" si="19"/>
        <v>1</v>
      </c>
      <c r="AB38" s="40">
        <f t="shared" si="20"/>
        <v>4000</v>
      </c>
      <c r="AC38" s="40">
        <f t="shared" si="6"/>
        <v>1.3300522199742666E-4</v>
      </c>
      <c r="AD38" s="40">
        <f t="shared" si="21"/>
        <v>2.8620479151393194E-2</v>
      </c>
      <c r="AE38" s="34">
        <f t="shared" si="22"/>
        <v>21.62208891774166</v>
      </c>
      <c r="AF38" s="34">
        <f t="shared" si="23"/>
        <v>0.47881879919073594</v>
      </c>
      <c r="AG38" s="34">
        <f t="shared" si="7"/>
        <v>0.64184825628784981</v>
      </c>
      <c r="AH38" s="34">
        <f>INDEX('Specification &amp; Data'!E$24:R$46,MATCH(Simulation!AA38,'Specification &amp; Data'!D$24:D$46,0),MATCH(Simulation!AB38,'Specification &amp; Data'!E$47:R$47,0))</f>
        <v>944.35122599999977</v>
      </c>
      <c r="AI38" s="34">
        <f t="shared" si="8"/>
        <v>1.3300522199742666E-4</v>
      </c>
      <c r="AJ38" s="34">
        <f t="shared" si="0"/>
        <v>0.125603644457672</v>
      </c>
      <c r="AK38" s="34">
        <f t="shared" si="24"/>
        <v>13.069229324155858</v>
      </c>
      <c r="AL38" s="34">
        <v>2.3289729133329802</v>
      </c>
    </row>
    <row r="39" spans="2:38" x14ac:dyDescent="0.25">
      <c r="C39" s="34">
        <f t="shared" si="9"/>
        <v>37</v>
      </c>
      <c r="D39" s="34">
        <v>14</v>
      </c>
      <c r="E39" s="34">
        <f t="shared" si="1"/>
        <v>22.530778652981304</v>
      </c>
      <c r="F39" s="34">
        <f t="shared" si="10"/>
        <v>6.2585496258281399</v>
      </c>
      <c r="G39" s="37">
        <f t="shared" si="11"/>
        <v>288.87676915786744</v>
      </c>
      <c r="H39" s="34">
        <f t="shared" si="12"/>
        <v>6.2585496258281399</v>
      </c>
      <c r="I39" s="34">
        <f t="shared" si="13"/>
        <v>0</v>
      </c>
      <c r="J39" s="34">
        <f t="shared" si="14"/>
        <v>2</v>
      </c>
      <c r="K39" s="34">
        <v>0</v>
      </c>
      <c r="L39" s="34">
        <f>('Specification &amp; Data'!B$22*'Specification &amp; Data'!B$10*'Specification &amp; Data'!B$20*(Simulation!F39^2-'Specification &amp; Data'!B$21^2))/2</f>
        <v>16.076682461551783</v>
      </c>
      <c r="M39" s="34">
        <f t="shared" si="15"/>
        <v>0</v>
      </c>
      <c r="N39" s="34">
        <f>'Specification &amp; Data'!B$23*'Specification &amp; Data'!B$18*8.91</f>
        <v>60.4296693</v>
      </c>
      <c r="O39" s="34">
        <f t="shared" si="2"/>
        <v>76.506351761551784</v>
      </c>
      <c r="P39" s="40">
        <f t="shared" si="3"/>
        <v>76.506351761551784</v>
      </c>
      <c r="Q39" s="34">
        <f>IF(J39=1,'Specification &amp; Data'!B$52,IF(Simulation!J39=2,'Specification &amp; Data'!B$53,IF(Simulation!J39=3,'Specification &amp; Data'!B$54)))</f>
        <v>568.92541410528543</v>
      </c>
      <c r="R39" s="34">
        <f>(0.5*'Specification &amp; Data'!B$18*Simulation!F39^2)/1000</f>
        <v>10.217545163051129</v>
      </c>
      <c r="T39" s="40">
        <f>P39*'Specification &amp; Data'!B$14*0.9</f>
        <v>20.303608736719514</v>
      </c>
      <c r="U39" s="40">
        <f>T39/(IF(J39=1,'Specification &amp; Data'!H$7,IF(Simulation!J39=2,'Specification &amp; Data'!H$8,IF(Simulation!J39=3,'Specification &amp; Data'!H$9))))</f>
        <v>1.2181121145933487</v>
      </c>
      <c r="V39" s="40">
        <f t="shared" si="16"/>
        <v>3.1471529075168302E-3</v>
      </c>
      <c r="W39" s="40">
        <f t="shared" si="17"/>
        <v>8.1083469588899212E-3</v>
      </c>
      <c r="X39" s="40">
        <f t="shared" si="4"/>
        <v>0.47881879919073594</v>
      </c>
      <c r="Y39" s="40">
        <f t="shared" si="5"/>
        <v>0.64184825628784981</v>
      </c>
      <c r="Z39" s="40">
        <f t="shared" si="18"/>
        <v>3753.6632871583474</v>
      </c>
      <c r="AA39" s="40">
        <f t="shared" si="19"/>
        <v>1</v>
      </c>
      <c r="AB39" s="40">
        <f t="shared" si="20"/>
        <v>4000</v>
      </c>
      <c r="AC39" s="40">
        <f t="shared" si="6"/>
        <v>1.3300522199742666E-4</v>
      </c>
      <c r="AD39" s="40">
        <f t="shared" si="21"/>
        <v>2.875348437339062E-2</v>
      </c>
      <c r="AE39" s="34">
        <f t="shared" si="22"/>
        <v>22.100907716932401</v>
      </c>
      <c r="AF39" s="34">
        <f t="shared" si="23"/>
        <v>0.47881879919073594</v>
      </c>
      <c r="AG39" s="34">
        <f t="shared" si="7"/>
        <v>0.64184825628784981</v>
      </c>
      <c r="AH39" s="34">
        <f>INDEX('Specification &amp; Data'!E$24:R$46,MATCH(Simulation!AA39,'Specification &amp; Data'!D$24:D$46,0),MATCH(Simulation!AB39,'Specification &amp; Data'!E$47:R$47,0))</f>
        <v>944.35122599999977</v>
      </c>
      <c r="AI39" s="34">
        <f t="shared" si="8"/>
        <v>1.3300522199742666E-4</v>
      </c>
      <c r="AJ39" s="34">
        <f t="shared" si="0"/>
        <v>0.125603644457672</v>
      </c>
      <c r="AK39" s="34">
        <f t="shared" si="24"/>
        <v>13.194832968613529</v>
      </c>
      <c r="AL39" s="34">
        <v>2.3289729133329802</v>
      </c>
    </row>
    <row r="40" spans="2:38" x14ac:dyDescent="0.25">
      <c r="C40" s="34">
        <f t="shared" si="9"/>
        <v>38</v>
      </c>
      <c r="D40" s="34">
        <v>14</v>
      </c>
      <c r="E40" s="34">
        <f t="shared" si="1"/>
        <v>22.530778652981304</v>
      </c>
      <c r="F40" s="34">
        <f t="shared" si="10"/>
        <v>6.2585496258281399</v>
      </c>
      <c r="G40" s="37">
        <f t="shared" si="11"/>
        <v>295.1353187836956</v>
      </c>
      <c r="H40" s="34">
        <f t="shared" si="12"/>
        <v>6.2585496258281399</v>
      </c>
      <c r="I40" s="34">
        <f t="shared" si="13"/>
        <v>0</v>
      </c>
      <c r="J40" s="34">
        <f t="shared" si="14"/>
        <v>2</v>
      </c>
      <c r="K40" s="34">
        <v>0</v>
      </c>
      <c r="L40" s="34">
        <f>('Specification &amp; Data'!B$22*'Specification &amp; Data'!B$10*'Specification &amp; Data'!B$20*(Simulation!F40^2-'Specification &amp; Data'!B$21^2))/2</f>
        <v>16.076682461551783</v>
      </c>
      <c r="M40" s="34">
        <f t="shared" si="15"/>
        <v>0</v>
      </c>
      <c r="N40" s="34">
        <f>'Specification &amp; Data'!B$23*'Specification &amp; Data'!B$18*8.91</f>
        <v>60.4296693</v>
      </c>
      <c r="O40" s="34">
        <f t="shared" si="2"/>
        <v>76.506351761551784</v>
      </c>
      <c r="P40" s="40">
        <f t="shared" si="3"/>
        <v>76.506351761551784</v>
      </c>
      <c r="Q40" s="34">
        <f>IF(J40=1,'Specification &amp; Data'!B$52,IF(Simulation!J40=2,'Specification &amp; Data'!B$53,IF(Simulation!J40=3,'Specification &amp; Data'!B$54)))</f>
        <v>568.92541410528543</v>
      </c>
      <c r="R40" s="34">
        <f>(0.5*'Specification &amp; Data'!B$18*Simulation!F40^2)/1000</f>
        <v>10.217545163051129</v>
      </c>
      <c r="T40" s="40">
        <f>P40*'Specification &amp; Data'!B$14*0.9</f>
        <v>20.303608736719514</v>
      </c>
      <c r="U40" s="40">
        <f>T40/(IF(J40=1,'Specification &amp; Data'!H$7,IF(Simulation!J40=2,'Specification &amp; Data'!H$8,IF(Simulation!J40=3,'Specification &amp; Data'!H$9))))</f>
        <v>1.2181121145933487</v>
      </c>
      <c r="V40" s="40">
        <f t="shared" si="16"/>
        <v>3.1751019950180255E-3</v>
      </c>
      <c r="W40" s="40">
        <f t="shared" si="17"/>
        <v>8.1083469588899212E-3</v>
      </c>
      <c r="X40" s="40">
        <f t="shared" si="4"/>
        <v>0.47881879919073594</v>
      </c>
      <c r="Y40" s="40">
        <f t="shared" si="5"/>
        <v>0.64184825628784981</v>
      </c>
      <c r="Z40" s="40">
        <f t="shared" si="18"/>
        <v>3753.6632871583474</v>
      </c>
      <c r="AA40" s="40">
        <f t="shared" si="19"/>
        <v>1</v>
      </c>
      <c r="AB40" s="40">
        <f t="shared" si="20"/>
        <v>4000</v>
      </c>
      <c r="AC40" s="40">
        <f t="shared" si="6"/>
        <v>1.3300522199742666E-4</v>
      </c>
      <c r="AD40" s="40">
        <f t="shared" si="21"/>
        <v>2.8886489595388046E-2</v>
      </c>
      <c r="AE40" s="34">
        <f t="shared" si="22"/>
        <v>22.579726516123138</v>
      </c>
      <c r="AF40" s="34">
        <f t="shared" si="23"/>
        <v>0.47881879919073594</v>
      </c>
      <c r="AG40" s="34">
        <f t="shared" si="7"/>
        <v>0.64184825628784981</v>
      </c>
      <c r="AH40" s="34">
        <f>INDEX('Specification &amp; Data'!E$24:R$46,MATCH(Simulation!AA40,'Specification &amp; Data'!D$24:D$46,0),MATCH(Simulation!AB40,'Specification &amp; Data'!E$47:R$47,0))</f>
        <v>944.35122599999977</v>
      </c>
      <c r="AI40" s="34">
        <f t="shared" si="8"/>
        <v>1.3300522199742666E-4</v>
      </c>
      <c r="AJ40" s="34">
        <f t="shared" si="0"/>
        <v>0.125603644457672</v>
      </c>
      <c r="AK40" s="34">
        <f t="shared" si="24"/>
        <v>13.3204366130712</v>
      </c>
      <c r="AL40" s="34">
        <v>2.3289729133329802</v>
      </c>
    </row>
    <row r="41" spans="2:38" x14ac:dyDescent="0.25">
      <c r="C41" s="34">
        <f t="shared" si="9"/>
        <v>39</v>
      </c>
      <c r="D41" s="34">
        <v>14</v>
      </c>
      <c r="E41" s="34">
        <f t="shared" si="1"/>
        <v>22.530778652981304</v>
      </c>
      <c r="F41" s="34">
        <f t="shared" si="10"/>
        <v>6.2585496258281399</v>
      </c>
      <c r="G41" s="37">
        <f t="shared" si="11"/>
        <v>301.39386840952375</v>
      </c>
      <c r="H41" s="34">
        <f t="shared" si="12"/>
        <v>6.2585496258281399</v>
      </c>
      <c r="I41" s="34">
        <f t="shared" si="13"/>
        <v>0</v>
      </c>
      <c r="J41" s="34">
        <f t="shared" si="14"/>
        <v>2</v>
      </c>
      <c r="K41" s="34">
        <v>0</v>
      </c>
      <c r="L41" s="34">
        <f>('Specification &amp; Data'!B$22*'Specification &amp; Data'!B$10*'Specification &amp; Data'!B$20*(Simulation!F41^2-'Specification &amp; Data'!B$21^2))/2</f>
        <v>16.076682461551783</v>
      </c>
      <c r="M41" s="34">
        <f t="shared" si="15"/>
        <v>0</v>
      </c>
      <c r="N41" s="34">
        <f>'Specification &amp; Data'!B$23*'Specification &amp; Data'!B$18*8.91</f>
        <v>60.4296693</v>
      </c>
      <c r="O41" s="34">
        <f t="shared" si="2"/>
        <v>76.506351761551784</v>
      </c>
      <c r="P41" s="40">
        <f t="shared" si="3"/>
        <v>76.506351761551784</v>
      </c>
      <c r="Q41" s="34">
        <f>IF(J41=1,'Specification &amp; Data'!B$52,IF(Simulation!J41=2,'Specification &amp; Data'!B$53,IF(Simulation!J41=3,'Specification &amp; Data'!B$54)))</f>
        <v>568.92541410528543</v>
      </c>
      <c r="R41" s="34">
        <f>(0.5*'Specification &amp; Data'!B$18*Simulation!F41^2)/1000</f>
        <v>10.217545163051129</v>
      </c>
      <c r="T41" s="40">
        <f>P41*'Specification &amp; Data'!B$14*0.9</f>
        <v>20.303608736719514</v>
      </c>
      <c r="U41" s="40">
        <f>T41/(IF(J41=1,'Specification &amp; Data'!H$7,IF(Simulation!J41=2,'Specification &amp; Data'!H$8,IF(Simulation!J41=3,'Specification &amp; Data'!H$9))))</f>
        <v>1.2181121145933487</v>
      </c>
      <c r="V41" s="40">
        <f t="shared" si="16"/>
        <v>3.2030510825192208E-3</v>
      </c>
      <c r="W41" s="40">
        <f t="shared" si="17"/>
        <v>8.1083469588899212E-3</v>
      </c>
      <c r="X41" s="40">
        <f t="shared" si="4"/>
        <v>0.47881879919073594</v>
      </c>
      <c r="Y41" s="40">
        <f t="shared" si="5"/>
        <v>0.64184825628784981</v>
      </c>
      <c r="Z41" s="40">
        <f t="shared" si="18"/>
        <v>3753.6632871583474</v>
      </c>
      <c r="AA41" s="40">
        <f t="shared" si="19"/>
        <v>1</v>
      </c>
      <c r="AB41" s="40">
        <f t="shared" si="20"/>
        <v>4000</v>
      </c>
      <c r="AC41" s="40">
        <f t="shared" si="6"/>
        <v>1.3300522199742666E-4</v>
      </c>
      <c r="AD41" s="40">
        <f t="shared" si="21"/>
        <v>2.9019494817385472E-2</v>
      </c>
      <c r="AE41" s="34">
        <f t="shared" si="22"/>
        <v>23.058545315313872</v>
      </c>
      <c r="AF41" s="34">
        <f t="shared" si="23"/>
        <v>0.47881879919073594</v>
      </c>
      <c r="AG41" s="34">
        <f t="shared" si="7"/>
        <v>0.64184825628784981</v>
      </c>
      <c r="AH41" s="34">
        <f>INDEX('Specification &amp; Data'!E$24:R$46,MATCH(Simulation!AA41,'Specification &amp; Data'!D$24:D$46,0),MATCH(Simulation!AB41,'Specification &amp; Data'!E$47:R$47,0))</f>
        <v>944.35122599999977</v>
      </c>
      <c r="AI41" s="34">
        <f t="shared" si="8"/>
        <v>1.3300522199742666E-4</v>
      </c>
      <c r="AJ41" s="34">
        <f t="shared" si="0"/>
        <v>0.125603644457672</v>
      </c>
      <c r="AK41" s="34">
        <f t="shared" si="24"/>
        <v>13.446040257528871</v>
      </c>
      <c r="AL41" s="34">
        <v>2.3289729133329802</v>
      </c>
    </row>
    <row r="42" spans="2:38" x14ac:dyDescent="0.25">
      <c r="C42" s="34">
        <f t="shared" si="9"/>
        <v>40</v>
      </c>
      <c r="D42" s="34">
        <v>14</v>
      </c>
      <c r="E42" s="34">
        <f t="shared" si="1"/>
        <v>22.530778652981304</v>
      </c>
      <c r="F42" s="34">
        <f t="shared" si="10"/>
        <v>6.2585496258281399</v>
      </c>
      <c r="G42" s="37">
        <f t="shared" si="11"/>
        <v>307.6524180353519</v>
      </c>
      <c r="H42" s="34">
        <f t="shared" si="12"/>
        <v>6.2585496258281399</v>
      </c>
      <c r="I42" s="34">
        <f t="shared" si="13"/>
        <v>0</v>
      </c>
      <c r="J42" s="34">
        <f t="shared" si="14"/>
        <v>2</v>
      </c>
      <c r="K42" s="34">
        <v>0</v>
      </c>
      <c r="L42" s="34">
        <f>('Specification &amp; Data'!B$22*'Specification &amp; Data'!B$10*'Specification &amp; Data'!B$20*(Simulation!F42^2-'Specification &amp; Data'!B$21^2))/2</f>
        <v>16.076682461551783</v>
      </c>
      <c r="M42" s="34">
        <f t="shared" si="15"/>
        <v>0</v>
      </c>
      <c r="N42" s="34">
        <f>'Specification &amp; Data'!B$23*'Specification &amp; Data'!B$18*8.91</f>
        <v>60.4296693</v>
      </c>
      <c r="O42" s="34">
        <f t="shared" si="2"/>
        <v>76.506351761551784</v>
      </c>
      <c r="P42" s="40">
        <f t="shared" si="3"/>
        <v>76.506351761551784</v>
      </c>
      <c r="Q42" s="34">
        <f>IF(J42=1,'Specification &amp; Data'!B$52,IF(Simulation!J42=2,'Specification &amp; Data'!B$53,IF(Simulation!J42=3,'Specification &amp; Data'!B$54)))</f>
        <v>568.92541410528543</v>
      </c>
      <c r="R42" s="34">
        <f>(0.5*'Specification &amp; Data'!B$18*Simulation!F42^2)/1000</f>
        <v>10.217545163051129</v>
      </c>
      <c r="T42" s="40">
        <f>P42*'Specification &amp; Data'!B$14*0.9</f>
        <v>20.303608736719514</v>
      </c>
      <c r="U42" s="40">
        <f>T42/(IF(J42=1,'Specification &amp; Data'!H$7,IF(Simulation!J42=2,'Specification &amp; Data'!H$8,IF(Simulation!J42=3,'Specification &amp; Data'!H$9))))</f>
        <v>1.2181121145933487</v>
      </c>
      <c r="V42" s="40">
        <f t="shared" si="16"/>
        <v>3.2310001700204161E-3</v>
      </c>
      <c r="W42" s="40">
        <f t="shared" si="17"/>
        <v>8.1083469588899212E-3</v>
      </c>
      <c r="X42" s="40">
        <f t="shared" si="4"/>
        <v>0.47881879919073594</v>
      </c>
      <c r="Y42" s="40">
        <f t="shared" si="5"/>
        <v>0.64184825628784981</v>
      </c>
      <c r="Z42" s="40">
        <f t="shared" si="18"/>
        <v>3753.6632871583474</v>
      </c>
      <c r="AA42" s="40">
        <f t="shared" si="19"/>
        <v>1</v>
      </c>
      <c r="AB42" s="40">
        <f t="shared" si="20"/>
        <v>4000</v>
      </c>
      <c r="AC42" s="40">
        <f t="shared" si="6"/>
        <v>1.3300522199742666E-4</v>
      </c>
      <c r="AD42" s="40">
        <f t="shared" si="21"/>
        <v>2.9152500039382898E-2</v>
      </c>
      <c r="AE42" s="34">
        <f t="shared" si="22"/>
        <v>23.537364114504609</v>
      </c>
      <c r="AF42" s="34">
        <f t="shared" si="23"/>
        <v>0.47881879919073594</v>
      </c>
      <c r="AG42" s="34">
        <f t="shared" si="7"/>
        <v>0.64184825628784981</v>
      </c>
      <c r="AH42" s="34">
        <f>INDEX('Specification &amp; Data'!E$24:R$46,MATCH(Simulation!AA42,'Specification &amp; Data'!D$24:D$46,0),MATCH(Simulation!AB42,'Specification &amp; Data'!E$47:R$47,0))</f>
        <v>944.35122599999977</v>
      </c>
      <c r="AI42" s="34">
        <f t="shared" si="8"/>
        <v>1.3300522199742666E-4</v>
      </c>
      <c r="AJ42" s="34">
        <f t="shared" si="0"/>
        <v>0.125603644457672</v>
      </c>
      <c r="AK42" s="34">
        <f t="shared" si="24"/>
        <v>13.571643901986542</v>
      </c>
      <c r="AL42" s="34">
        <v>2.3289729133329802</v>
      </c>
    </row>
    <row r="43" spans="2:38" x14ac:dyDescent="0.25">
      <c r="C43" s="34">
        <f t="shared" si="9"/>
        <v>41</v>
      </c>
      <c r="D43" s="34">
        <v>14</v>
      </c>
      <c r="E43" s="34">
        <f t="shared" si="1"/>
        <v>22.530778652981304</v>
      </c>
      <c r="F43" s="34">
        <f t="shared" si="10"/>
        <v>6.2585496258281399</v>
      </c>
      <c r="G43" s="37">
        <f t="shared" si="11"/>
        <v>313.91096766118005</v>
      </c>
      <c r="H43" s="34">
        <f t="shared" si="12"/>
        <v>6.2585496258281399</v>
      </c>
      <c r="I43" s="34">
        <f t="shared" si="13"/>
        <v>0</v>
      </c>
      <c r="J43" s="34">
        <f t="shared" si="14"/>
        <v>2</v>
      </c>
      <c r="K43" s="34">
        <v>0</v>
      </c>
      <c r="L43" s="34">
        <f>('Specification &amp; Data'!B$22*'Specification &amp; Data'!B$10*'Specification &amp; Data'!B$20*(Simulation!F43^2-'Specification &amp; Data'!B$21^2))/2</f>
        <v>16.076682461551783</v>
      </c>
      <c r="M43" s="34">
        <f t="shared" si="15"/>
        <v>0</v>
      </c>
      <c r="N43" s="34">
        <f>'Specification &amp; Data'!B$23*'Specification &amp; Data'!B$18*8.91</f>
        <v>60.4296693</v>
      </c>
      <c r="O43" s="34">
        <f t="shared" si="2"/>
        <v>76.506351761551784</v>
      </c>
      <c r="P43" s="40">
        <f t="shared" si="3"/>
        <v>76.506351761551784</v>
      </c>
      <c r="Q43" s="34">
        <f>IF(J43=1,'Specification &amp; Data'!B$52,IF(Simulation!J43=2,'Specification &amp; Data'!B$53,IF(Simulation!J43=3,'Specification &amp; Data'!B$54)))</f>
        <v>568.92541410528543</v>
      </c>
      <c r="R43" s="34">
        <f>(0.5*'Specification &amp; Data'!B$18*Simulation!F43^2)/1000</f>
        <v>10.217545163051129</v>
      </c>
      <c r="T43" s="40">
        <f>P43*'Specification &amp; Data'!B$14*0.9</f>
        <v>20.303608736719514</v>
      </c>
      <c r="U43" s="40">
        <f>T43/(IF(J43=1,'Specification &amp; Data'!H$7,IF(Simulation!J43=2,'Specification &amp; Data'!H$8,IF(Simulation!J43=3,'Specification &amp; Data'!H$9))))</f>
        <v>1.2181121145933487</v>
      </c>
      <c r="V43" s="40">
        <f t="shared" si="16"/>
        <v>3.2589492575216114E-3</v>
      </c>
      <c r="W43" s="40">
        <f t="shared" si="17"/>
        <v>8.1083469588899212E-3</v>
      </c>
      <c r="X43" s="40">
        <f t="shared" si="4"/>
        <v>0.47881879919073594</v>
      </c>
      <c r="Y43" s="40">
        <f t="shared" si="5"/>
        <v>0.64184825628784981</v>
      </c>
      <c r="Z43" s="40">
        <f t="shared" si="18"/>
        <v>3753.6632871583474</v>
      </c>
      <c r="AA43" s="40">
        <f t="shared" si="19"/>
        <v>1</v>
      </c>
      <c r="AB43" s="40">
        <f t="shared" si="20"/>
        <v>4000</v>
      </c>
      <c r="AC43" s="40">
        <f t="shared" si="6"/>
        <v>1.3300522199742666E-4</v>
      </c>
      <c r="AD43" s="40">
        <f t="shared" si="21"/>
        <v>2.9285505261380324E-2</v>
      </c>
      <c r="AE43" s="34">
        <f t="shared" si="22"/>
        <v>24.016182913695349</v>
      </c>
      <c r="AF43" s="34">
        <f t="shared" si="23"/>
        <v>0.47881879919073594</v>
      </c>
      <c r="AG43" s="34">
        <f t="shared" si="7"/>
        <v>0.64184825628784981</v>
      </c>
      <c r="AH43" s="34">
        <f>INDEX('Specification &amp; Data'!E$24:R$46,MATCH(Simulation!AA43,'Specification &amp; Data'!D$24:D$46,0),MATCH(Simulation!AB43,'Specification &amp; Data'!E$47:R$47,0))</f>
        <v>944.35122599999977</v>
      </c>
      <c r="AI43" s="34">
        <f t="shared" si="8"/>
        <v>1.3300522199742666E-4</v>
      </c>
      <c r="AJ43" s="34">
        <f t="shared" si="0"/>
        <v>0.125603644457672</v>
      </c>
      <c r="AK43" s="34">
        <f t="shared" si="24"/>
        <v>13.697247546444213</v>
      </c>
      <c r="AL43" s="34">
        <v>2.3289729133329802</v>
      </c>
    </row>
    <row r="44" spans="2:38" x14ac:dyDescent="0.25">
      <c r="C44" s="34">
        <f t="shared" si="9"/>
        <v>42</v>
      </c>
      <c r="D44" s="34">
        <v>14</v>
      </c>
      <c r="E44" s="34">
        <f t="shared" si="1"/>
        <v>22.530778652981304</v>
      </c>
      <c r="F44" s="34">
        <f t="shared" si="10"/>
        <v>6.2585496258281399</v>
      </c>
      <c r="G44" s="37">
        <f t="shared" si="11"/>
        <v>320.1695172870082</v>
      </c>
      <c r="H44" s="34">
        <f t="shared" si="12"/>
        <v>6.2585496258281399</v>
      </c>
      <c r="I44" s="34">
        <f t="shared" si="13"/>
        <v>0</v>
      </c>
      <c r="J44" s="34">
        <f t="shared" si="14"/>
        <v>2</v>
      </c>
      <c r="K44" s="34">
        <v>0</v>
      </c>
      <c r="L44" s="34">
        <f>('Specification &amp; Data'!B$22*'Specification &amp; Data'!B$10*'Specification &amp; Data'!B$20*(Simulation!F44^2-'Specification &amp; Data'!B$21^2))/2</f>
        <v>16.076682461551783</v>
      </c>
      <c r="M44" s="34">
        <f t="shared" si="15"/>
        <v>0</v>
      </c>
      <c r="N44" s="34">
        <f>'Specification &amp; Data'!B$23*'Specification &amp; Data'!B$18*8.91</f>
        <v>60.4296693</v>
      </c>
      <c r="O44" s="34">
        <f t="shared" si="2"/>
        <v>76.506351761551784</v>
      </c>
      <c r="P44" s="40">
        <f t="shared" si="3"/>
        <v>76.506351761551784</v>
      </c>
      <c r="Q44" s="34">
        <f>IF(J44=1,'Specification &amp; Data'!B$52,IF(Simulation!J44=2,'Specification &amp; Data'!B$53,IF(Simulation!J44=3,'Specification &amp; Data'!B$54)))</f>
        <v>568.92541410528543</v>
      </c>
      <c r="R44" s="34">
        <f>(0.5*'Specification &amp; Data'!B$18*Simulation!F44^2)/1000</f>
        <v>10.217545163051129</v>
      </c>
      <c r="T44" s="40">
        <f>P44*'Specification &amp; Data'!B$14*0.9</f>
        <v>20.303608736719514</v>
      </c>
      <c r="U44" s="40">
        <f>T44/(IF(J44=1,'Specification &amp; Data'!H$7,IF(Simulation!J44=2,'Specification &amp; Data'!H$8,IF(Simulation!J44=3,'Specification &amp; Data'!H$9))))</f>
        <v>1.2181121145933487</v>
      </c>
      <c r="V44" s="40">
        <f t="shared" si="16"/>
        <v>3.2868983450228067E-3</v>
      </c>
      <c r="W44" s="40">
        <f t="shared" si="17"/>
        <v>8.1083469588899212E-3</v>
      </c>
      <c r="X44" s="40">
        <f t="shared" si="4"/>
        <v>0.47881879919073594</v>
      </c>
      <c r="Y44" s="40">
        <f t="shared" si="5"/>
        <v>0.64184825628784981</v>
      </c>
      <c r="Z44" s="40">
        <f t="shared" si="18"/>
        <v>3753.6632871583474</v>
      </c>
      <c r="AA44" s="40">
        <f t="shared" si="19"/>
        <v>1</v>
      </c>
      <c r="AB44" s="40">
        <f t="shared" si="20"/>
        <v>4000</v>
      </c>
      <c r="AC44" s="40">
        <f t="shared" si="6"/>
        <v>1.3300522199742666E-4</v>
      </c>
      <c r="AD44" s="40">
        <f t="shared" si="21"/>
        <v>2.9418510483377749E-2</v>
      </c>
      <c r="AE44" s="34">
        <f t="shared" si="22"/>
        <v>24.495001712886086</v>
      </c>
      <c r="AF44" s="34">
        <f t="shared" si="23"/>
        <v>0.47881879919073594</v>
      </c>
      <c r="AG44" s="34">
        <f t="shared" si="7"/>
        <v>0.64184825628784981</v>
      </c>
      <c r="AH44" s="34">
        <f>INDEX('Specification &amp; Data'!E$24:R$46,MATCH(Simulation!AA44,'Specification &amp; Data'!D$24:D$46,0),MATCH(Simulation!AB44,'Specification &amp; Data'!E$47:R$47,0))</f>
        <v>944.35122599999977</v>
      </c>
      <c r="AI44" s="34">
        <f t="shared" si="8"/>
        <v>1.3300522199742666E-4</v>
      </c>
      <c r="AJ44" s="34">
        <f t="shared" si="0"/>
        <v>0.125603644457672</v>
      </c>
      <c r="AK44" s="34">
        <f t="shared" si="24"/>
        <v>13.822851190901885</v>
      </c>
      <c r="AL44" s="34">
        <v>2.3289729133329802</v>
      </c>
    </row>
    <row r="45" spans="2:38" x14ac:dyDescent="0.25">
      <c r="C45" s="34">
        <f t="shared" si="9"/>
        <v>43</v>
      </c>
      <c r="D45" s="34">
        <v>14</v>
      </c>
      <c r="E45" s="34">
        <f t="shared" si="1"/>
        <v>22.530778652981304</v>
      </c>
      <c r="F45" s="34">
        <f t="shared" si="10"/>
        <v>6.2585496258281399</v>
      </c>
      <c r="G45" s="37">
        <f t="shared" si="11"/>
        <v>326.42806691283636</v>
      </c>
      <c r="H45" s="34">
        <f t="shared" si="12"/>
        <v>6.2585496258281399</v>
      </c>
      <c r="I45" s="34">
        <f t="shared" si="13"/>
        <v>0</v>
      </c>
      <c r="J45" s="34">
        <f t="shared" si="14"/>
        <v>2</v>
      </c>
      <c r="K45" s="34">
        <v>0</v>
      </c>
      <c r="L45" s="34">
        <f>('Specification &amp; Data'!B$22*'Specification &amp; Data'!B$10*'Specification &amp; Data'!B$20*(Simulation!F45^2-'Specification &amp; Data'!B$21^2))/2</f>
        <v>16.076682461551783</v>
      </c>
      <c r="M45" s="34">
        <f t="shared" si="15"/>
        <v>0</v>
      </c>
      <c r="N45" s="34">
        <f>'Specification &amp; Data'!B$23*'Specification &amp; Data'!B$18*8.91</f>
        <v>60.4296693</v>
      </c>
      <c r="O45" s="34">
        <f t="shared" si="2"/>
        <v>76.506351761551784</v>
      </c>
      <c r="P45" s="40">
        <f t="shared" si="3"/>
        <v>76.506351761551784</v>
      </c>
      <c r="Q45" s="34">
        <f>IF(J45=1,'Specification &amp; Data'!B$52,IF(Simulation!J45=2,'Specification &amp; Data'!B$53,IF(Simulation!J45=3,'Specification &amp; Data'!B$54)))</f>
        <v>568.92541410528543</v>
      </c>
      <c r="R45" s="34">
        <f>(0.5*'Specification &amp; Data'!B$18*Simulation!F45^2)/1000</f>
        <v>10.217545163051129</v>
      </c>
      <c r="T45" s="40">
        <f>P45*'Specification &amp; Data'!B$14*0.9</f>
        <v>20.303608736719514</v>
      </c>
      <c r="U45" s="40">
        <f>T45/(IF(J45=1,'Specification &amp; Data'!H$7,IF(Simulation!J45=2,'Specification &amp; Data'!H$8,IF(Simulation!J45=3,'Specification &amp; Data'!H$9))))</f>
        <v>1.2181121145933487</v>
      </c>
      <c r="V45" s="40">
        <f t="shared" si="16"/>
        <v>3.314847432524002E-3</v>
      </c>
      <c r="W45" s="40">
        <f t="shared" si="17"/>
        <v>8.1083469588899212E-3</v>
      </c>
      <c r="X45" s="40">
        <f t="shared" si="4"/>
        <v>0.47881879919073594</v>
      </c>
      <c r="Y45" s="40">
        <f t="shared" si="5"/>
        <v>0.64184825628784981</v>
      </c>
      <c r="Z45" s="40">
        <f t="shared" si="18"/>
        <v>3753.6632871583474</v>
      </c>
      <c r="AA45" s="40">
        <f t="shared" si="19"/>
        <v>1</v>
      </c>
      <c r="AB45" s="40">
        <f t="shared" si="20"/>
        <v>4000</v>
      </c>
      <c r="AC45" s="40">
        <f t="shared" si="6"/>
        <v>1.3300522199742666E-4</v>
      </c>
      <c r="AD45" s="40">
        <f t="shared" si="21"/>
        <v>2.9551515705375175E-2</v>
      </c>
      <c r="AE45" s="34">
        <f t="shared" si="22"/>
        <v>24.97382051207682</v>
      </c>
      <c r="AF45" s="34">
        <f t="shared" si="23"/>
        <v>0.47881879919073594</v>
      </c>
      <c r="AG45" s="34">
        <f t="shared" si="7"/>
        <v>0.64184825628784981</v>
      </c>
      <c r="AH45" s="34">
        <f>INDEX('Specification &amp; Data'!E$24:R$46,MATCH(Simulation!AA45,'Specification &amp; Data'!D$24:D$46,0),MATCH(Simulation!AB45,'Specification &amp; Data'!E$47:R$47,0))</f>
        <v>944.35122599999977</v>
      </c>
      <c r="AI45" s="34">
        <f t="shared" si="8"/>
        <v>1.3300522199742666E-4</v>
      </c>
      <c r="AJ45" s="34">
        <f t="shared" si="0"/>
        <v>0.125603644457672</v>
      </c>
      <c r="AK45" s="34">
        <f t="shared" si="24"/>
        <v>13.948454835359556</v>
      </c>
      <c r="AL45" s="34">
        <v>2.3289729133329802</v>
      </c>
    </row>
    <row r="46" spans="2:38" x14ac:dyDescent="0.25">
      <c r="B46" s="36" t="s">
        <v>113</v>
      </c>
      <c r="C46" s="34">
        <f t="shared" si="9"/>
        <v>44</v>
      </c>
      <c r="D46" s="34">
        <v>14</v>
      </c>
      <c r="E46" s="34">
        <f t="shared" si="1"/>
        <v>22.530778652981304</v>
      </c>
      <c r="F46" s="34">
        <f t="shared" si="10"/>
        <v>6.2585496258281399</v>
      </c>
      <c r="G46" s="37">
        <f t="shared" si="11"/>
        <v>332.68661653866451</v>
      </c>
      <c r="H46" s="34">
        <f t="shared" si="12"/>
        <v>6.2585496258281399</v>
      </c>
      <c r="I46" s="34">
        <f t="shared" si="13"/>
        <v>0</v>
      </c>
      <c r="J46" s="34">
        <f t="shared" si="14"/>
        <v>2</v>
      </c>
      <c r="K46" s="34">
        <v>0</v>
      </c>
      <c r="L46" s="34">
        <f>('Specification &amp; Data'!B$22*'Specification &amp; Data'!B$10*'Specification &amp; Data'!B$20*(Simulation!F46^2-'Specification &amp; Data'!B$21^2))/2</f>
        <v>16.076682461551783</v>
      </c>
      <c r="M46" s="34">
        <f t="shared" si="15"/>
        <v>0</v>
      </c>
      <c r="N46" s="34">
        <f>'Specification &amp; Data'!B$23*'Specification &amp; Data'!B$18*8.91</f>
        <v>60.4296693</v>
      </c>
      <c r="O46" s="34">
        <f t="shared" si="2"/>
        <v>76.506351761551784</v>
      </c>
      <c r="P46" s="40">
        <f t="shared" si="3"/>
        <v>76.506351761551784</v>
      </c>
      <c r="Q46" s="34">
        <f>IF(J46=1,'Specification &amp; Data'!B$52,IF(Simulation!J46=2,'Specification &amp; Data'!B$53,IF(Simulation!J46=3,'Specification &amp; Data'!B$54)))</f>
        <v>568.92541410528543</v>
      </c>
      <c r="R46" s="34">
        <f>(0.5*'Specification &amp; Data'!B$18*Simulation!F46^2)/1000</f>
        <v>10.217545163051129</v>
      </c>
      <c r="T46" s="40">
        <f>P46*'Specification &amp; Data'!B$14*0.9</f>
        <v>20.303608736719514</v>
      </c>
      <c r="U46" s="40">
        <f>T46/(IF(J46=1,'Specification &amp; Data'!H$7,IF(Simulation!J46=2,'Specification &amp; Data'!H$8,IF(Simulation!J46=3,'Specification &amp; Data'!H$9))))</f>
        <v>1.2181121145933487</v>
      </c>
      <c r="V46" s="40">
        <f t="shared" si="16"/>
        <v>3.3427965200251973E-3</v>
      </c>
      <c r="W46" s="40">
        <f t="shared" si="17"/>
        <v>8.1083469588899212E-3</v>
      </c>
      <c r="X46" s="40">
        <f t="shared" si="4"/>
        <v>0.47881879919073594</v>
      </c>
      <c r="Y46" s="40">
        <f t="shared" si="5"/>
        <v>0.64184825628784981</v>
      </c>
      <c r="Z46" s="40">
        <f t="shared" si="18"/>
        <v>3753.6632871583474</v>
      </c>
      <c r="AA46" s="40">
        <f t="shared" si="19"/>
        <v>1</v>
      </c>
      <c r="AB46" s="40">
        <f t="shared" si="20"/>
        <v>4000</v>
      </c>
      <c r="AC46" s="40">
        <f t="shared" si="6"/>
        <v>1.3300522199742666E-4</v>
      </c>
      <c r="AD46" s="40">
        <f t="shared" si="21"/>
        <v>2.9684520927372601E-2</v>
      </c>
      <c r="AE46" s="34">
        <f t="shared" si="22"/>
        <v>25.452639311267557</v>
      </c>
      <c r="AF46" s="34">
        <f t="shared" si="23"/>
        <v>0.47881879919073594</v>
      </c>
      <c r="AG46" s="34">
        <f t="shared" si="7"/>
        <v>0.64184825628784981</v>
      </c>
      <c r="AH46" s="34">
        <f>INDEX('Specification &amp; Data'!E$24:R$46,MATCH(Simulation!AA46,'Specification &amp; Data'!D$24:D$46,0),MATCH(Simulation!AB46,'Specification &amp; Data'!E$47:R$47,0))</f>
        <v>944.35122599999977</v>
      </c>
      <c r="AI46" s="34">
        <f t="shared" si="8"/>
        <v>1.3300522199742666E-4</v>
      </c>
      <c r="AJ46" s="34">
        <f t="shared" si="0"/>
        <v>0.125603644457672</v>
      </c>
      <c r="AK46" s="34">
        <f t="shared" si="24"/>
        <v>14.074058479817227</v>
      </c>
      <c r="AL46" s="34">
        <v>2.3289729133329802</v>
      </c>
    </row>
    <row r="47" spans="2:38" x14ac:dyDescent="0.25">
      <c r="C47" s="34">
        <f t="shared" si="9"/>
        <v>45</v>
      </c>
      <c r="D47" s="34">
        <v>15</v>
      </c>
      <c r="E47" s="34">
        <f t="shared" si="1"/>
        <v>24.140119985337112</v>
      </c>
      <c r="F47" s="34">
        <f t="shared" si="10"/>
        <v>6.7055888848158638</v>
      </c>
      <c r="G47" s="37">
        <f t="shared" si="11"/>
        <v>339.16868579398653</v>
      </c>
      <c r="H47" s="34">
        <f t="shared" si="12"/>
        <v>6.4820692553220018</v>
      </c>
      <c r="I47" s="34">
        <f t="shared" si="13"/>
        <v>0.4470392589877239</v>
      </c>
      <c r="J47" s="34">
        <f t="shared" si="14"/>
        <v>2</v>
      </c>
      <c r="K47" s="34">
        <v>0</v>
      </c>
      <c r="L47" s="34">
        <f>('Specification &amp; Data'!B$22*'Specification &amp; Data'!B$10*'Specification &amp; Data'!B$20*(Simulation!F47^2-'Specification &amp; Data'!B$21^2))/2</f>
        <v>18.801287472525743</v>
      </c>
      <c r="M47" s="34">
        <f t="shared" si="15"/>
        <v>254.33199554091075</v>
      </c>
      <c r="N47" s="34">
        <f>'Specification &amp; Data'!B$23*'Specification &amp; Data'!B$18*8.91</f>
        <v>60.4296693</v>
      </c>
      <c r="O47" s="34">
        <f t="shared" si="2"/>
        <v>333.56295231343648</v>
      </c>
      <c r="P47" s="40">
        <f t="shared" si="3"/>
        <v>333.56295231343648</v>
      </c>
      <c r="Q47" s="34">
        <f>IF(J47=1,'Specification &amp; Data'!B$52,IF(Simulation!J47=2,'Specification &amp; Data'!B$53,IF(Simulation!J47=3,'Specification &amp; Data'!B$54)))</f>
        <v>568.92541410528543</v>
      </c>
      <c r="R47" s="34">
        <f>(0.5*'Specification &amp; Data'!B$18*Simulation!F47^2)/1000</f>
        <v>11.729324804522978</v>
      </c>
      <c r="T47" s="40">
        <f>P47*'Specification &amp; Data'!B$14*0.9</f>
        <v>88.522475806258143</v>
      </c>
      <c r="U47" s="40">
        <f>T47/(IF(J47=1,'Specification &amp; Data'!H$7,IF(Simulation!J47=2,'Specification &amp; Data'!H$8,IF(Simulation!J47=3,'Specification &amp; Data'!H$9))))</f>
        <v>5.3108933289472935</v>
      </c>
      <c r="V47" s="40">
        <f t="shared" si="16"/>
        <v>3.3778169934407516E-3</v>
      </c>
      <c r="W47" s="40">
        <f t="shared" si="17"/>
        <v>8.1083469588899212E-3</v>
      </c>
      <c r="X47" s="40">
        <f t="shared" si="4"/>
        <v>2.2367360254193436</v>
      </c>
      <c r="Y47" s="40">
        <f t="shared" si="5"/>
        <v>2.9983056641009966</v>
      </c>
      <c r="Z47" s="40">
        <f t="shared" si="18"/>
        <v>4021.7820933839444</v>
      </c>
      <c r="AA47" s="40">
        <f t="shared" si="19"/>
        <v>5</v>
      </c>
      <c r="AB47" s="40">
        <f t="shared" si="20"/>
        <v>4000</v>
      </c>
      <c r="AC47" s="40">
        <f t="shared" si="6"/>
        <v>6.2131556261648432E-4</v>
      </c>
      <c r="AD47" s="40">
        <f t="shared" si="21"/>
        <v>3.0305836489989087E-2</v>
      </c>
      <c r="AE47" s="34">
        <f t="shared" si="22"/>
        <v>113.13410816571046</v>
      </c>
      <c r="AF47" s="34">
        <f t="shared" si="23"/>
        <v>2.2367360254193436</v>
      </c>
      <c r="AG47" s="34">
        <f t="shared" si="7"/>
        <v>2.9983056641009966</v>
      </c>
      <c r="AH47" s="34">
        <f>INDEX('Specification &amp; Data'!E$24:R$46,MATCH(Simulation!AA47,'Specification &amp; Data'!D$24:D$46,0),MATCH(Simulation!AB47,'Specification &amp; Data'!E$47:R$47,0))</f>
        <v>651.64144500000009</v>
      </c>
      <c r="AI47" s="34">
        <f t="shared" si="8"/>
        <v>6.2131556261648432E-4</v>
      </c>
      <c r="AJ47" s="34">
        <f t="shared" si="0"/>
        <v>0.4048749710243939</v>
      </c>
      <c r="AK47" s="34">
        <f t="shared" si="24"/>
        <v>14.478933450841621</v>
      </c>
      <c r="AL47" s="34">
        <v>2.3289729133329802</v>
      </c>
    </row>
    <row r="48" spans="2:38" x14ac:dyDescent="0.25">
      <c r="C48" s="34">
        <f t="shared" si="9"/>
        <v>46</v>
      </c>
      <c r="D48" s="34">
        <v>16.5</v>
      </c>
      <c r="E48" s="34">
        <f t="shared" si="1"/>
        <v>26.554131983870821</v>
      </c>
      <c r="F48" s="34">
        <f t="shared" si="10"/>
        <v>7.3761477732974505</v>
      </c>
      <c r="G48" s="37">
        <f t="shared" si="11"/>
        <v>346.20955412304318</v>
      </c>
      <c r="H48" s="34">
        <f t="shared" si="12"/>
        <v>7.0408683290566572</v>
      </c>
      <c r="I48" s="34">
        <f t="shared" si="13"/>
        <v>0.67055888848158673</v>
      </c>
      <c r="J48" s="34">
        <f t="shared" si="14"/>
        <v>2</v>
      </c>
      <c r="K48" s="34">
        <v>0</v>
      </c>
      <c r="L48" s="34">
        <f>('Specification &amp; Data'!B$22*'Specification &amp; Data'!B$10*'Specification &amp; Data'!B$20*(Simulation!F48^2-'Specification &amp; Data'!B$21^2))/2</f>
        <v>23.240514602474704</v>
      </c>
      <c r="M48" s="34">
        <f t="shared" si="15"/>
        <v>381.49799331136666</v>
      </c>
      <c r="N48" s="34">
        <f>'Specification &amp; Data'!B$23*'Specification &amp; Data'!B$18*8.91</f>
        <v>60.4296693</v>
      </c>
      <c r="O48" s="34">
        <f t="shared" si="2"/>
        <v>465.16817721384137</v>
      </c>
      <c r="P48" s="40">
        <f t="shared" si="3"/>
        <v>465.16817721384137</v>
      </c>
      <c r="Q48" s="34">
        <f>IF(J48=1,'Specification &amp; Data'!B$52,IF(Simulation!J48=2,'Specification &amp; Data'!B$53,IF(Simulation!J48=3,'Specification &amp; Data'!B$54)))</f>
        <v>568.92541410528543</v>
      </c>
      <c r="R48" s="34">
        <f>(0.5*'Specification &amp; Data'!B$18*Simulation!F48^2)/1000</f>
        <v>14.192483013472806</v>
      </c>
      <c r="T48" s="40">
        <f>P48*'Specification &amp; Data'!B$14*0.9</f>
        <v>123.44847779905791</v>
      </c>
      <c r="U48" s="40">
        <f>T48/(IF(J48=1,'Specification &amp; Data'!H$7,IF(Simulation!J48=2,'Specification &amp; Data'!H$8,IF(Simulation!J48=3,'Specification &amp; Data'!H$9))))</f>
        <v>7.4062738444710918</v>
      </c>
      <c r="V48" s="40">
        <f t="shared" si="16"/>
        <v>3.4254351795616768E-3</v>
      </c>
      <c r="W48" s="40">
        <f t="shared" si="17"/>
        <v>8.1083469588899212E-3</v>
      </c>
      <c r="X48" s="40">
        <f t="shared" si="4"/>
        <v>3.43114921456471</v>
      </c>
      <c r="Y48" s="40">
        <f t="shared" si="5"/>
        <v>4.5993957299795039</v>
      </c>
      <c r="Z48" s="40">
        <f t="shared" si="18"/>
        <v>4423.9603027223384</v>
      </c>
      <c r="AA48" s="40">
        <f t="shared" si="19"/>
        <v>7</v>
      </c>
      <c r="AB48" s="40">
        <f t="shared" si="20"/>
        <v>4500</v>
      </c>
      <c r="AC48" s="40">
        <f t="shared" si="6"/>
        <v>9.5309700404575275E-4</v>
      </c>
      <c r="AD48" s="40">
        <f t="shared" si="21"/>
        <v>3.1258933494034837E-2</v>
      </c>
      <c r="AE48" s="34">
        <f t="shared" si="22"/>
        <v>161.04566722543277</v>
      </c>
      <c r="AF48" s="34">
        <f t="shared" si="23"/>
        <v>3.43114921456471</v>
      </c>
      <c r="AG48" s="34">
        <f t="shared" si="7"/>
        <v>4.5993957299795039</v>
      </c>
      <c r="AH48" s="34">
        <f>INDEX('Specification &amp; Data'!E$24:R$46,MATCH(Simulation!AA48,'Specification &amp; Data'!D$24:D$46,0),MATCH(Simulation!AB48,'Specification &amp; Data'!E$47:R$47,0))</f>
        <v>525.11244421289075</v>
      </c>
      <c r="AI48" s="34">
        <f t="shared" si="8"/>
        <v>9.5309700404575275E-4</v>
      </c>
      <c r="AJ48" s="34">
        <f t="shared" si="0"/>
        <v>0.50048309736644869</v>
      </c>
      <c r="AK48" s="34">
        <f t="shared" si="24"/>
        <v>14.97941654820807</v>
      </c>
      <c r="AL48" s="34">
        <v>2.3289729133329802</v>
      </c>
    </row>
    <row r="49" spans="2:38" x14ac:dyDescent="0.25">
      <c r="C49" s="34">
        <f t="shared" si="9"/>
        <v>47</v>
      </c>
      <c r="D49" s="34">
        <v>18</v>
      </c>
      <c r="E49" s="34">
        <f t="shared" si="1"/>
        <v>28.968143982404534</v>
      </c>
      <c r="F49" s="34">
        <f t="shared" si="10"/>
        <v>8.0467066617790373</v>
      </c>
      <c r="G49" s="37">
        <f t="shared" si="11"/>
        <v>353.92098134058142</v>
      </c>
      <c r="H49" s="34">
        <f t="shared" si="12"/>
        <v>7.7114272175382439</v>
      </c>
      <c r="I49" s="34">
        <f t="shared" si="13"/>
        <v>0.67055888848158673</v>
      </c>
      <c r="J49" s="34">
        <f t="shared" si="14"/>
        <v>2</v>
      </c>
      <c r="K49" s="34">
        <v>0</v>
      </c>
      <c r="L49" s="34">
        <f>('Specification &amp; Data'!B$22*'Specification &amp; Data'!B$10*'Specification &amp; Data'!B$20*(Simulation!F49^2-'Specification &amp; Data'!B$21^2))/2</f>
        <v>28.102525268609277</v>
      </c>
      <c r="M49" s="34">
        <f t="shared" si="15"/>
        <v>381.49799331136666</v>
      </c>
      <c r="N49" s="34">
        <f>'Specification &amp; Data'!B$23*'Specification &amp; Data'!B$18*8.91</f>
        <v>60.4296693</v>
      </c>
      <c r="O49" s="34">
        <f t="shared" si="2"/>
        <v>470.03018787997593</v>
      </c>
      <c r="P49" s="40">
        <f t="shared" si="3"/>
        <v>470.03018787997593</v>
      </c>
      <c r="Q49" s="34">
        <f>IF(J49=1,'Specification &amp; Data'!B$52,IF(Simulation!J49=2,'Specification &amp; Data'!B$53,IF(Simulation!J49=3,'Specification &amp; Data'!B$54)))</f>
        <v>568.92541410528543</v>
      </c>
      <c r="R49" s="34">
        <f>(0.5*'Specification &amp; Data'!B$18*Simulation!F49^2)/1000</f>
        <v>16.890227718513092</v>
      </c>
      <c r="T49" s="40">
        <f>P49*'Specification &amp; Data'!B$14*0.9</f>
        <v>124.73878062968592</v>
      </c>
      <c r="U49" s="40">
        <f>T49/(IF(J49=1,'Specification &amp; Data'!H$7,IF(Simulation!J49=2,'Specification &amp; Data'!H$8,IF(Simulation!J49=3,'Specification &amp; Data'!H$9))))</f>
        <v>7.4836853790343811</v>
      </c>
      <c r="V49" s="40">
        <f t="shared" si="16"/>
        <v>3.4882498399204914E-3</v>
      </c>
      <c r="W49" s="40">
        <f t="shared" si="17"/>
        <v>8.1083469588899212E-3</v>
      </c>
      <c r="X49" s="40">
        <f t="shared" si="4"/>
        <v>3.782195044051055</v>
      </c>
      <c r="Y49" s="40">
        <f t="shared" si="5"/>
        <v>5.0699665469853281</v>
      </c>
      <c r="Z49" s="40">
        <f t="shared" si="18"/>
        <v>4826.1385120607329</v>
      </c>
      <c r="AA49" s="40">
        <f t="shared" si="19"/>
        <v>7</v>
      </c>
      <c r="AB49" s="40">
        <f t="shared" si="20"/>
        <v>5000</v>
      </c>
      <c r="AC49" s="40">
        <f t="shared" si="6"/>
        <v>1.0506097344586264E-3</v>
      </c>
      <c r="AD49" s="40">
        <f t="shared" si="21"/>
        <v>3.2309543228493463E-2</v>
      </c>
      <c r="AE49" s="34">
        <f t="shared" si="22"/>
        <v>166.35354535417892</v>
      </c>
      <c r="AF49" s="34">
        <f t="shared" si="23"/>
        <v>3.782195044051055</v>
      </c>
      <c r="AG49" s="34">
        <f t="shared" si="7"/>
        <v>5.0699665469853281</v>
      </c>
      <c r="AH49" s="34">
        <f>INDEX('Specification &amp; Data'!E$24:R$46,MATCH(Simulation!AA49,'Specification &amp; Data'!D$24:D$46,0),MATCH(Simulation!AB49,'Specification &amp; Data'!E$47:R$47,0))</f>
        <v>459.20470050000006</v>
      </c>
      <c r="AI49" s="34">
        <f t="shared" si="8"/>
        <v>1.0506097344586264E-3</v>
      </c>
      <c r="AJ49" s="34">
        <f t="shared" si="0"/>
        <v>0.48244492845445813</v>
      </c>
      <c r="AK49" s="34">
        <f t="shared" si="24"/>
        <v>15.461861476662527</v>
      </c>
      <c r="AL49" s="34">
        <v>2.3289729133329802</v>
      </c>
    </row>
    <row r="50" spans="2:38" x14ac:dyDescent="0.25">
      <c r="C50" s="34">
        <f t="shared" si="9"/>
        <v>48</v>
      </c>
      <c r="D50" s="34">
        <v>20</v>
      </c>
      <c r="E50" s="34">
        <f t="shared" si="1"/>
        <v>32.186826647116149</v>
      </c>
      <c r="F50" s="34">
        <f t="shared" si="10"/>
        <v>8.9407851797544851</v>
      </c>
      <c r="G50" s="37">
        <f t="shared" si="11"/>
        <v>362.41472726134816</v>
      </c>
      <c r="H50" s="34">
        <f t="shared" si="12"/>
        <v>8.4937459207667612</v>
      </c>
      <c r="I50" s="34">
        <f t="shared" si="13"/>
        <v>0.8940785179754478</v>
      </c>
      <c r="J50" s="34">
        <f t="shared" si="14"/>
        <v>2</v>
      </c>
      <c r="K50" s="34">
        <v>0</v>
      </c>
      <c r="L50" s="34">
        <f>('Specification &amp; Data'!B$22*'Specification &amp; Data'!B$10*'Specification &amp; Data'!B$20*(Simulation!F50^2-'Specification &amp; Data'!B$21^2))/2</f>
        <v>35.24286943529966</v>
      </c>
      <c r="M50" s="34">
        <f t="shared" si="15"/>
        <v>508.66399108182151</v>
      </c>
      <c r="N50" s="34">
        <f>'Specification &amp; Data'!B$23*'Specification &amp; Data'!B$18*8.91</f>
        <v>60.4296693</v>
      </c>
      <c r="O50" s="34">
        <f t="shared" si="2"/>
        <v>604.33652981712112</v>
      </c>
      <c r="P50" s="40">
        <f t="shared" si="3"/>
        <v>604.33652981712112</v>
      </c>
      <c r="Q50" s="34">
        <f>IF(J50=1,'Specification &amp; Data'!B$52,IF(Simulation!J50=2,'Specification &amp; Data'!B$53,IF(Simulation!J50=3,'Specification &amp; Data'!B$54)))</f>
        <v>568.92541410528543</v>
      </c>
      <c r="R50" s="34">
        <f>(0.5*'Specification &amp; Data'!B$18*Simulation!F50^2)/1000</f>
        <v>20.852132985818628</v>
      </c>
      <c r="T50" s="40">
        <f>P50*'Specification &amp; Data'!B$14*0.9</f>
        <v>160.38161752838985</v>
      </c>
      <c r="U50" s="40">
        <f>T50/(IF(J50=1,'Specification &amp; Data'!H$7,IF(Simulation!J50=2,'Specification &amp; Data'!H$8,IF(Simulation!J50=3,'Specification &amp; Data'!H$9))))</f>
        <v>9.6220723026488795</v>
      </c>
      <c r="V50" s="40">
        <f t="shared" si="16"/>
        <v>3.5757773190146997E-3</v>
      </c>
      <c r="W50" s="40">
        <f t="shared" si="17"/>
        <v>8.1083469588899212E-3</v>
      </c>
      <c r="X50" s="40">
        <f t="shared" si="4"/>
        <v>5.4032430893731709</v>
      </c>
      <c r="Y50" s="40">
        <f t="shared" si="5"/>
        <v>7.2429532029130979</v>
      </c>
      <c r="Z50" s="40">
        <f t="shared" si="18"/>
        <v>5362.376124511924</v>
      </c>
      <c r="AA50" s="40">
        <f t="shared" si="19"/>
        <v>10</v>
      </c>
      <c r="AB50" s="40">
        <f t="shared" si="20"/>
        <v>5500</v>
      </c>
      <c r="AC50" s="40">
        <f t="shared" si="6"/>
        <v>1.5009008581592142E-3</v>
      </c>
      <c r="AD50" s="40">
        <f t="shared" si="21"/>
        <v>3.381044408665268E-2</v>
      </c>
      <c r="AE50" s="34">
        <f t="shared" si="22"/>
        <v>219.02045862774156</v>
      </c>
      <c r="AF50" s="34">
        <f t="shared" si="23"/>
        <v>5.4032430893731709</v>
      </c>
      <c r="AG50" s="34">
        <f t="shared" si="7"/>
        <v>7.2429532029130979</v>
      </c>
      <c r="AH50" s="34">
        <f>INDEX('Specification &amp; Data'!E$24:R$46,MATCH(Simulation!AA50,'Specification &amp; Data'!D$24:D$46,0),MATCH(Simulation!AB50,'Specification &amp; Data'!E$47:R$47,0))</f>
        <v>359.74288350000018</v>
      </c>
      <c r="AI50" s="34">
        <f t="shared" si="8"/>
        <v>1.5009008581592142E-3</v>
      </c>
      <c r="AJ50" s="34">
        <f t="shared" si="0"/>
        <v>0.53993840256182046</v>
      </c>
      <c r="AK50" s="34">
        <f t="shared" si="24"/>
        <v>16.001799879224347</v>
      </c>
      <c r="AL50" s="34">
        <v>2.3289729133329802</v>
      </c>
    </row>
    <row r="51" spans="2:38" x14ac:dyDescent="0.25">
      <c r="C51" s="34">
        <f t="shared" si="9"/>
        <v>49</v>
      </c>
      <c r="D51" s="34">
        <v>20.2</v>
      </c>
      <c r="E51" s="34">
        <f t="shared" si="1"/>
        <v>32.508694913587306</v>
      </c>
      <c r="F51" s="34">
        <f t="shared" si="10"/>
        <v>9.0301930315520291</v>
      </c>
      <c r="G51" s="37">
        <f t="shared" si="11"/>
        <v>371.40021636700141</v>
      </c>
      <c r="H51" s="34">
        <f t="shared" si="12"/>
        <v>8.985489105653258</v>
      </c>
      <c r="I51" s="34">
        <f t="shared" si="13"/>
        <v>8.9407851797545845E-2</v>
      </c>
      <c r="J51" s="34">
        <f t="shared" si="14"/>
        <v>3</v>
      </c>
      <c r="K51" s="34">
        <v>0</v>
      </c>
      <c r="L51" s="34">
        <f>('Specification &amp; Data'!B$22*'Specification &amp; Data'!B$10*'Specification &amp; Data'!B$20*(Simulation!F51^2-'Specification &amp; Data'!B$21^2))/2</f>
        <v>35.998242686617957</v>
      </c>
      <c r="M51" s="34">
        <f t="shared" si="15"/>
        <v>50.593938462920285</v>
      </c>
      <c r="N51" s="34">
        <f>'Specification &amp; Data'!B$23*'Specification &amp; Data'!B$18*8.91</f>
        <v>60.4296693</v>
      </c>
      <c r="O51" s="34">
        <f t="shared" si="2"/>
        <v>147.02185044953825</v>
      </c>
      <c r="P51" s="40">
        <f t="shared" si="3"/>
        <v>147.02185044953825</v>
      </c>
      <c r="Q51" s="34">
        <f>IF(J51=1,'Specification &amp; Data'!B$52,IF(Simulation!J51=2,'Specification &amp; Data'!B$53,IF(Simulation!J51=3,'Specification &amp; Data'!B$54)))</f>
        <v>565.87802352621827</v>
      </c>
      <c r="R51" s="34">
        <f>(0.5*'Specification &amp; Data'!B$18*Simulation!F51^2)/1000</f>
        <v>21.271260858833578</v>
      </c>
      <c r="T51" s="40">
        <f>P51*'Specification &amp; Data'!B$14*0.9</f>
        <v>39.017337234685151</v>
      </c>
      <c r="U51" s="40">
        <f>T51/(IF(J51=1,'Specification &amp; Data'!H$7,IF(Simulation!J51=2,'Specification &amp; Data'!H$8,IF(Simulation!J51=3,'Specification &amp; Data'!H$9))))</f>
        <v>3.0657447542554013</v>
      </c>
      <c r="V51" s="40">
        <f t="shared" si="16"/>
        <v>3.6660748413082597E-3</v>
      </c>
      <c r="W51" s="40">
        <f t="shared" si="17"/>
        <v>8.1083469588899212E-3</v>
      </c>
      <c r="X51" s="40">
        <f t="shared" si="4"/>
        <v>1.3276356894153047</v>
      </c>
      <c r="Y51" s="40">
        <f t="shared" si="5"/>
        <v>1.7796725059186391</v>
      </c>
      <c r="Z51" s="40">
        <f t="shared" si="18"/>
        <v>4135.3693708982355</v>
      </c>
      <c r="AA51" s="40">
        <f t="shared" si="19"/>
        <v>3</v>
      </c>
      <c r="AB51" s="40">
        <f t="shared" si="20"/>
        <v>4000</v>
      </c>
      <c r="AC51" s="40">
        <f t="shared" si="6"/>
        <v>3.687876915042513E-4</v>
      </c>
      <c r="AD51" s="40">
        <f t="shared" si="21"/>
        <v>3.4179231778156932E-2</v>
      </c>
      <c r="AE51" s="34">
        <f t="shared" si="22"/>
        <v>54.603947067635431</v>
      </c>
      <c r="AF51" s="34">
        <f t="shared" si="23"/>
        <v>1.3276356894153047</v>
      </c>
      <c r="AG51" s="34">
        <f t="shared" si="7"/>
        <v>1.7796725059186391</v>
      </c>
      <c r="AH51" s="34">
        <f>INDEX('Specification &amp; Data'!E$24:R$46,MATCH(Simulation!AA51,'Specification &amp; Data'!D$24:D$46,0),MATCH(Simulation!AB51,'Specification &amp; Data'!E$47:R$47,0))</f>
        <v>746.95257000000004</v>
      </c>
      <c r="AI51" s="34">
        <f t="shared" si="8"/>
        <v>3.687876915042513E-4</v>
      </c>
      <c r="AJ51" s="34">
        <f t="shared" si="0"/>
        <v>0.27546691395346767</v>
      </c>
      <c r="AK51" s="34">
        <f t="shared" si="24"/>
        <v>16.277266793177816</v>
      </c>
      <c r="AL51" s="34">
        <v>2.3289729133329802</v>
      </c>
    </row>
    <row r="52" spans="2:38" x14ac:dyDescent="0.25">
      <c r="C52" s="34">
        <f t="shared" si="9"/>
        <v>50</v>
      </c>
      <c r="D52" s="34">
        <v>21.5</v>
      </c>
      <c r="E52" s="34">
        <f t="shared" si="1"/>
        <v>34.600838645649858</v>
      </c>
      <c r="F52" s="34">
        <f t="shared" si="10"/>
        <v>9.6113440682360718</v>
      </c>
      <c r="G52" s="37">
        <f t="shared" si="11"/>
        <v>380.72098491689547</v>
      </c>
      <c r="H52" s="34">
        <f t="shared" si="12"/>
        <v>9.3207685498940513</v>
      </c>
      <c r="I52" s="34">
        <f t="shared" si="13"/>
        <v>0.58115103668404444</v>
      </c>
      <c r="J52" s="34">
        <f t="shared" si="14"/>
        <v>3</v>
      </c>
      <c r="K52" s="34">
        <v>0</v>
      </c>
      <c r="L52" s="34">
        <f>('Specification &amp; Data'!B$22*'Specification &amp; Data'!B$10*'Specification &amp; Data'!B$20*(Simulation!F52^2-'Specification &amp; Data'!B$21^2))/2</f>
        <v>41.091375019200676</v>
      </c>
      <c r="M52" s="34">
        <f t="shared" si="15"/>
        <v>328.86060000897982</v>
      </c>
      <c r="N52" s="34">
        <f>'Specification &amp; Data'!B$23*'Specification &amp; Data'!B$18*8.91</f>
        <v>60.4296693</v>
      </c>
      <c r="O52" s="34">
        <f t="shared" si="2"/>
        <v>430.38164432818047</v>
      </c>
      <c r="P52" s="40">
        <f t="shared" si="3"/>
        <v>430.38164432818047</v>
      </c>
      <c r="Q52" s="34">
        <f>IF(J52=1,'Specification &amp; Data'!B$52,IF(Simulation!J52=2,'Specification &amp; Data'!B$53,IF(Simulation!J52=3,'Specification &amp; Data'!B$54)))</f>
        <v>565.87802352621827</v>
      </c>
      <c r="R52" s="34">
        <f>(0.5*'Specification &amp; Data'!B$18*Simulation!F52^2)/1000</f>
        <v>24.097246181736654</v>
      </c>
      <c r="T52" s="40">
        <f>P52*'Specification &amp; Data'!B$14*0.9</f>
        <v>114.21666714863252</v>
      </c>
      <c r="U52" s="40">
        <f>T52/(IF(J52=1,'Specification &amp; Data'!H$7,IF(Simulation!J52=2,'Specification &amp; Data'!H$8,IF(Simulation!J52=3,'Specification &amp; Data'!H$9))))</f>
        <v>8.9744501541272577</v>
      </c>
      <c r="V52" s="40">
        <f t="shared" si="16"/>
        <v>3.7757813256267202E-3</v>
      </c>
      <c r="W52" s="40">
        <f t="shared" si="17"/>
        <v>8.1083469588899212E-3</v>
      </c>
      <c r="X52" s="40">
        <f t="shared" si="4"/>
        <v>4.1365460642913439</v>
      </c>
      <c r="Y52" s="40">
        <f t="shared" si="5"/>
        <v>5.5449679145996571</v>
      </c>
      <c r="Z52" s="40">
        <f t="shared" si="18"/>
        <v>4401.5070036788156</v>
      </c>
      <c r="AA52" s="40">
        <f t="shared" si="19"/>
        <v>9</v>
      </c>
      <c r="AB52" s="40">
        <f t="shared" si="20"/>
        <v>4500</v>
      </c>
      <c r="AC52" s="40">
        <f t="shared" si="6"/>
        <v>1.1490405734142621E-3</v>
      </c>
      <c r="AD52" s="40">
        <f t="shared" si="21"/>
        <v>3.5328272351571197E-2</v>
      </c>
      <c r="AE52" s="34">
        <f t="shared" si="22"/>
        <v>163.85532351877788</v>
      </c>
      <c r="AF52" s="34">
        <f t="shared" si="23"/>
        <v>4.1365460642913439</v>
      </c>
      <c r="AG52" s="34">
        <f t="shared" si="7"/>
        <v>5.5449679145996571</v>
      </c>
      <c r="AH52" s="34">
        <f>INDEX('Specification &amp; Data'!E$24:R$46,MATCH(Simulation!AA52,'Specification &amp; Data'!D$24:D$46,0),MATCH(Simulation!AB52,'Specification &amp; Data'!E$47:R$47,0))</f>
        <v>491.51302200000009</v>
      </c>
      <c r="AI52" s="34">
        <f t="shared" si="8"/>
        <v>1.1490405734142621E-3</v>
      </c>
      <c r="AJ52" s="34">
        <f t="shared" si="0"/>
        <v>0.56476840463945688</v>
      </c>
      <c r="AK52" s="34">
        <f t="shared" si="24"/>
        <v>16.842035197817271</v>
      </c>
      <c r="AL52" s="34">
        <v>2.3289729133329802</v>
      </c>
    </row>
    <row r="53" spans="2:38" x14ac:dyDescent="0.25">
      <c r="C53" s="34">
        <f t="shared" si="9"/>
        <v>51</v>
      </c>
      <c r="D53" s="34">
        <v>22.5</v>
      </c>
      <c r="E53" s="34">
        <f t="shared" si="1"/>
        <v>36.210179978005662</v>
      </c>
      <c r="F53" s="34">
        <f t="shared" si="10"/>
        <v>10.058383327223796</v>
      </c>
      <c r="G53" s="37">
        <f t="shared" si="11"/>
        <v>390.5558486146254</v>
      </c>
      <c r="H53" s="34">
        <f t="shared" si="12"/>
        <v>9.8348636977299329</v>
      </c>
      <c r="I53" s="34">
        <f t="shared" si="13"/>
        <v>0.44703925898772212</v>
      </c>
      <c r="J53" s="34">
        <f t="shared" si="14"/>
        <v>3</v>
      </c>
      <c r="K53" s="34">
        <v>0</v>
      </c>
      <c r="L53" s="34">
        <f>('Specification &amp; Data'!B$22*'Specification &amp; Data'!B$10*'Specification &amp; Data'!B$20*(Simulation!F53^2-'Specification &amp; Data'!B$21^2))/2</f>
        <v>45.225258484126684</v>
      </c>
      <c r="M53" s="34">
        <f t="shared" si="15"/>
        <v>252.96969231459741</v>
      </c>
      <c r="N53" s="34">
        <f>'Specification &amp; Data'!B$23*'Specification &amp; Data'!B$18*8.91</f>
        <v>60.4296693</v>
      </c>
      <c r="O53" s="34">
        <f t="shared" si="2"/>
        <v>358.62462009872411</v>
      </c>
      <c r="P53" s="40">
        <f t="shared" si="3"/>
        <v>358.62462009872411</v>
      </c>
      <c r="Q53" s="34">
        <f>IF(J53=1,'Specification &amp; Data'!B$52,IF(Simulation!J53=2,'Specification &amp; Data'!B$53,IF(Simulation!J53=3,'Specification &amp; Data'!B$54)))</f>
        <v>565.87802352621827</v>
      </c>
      <c r="R53" s="34">
        <f>(0.5*'Specification &amp; Data'!B$18*Simulation!F53^2)/1000</f>
        <v>26.3909808101767</v>
      </c>
      <c r="T53" s="40">
        <f>P53*'Specification &amp; Data'!B$14*0.9</f>
        <v>95.173456872353711</v>
      </c>
      <c r="U53" s="40">
        <f>T53/(IF(J53=1,'Specification &amp; Data'!H$7,IF(Simulation!J53=2,'Specification &amp; Data'!H$8,IF(Simulation!J53=3,'Specification &amp; Data'!H$9))))</f>
        <v>7.4781506589176026</v>
      </c>
      <c r="V53" s="40">
        <f t="shared" si="16"/>
        <v>3.902140488378422E-3</v>
      </c>
      <c r="W53" s="40">
        <f t="shared" si="17"/>
        <v>8.1083469588899212E-3</v>
      </c>
      <c r="X53" s="40">
        <f t="shared" si="4"/>
        <v>3.6071838995329744</v>
      </c>
      <c r="Y53" s="40">
        <f t="shared" si="5"/>
        <v>4.8353671575509045</v>
      </c>
      <c r="Z53" s="40">
        <f t="shared" si="18"/>
        <v>4606.228259663877</v>
      </c>
      <c r="AA53" s="40">
        <f t="shared" si="19"/>
        <v>7</v>
      </c>
      <c r="AB53" s="40">
        <f t="shared" si="20"/>
        <v>4500</v>
      </c>
      <c r="AC53" s="40">
        <f t="shared" si="6"/>
        <v>1.0019955276480484E-3</v>
      </c>
      <c r="AD53" s="40">
        <f t="shared" si="21"/>
        <v>3.6330267879219245E-2</v>
      </c>
      <c r="AE53" s="34">
        <f t="shared" si="22"/>
        <v>140.06294283675484</v>
      </c>
      <c r="AF53" s="34">
        <f t="shared" si="23"/>
        <v>3.6071838995329744</v>
      </c>
      <c r="AG53" s="34">
        <f t="shared" si="7"/>
        <v>4.8353671575509045</v>
      </c>
      <c r="AH53" s="34">
        <f>INDEX('Specification &amp; Data'!E$24:R$46,MATCH(Simulation!AA53,'Specification &amp; Data'!D$24:D$46,0),MATCH(Simulation!AB53,'Specification &amp; Data'!E$47:R$47,0))</f>
        <v>525.11244421289075</v>
      </c>
      <c r="AI53" s="34">
        <f t="shared" si="8"/>
        <v>1.0019955276480484E-3</v>
      </c>
      <c r="AJ53" s="34">
        <f t="shared" si="0"/>
        <v>0.52616032061365181</v>
      </c>
      <c r="AK53" s="34">
        <f t="shared" si="24"/>
        <v>17.368195518430923</v>
      </c>
      <c r="AL53" s="34">
        <v>2.3289729133329802</v>
      </c>
    </row>
    <row r="54" spans="2:38" x14ac:dyDescent="0.25">
      <c r="C54" s="34">
        <f t="shared" si="9"/>
        <v>52</v>
      </c>
      <c r="D54" s="34">
        <v>24</v>
      </c>
      <c r="E54" s="34">
        <f t="shared" si="1"/>
        <v>38.624191976539379</v>
      </c>
      <c r="F54" s="34">
        <f t="shared" si="10"/>
        <v>10.728942215705382</v>
      </c>
      <c r="G54" s="37">
        <f t="shared" si="11"/>
        <v>400.94951138608997</v>
      </c>
      <c r="H54" s="34">
        <f t="shared" si="12"/>
        <v>10.393662771464589</v>
      </c>
      <c r="I54" s="34">
        <f t="shared" si="13"/>
        <v>0.67055888848158673</v>
      </c>
      <c r="J54" s="34">
        <f t="shared" si="14"/>
        <v>3</v>
      </c>
      <c r="K54" s="34">
        <v>0</v>
      </c>
      <c r="L54" s="34">
        <f>('Specification &amp; Data'!B$22*'Specification &amp; Data'!B$10*'Specification &amp; Data'!B$20*(Simulation!F54^2-'Specification &amp; Data'!B$21^2))/2</f>
        <v>51.77840329500372</v>
      </c>
      <c r="M54" s="34">
        <f t="shared" si="15"/>
        <v>379.4545384718981</v>
      </c>
      <c r="N54" s="34">
        <f>'Specification &amp; Data'!B$23*'Specification &amp; Data'!B$18*8.91</f>
        <v>60.4296693</v>
      </c>
      <c r="O54" s="34">
        <f t="shared" si="2"/>
        <v>491.66261106690183</v>
      </c>
      <c r="P54" s="40">
        <f t="shared" si="3"/>
        <v>491.66261106690183</v>
      </c>
      <c r="Q54" s="34">
        <f>IF(J54=1,'Specification &amp; Data'!B$52,IF(Simulation!J54=2,'Specification &amp; Data'!B$53,IF(Simulation!J54=3,'Specification &amp; Data'!B$54)))</f>
        <v>565.87802352621827</v>
      </c>
      <c r="R54" s="34">
        <f>(0.5*'Specification &amp; Data'!B$18*Simulation!F54^2)/1000</f>
        <v>30.027071499578831</v>
      </c>
      <c r="T54" s="40">
        <f>P54*'Specification &amp; Data'!B$14*0.9</f>
        <v>130.47969293698549</v>
      </c>
      <c r="U54" s="40">
        <f>T54/(IF(J54=1,'Specification &amp; Data'!H$7,IF(Simulation!J54=2,'Specification &amp; Data'!H$8,IF(Simulation!J54=3,'Specification &amp; Data'!H$9))))</f>
        <v>10.252299682891127</v>
      </c>
      <c r="V54" s="40">
        <f t="shared" si="16"/>
        <v>4.0564536819821953E-3</v>
      </c>
      <c r="W54" s="40">
        <f t="shared" si="17"/>
        <v>8.1083469588899212E-3</v>
      </c>
      <c r="X54" s="40">
        <f t="shared" si="4"/>
        <v>5.2750197437596196</v>
      </c>
      <c r="Y54" s="40">
        <f t="shared" si="5"/>
        <v>7.071072042573217</v>
      </c>
      <c r="Z54" s="40">
        <f t="shared" si="18"/>
        <v>4913.3101436414699</v>
      </c>
      <c r="AA54" s="40">
        <f t="shared" si="19"/>
        <v>10</v>
      </c>
      <c r="AB54" s="40">
        <f t="shared" si="20"/>
        <v>5000</v>
      </c>
      <c r="AC54" s="40">
        <f t="shared" si="6"/>
        <v>1.4652832621554499E-3</v>
      </c>
      <c r="AD54" s="40">
        <f t="shared" si="21"/>
        <v>3.7795551141374693E-2</v>
      </c>
      <c r="AE54" s="34">
        <f t="shared" si="22"/>
        <v>197.13188367408347</v>
      </c>
      <c r="AF54" s="34">
        <f t="shared" si="23"/>
        <v>5.2750197437596196</v>
      </c>
      <c r="AG54" s="34">
        <f t="shared" si="7"/>
        <v>7.071072042573217</v>
      </c>
      <c r="AH54" s="34">
        <f>INDEX('Specification &amp; Data'!E$24:R$46,MATCH(Simulation!AA54,'Specification &amp; Data'!D$24:D$46,0),MATCH(Simulation!AB54,'Specification &amp; Data'!E$47:R$47,0))</f>
        <v>373.21543350000007</v>
      </c>
      <c r="AI54" s="34">
        <f t="shared" si="8"/>
        <v>1.4652832621554499E-3</v>
      </c>
      <c r="AJ54" s="34">
        <f t="shared" si="0"/>
        <v>0.54686632788564049</v>
      </c>
      <c r="AK54" s="34">
        <f t="shared" si="24"/>
        <v>17.915061846316565</v>
      </c>
      <c r="AL54" s="34">
        <v>2.3289729133329802</v>
      </c>
    </row>
    <row r="55" spans="2:38" x14ac:dyDescent="0.25">
      <c r="C55" s="34">
        <f t="shared" si="9"/>
        <v>53</v>
      </c>
      <c r="D55" s="34">
        <v>26</v>
      </c>
      <c r="E55" s="34">
        <f t="shared" si="1"/>
        <v>41.842874641250987</v>
      </c>
      <c r="F55" s="34">
        <f t="shared" si="10"/>
        <v>11.62302073368083</v>
      </c>
      <c r="G55" s="37">
        <f t="shared" si="11"/>
        <v>412.12549286078308</v>
      </c>
      <c r="H55" s="34">
        <f t="shared" si="12"/>
        <v>11.175981474693106</v>
      </c>
      <c r="I55" s="34">
        <f t="shared" si="13"/>
        <v>0.8940785179754478</v>
      </c>
      <c r="J55" s="34">
        <f t="shared" si="14"/>
        <v>3</v>
      </c>
      <c r="K55" s="34">
        <v>0</v>
      </c>
      <c r="L55" s="34">
        <f>('Specification &amp; Data'!B$22*'Specification &amp; Data'!B$10*'Specification &amp; Data'!B$20*(Simulation!F55^2-'Specification &amp; Data'!B$21^2))/2</f>
        <v>61.173592988017361</v>
      </c>
      <c r="M55" s="34">
        <f t="shared" si="15"/>
        <v>505.93938462919681</v>
      </c>
      <c r="N55" s="34">
        <f>'Specification &amp; Data'!B$23*'Specification &amp; Data'!B$18*8.91</f>
        <v>60.4296693</v>
      </c>
      <c r="O55" s="34">
        <f t="shared" si="2"/>
        <v>627.54264691721414</v>
      </c>
      <c r="P55" s="40">
        <f t="shared" si="3"/>
        <v>627.54264691721414</v>
      </c>
      <c r="Q55" s="34">
        <f>IF(J55=1,'Specification &amp; Data'!B$52,IF(Simulation!J55=2,'Specification &amp; Data'!B$53,IF(Simulation!J55=3,'Specification &amp; Data'!B$54)))</f>
        <v>565.87802352621827</v>
      </c>
      <c r="R55" s="34">
        <f>(0.5*'Specification &amp; Data'!B$18*Simulation!F55^2)/1000</f>
        <v>35.240104746033474</v>
      </c>
      <c r="T55" s="40">
        <f>P55*'Specification &amp; Data'!B$14*0.9</f>
        <v>166.54016398956838</v>
      </c>
      <c r="U55" s="40">
        <f>T55/(IF(J55=1,'Specification &amp; Data'!H$7,IF(Simulation!J55=2,'Specification &amp; Data'!H$8,IF(Simulation!J55=3,'Specification &amp; Data'!H$9))))</f>
        <v>13.085711899118879</v>
      </c>
      <c r="V55" s="40">
        <f t="shared" si="16"/>
        <v>4.2539597763303835E-3</v>
      </c>
      <c r="W55" s="40">
        <f t="shared" si="17"/>
        <v>8.1083469588899212E-3</v>
      </c>
      <c r="X55" s="40">
        <f t="shared" si="4"/>
        <v>7.2939411963877285</v>
      </c>
      <c r="Y55" s="40">
        <f t="shared" si="5"/>
        <v>9.7774010675438721</v>
      </c>
      <c r="Z55" s="40">
        <f t="shared" si="18"/>
        <v>5322.7526556115909</v>
      </c>
      <c r="AA55" s="40">
        <f t="shared" si="19"/>
        <v>13</v>
      </c>
      <c r="AB55" s="40">
        <f t="shared" si="20"/>
        <v>5500</v>
      </c>
      <c r="AC55" s="40">
        <f t="shared" si="6"/>
        <v>2.0260947767743692E-3</v>
      </c>
      <c r="AD55" s="40">
        <f t="shared" si="21"/>
        <v>3.982164591814906E-2</v>
      </c>
      <c r="AE55" s="34">
        <f t="shared" si="22"/>
        <v>258.62632265191723</v>
      </c>
      <c r="AF55" s="34">
        <f t="shared" si="23"/>
        <v>7.2939411963877285</v>
      </c>
      <c r="AG55" s="34">
        <f t="shared" si="7"/>
        <v>9.7774010675438721</v>
      </c>
      <c r="AH55" s="34">
        <f>INDEX('Specification &amp; Data'!E$24:R$46,MATCH(Simulation!AA55,'Specification &amp; Data'!D$24:D$46,0),MATCH(Simulation!AB55,'Specification &amp; Data'!E$47:R$47,0))</f>
        <v>313.44811950000002</v>
      </c>
      <c r="AI55" s="34">
        <f t="shared" si="8"/>
        <v>2.0260947767743692E-3</v>
      </c>
      <c r="AJ55" s="34">
        <f t="shared" si="0"/>
        <v>0.63507559770869837</v>
      </c>
      <c r="AK55" s="34">
        <f t="shared" si="24"/>
        <v>18.550137444025264</v>
      </c>
      <c r="AL55" s="34">
        <v>2.3289729133329802</v>
      </c>
    </row>
    <row r="56" spans="2:38" x14ac:dyDescent="0.25">
      <c r="C56" s="34">
        <f t="shared" si="9"/>
        <v>54</v>
      </c>
      <c r="D56" s="34">
        <v>26.5</v>
      </c>
      <c r="E56" s="34">
        <f t="shared" si="1"/>
        <v>42.647545307428899</v>
      </c>
      <c r="F56" s="34">
        <f t="shared" si="10"/>
        <v>11.846540363174693</v>
      </c>
      <c r="G56" s="37">
        <f t="shared" si="11"/>
        <v>423.86027340921083</v>
      </c>
      <c r="H56" s="34">
        <f t="shared" si="12"/>
        <v>11.734780548427761</v>
      </c>
      <c r="I56" s="34">
        <f t="shared" si="13"/>
        <v>0.22351962949386106</v>
      </c>
      <c r="J56" s="34">
        <f t="shared" si="14"/>
        <v>3</v>
      </c>
      <c r="K56" s="34">
        <v>0</v>
      </c>
      <c r="L56" s="34">
        <f>('Specification &amp; Data'!B$22*'Specification &amp; Data'!B$10*'Specification &amp; Data'!B$20*(Simulation!F56^2-'Specification &amp; Data'!B$21^2))/2</f>
        <v>63.639830282433465</v>
      </c>
      <c r="M56" s="34">
        <f t="shared" si="15"/>
        <v>126.4848461572987</v>
      </c>
      <c r="N56" s="34">
        <f>'Specification &amp; Data'!B$23*'Specification &amp; Data'!B$18*8.91</f>
        <v>60.4296693</v>
      </c>
      <c r="O56" s="34">
        <f t="shared" si="2"/>
        <v>250.55434573973218</v>
      </c>
      <c r="P56" s="40">
        <f t="shared" si="3"/>
        <v>250.55434573973218</v>
      </c>
      <c r="Q56" s="34">
        <f>IF(J56=1,'Specification &amp; Data'!B$52,IF(Simulation!J56=2,'Specification &amp; Data'!B$53,IF(Simulation!J56=3,'Specification &amp; Data'!B$54)))</f>
        <v>565.87802352621827</v>
      </c>
      <c r="R56" s="34">
        <f>(0.5*'Specification &amp; Data'!B$18*Simulation!F56^2)/1000</f>
        <v>36.608525973227827</v>
      </c>
      <c r="T56" s="40">
        <f>P56*'Specification &amp; Data'!B$14*0.9</f>
        <v>66.493268677082767</v>
      </c>
      <c r="U56" s="40">
        <f>T56/(IF(J56=1,'Specification &amp; Data'!H$7,IF(Simulation!J56=2,'Specification &amp; Data'!H$8,IF(Simulation!J56=3,'Specification &amp; Data'!H$9))))</f>
        <v>5.2246361255745608</v>
      </c>
      <c r="V56" s="40">
        <f t="shared" si="16"/>
        <v>4.463379725815504E-3</v>
      </c>
      <c r="W56" s="40">
        <f t="shared" si="17"/>
        <v>8.1083469588899212E-3</v>
      </c>
      <c r="X56" s="40">
        <f t="shared" si="4"/>
        <v>2.9682021699745644</v>
      </c>
      <c r="Y56" s="40">
        <f t="shared" si="5"/>
        <v>3.9788232841482101</v>
      </c>
      <c r="Z56" s="40">
        <f t="shared" si="18"/>
        <v>5425.1132836041224</v>
      </c>
      <c r="AA56" s="40">
        <f t="shared" si="19"/>
        <v>5</v>
      </c>
      <c r="AB56" s="40">
        <f t="shared" si="20"/>
        <v>5500</v>
      </c>
      <c r="AC56" s="40">
        <f t="shared" si="6"/>
        <v>8.245006027707124E-4</v>
      </c>
      <c r="AD56" s="40">
        <f t="shared" si="21"/>
        <v>4.0646146520919774E-2</v>
      </c>
      <c r="AE56" s="34">
        <f t="shared" si="22"/>
        <v>106.20003348910883</v>
      </c>
      <c r="AF56" s="34">
        <f t="shared" si="23"/>
        <v>2.9682021699745644</v>
      </c>
      <c r="AG56" s="34">
        <f t="shared" si="7"/>
        <v>3.9788232841482101</v>
      </c>
      <c r="AH56" s="34">
        <f>INDEX('Specification &amp; Data'!E$24:R$46,MATCH(Simulation!AA56,'Specification &amp; Data'!D$24:D$46,0),MATCH(Simulation!AB56,'Specification &amp; Data'!E$47:R$47,0))</f>
        <v>571.62166424999998</v>
      </c>
      <c r="AI56" s="34">
        <f t="shared" si="8"/>
        <v>8.245006027707124E-4</v>
      </c>
      <c r="AJ56" s="34">
        <f t="shared" si="0"/>
        <v>0.47130240673092277</v>
      </c>
      <c r="AK56" s="34">
        <f t="shared" si="24"/>
        <v>19.021439850756188</v>
      </c>
      <c r="AL56" s="34">
        <v>2.3289729133329802</v>
      </c>
    </row>
    <row r="57" spans="2:38" x14ac:dyDescent="0.25">
      <c r="B57" s="36" t="s">
        <v>114</v>
      </c>
      <c r="C57" s="34">
        <f t="shared" si="9"/>
        <v>55</v>
      </c>
      <c r="D57" s="34">
        <v>25.3</v>
      </c>
      <c r="E57" s="34">
        <f t="shared" si="1"/>
        <v>40.716335708601932</v>
      </c>
      <c r="F57" s="34">
        <f t="shared" si="10"/>
        <v>11.310093252389425</v>
      </c>
      <c r="G57" s="37">
        <f t="shared" si="11"/>
        <v>435.43859021699291</v>
      </c>
      <c r="H57" s="34">
        <f t="shared" si="12"/>
        <v>11.578316807782059</v>
      </c>
      <c r="I57" s="34">
        <f t="shared" si="13"/>
        <v>-0.53644711078526797</v>
      </c>
      <c r="J57" s="34">
        <f t="shared" si="14"/>
        <v>3</v>
      </c>
      <c r="K57" s="34">
        <v>0</v>
      </c>
      <c r="L57" s="34">
        <f>('Specification &amp; Data'!B$22*'Specification &amp; Data'!B$10*'Specification &amp; Data'!B$20*(Simulation!F57^2-'Specification &amp; Data'!B$21^2))/2</f>
        <v>57.79978036925619</v>
      </c>
      <c r="M57" s="34">
        <f t="shared" si="15"/>
        <v>-303.56363077751769</v>
      </c>
      <c r="N57" s="34">
        <f>'Specification &amp; Data'!B$25*'Specification &amp; Data'!B$18*8.91</f>
        <v>720.50759550000009</v>
      </c>
      <c r="O57" s="34">
        <f t="shared" si="2"/>
        <v>474.74374509173856</v>
      </c>
      <c r="P57" s="40">
        <f t="shared" si="3"/>
        <v>474.74374509173856</v>
      </c>
      <c r="Q57" s="34">
        <f>IF(J57=1,'Specification &amp; Data'!B$52,IF(Simulation!J57=2,'Specification &amp; Data'!B$53,IF(Simulation!J57=3,'Specification &amp; Data'!B$54)))</f>
        <v>565.87802352621827</v>
      </c>
      <c r="R57" s="34">
        <f>(0.5*'Specification &amp; Data'!B$18*Simulation!F57^2)/1000</f>
        <v>33.368104507231621</v>
      </c>
      <c r="T57" s="40">
        <f>P57*'Specification &amp; Data'!B$14*0.9</f>
        <v>125.98968619742293</v>
      </c>
      <c r="U57" s="40">
        <f>T57/(IF(J57=1,'Specification &amp; Data'!H$7,IF(Simulation!J57=2,'Specification &amp; Data'!H$8,IF(Simulation!J57=3,'Specification &amp; Data'!H$9))))</f>
        <v>9.899502296293754</v>
      </c>
      <c r="V57" s="40">
        <f t="shared" si="16"/>
        <v>4.6449688663554806E-3</v>
      </c>
      <c r="W57" s="40">
        <f t="shared" si="17"/>
        <v>9.5998458555499652E-3</v>
      </c>
      <c r="X57" s="40">
        <f t="shared" si="4"/>
        <v>5.3693960279761574</v>
      </c>
      <c r="Y57" s="40">
        <f t="shared" si="5"/>
        <v>7.1975818069385493</v>
      </c>
      <c r="Z57" s="40">
        <f t="shared" si="18"/>
        <v>5179.4477764220492</v>
      </c>
      <c r="AA57" s="40">
        <f t="shared" si="19"/>
        <v>10</v>
      </c>
      <c r="AB57" s="40">
        <f t="shared" si="20"/>
        <v>5000</v>
      </c>
      <c r="AC57" s="40">
        <f t="shared" si="6"/>
        <v>1.4914988966600437E-3</v>
      </c>
      <c r="AD57" s="40">
        <f t="shared" si="21"/>
        <v>4.2137645417579819E-2</v>
      </c>
      <c r="AE57" s="34">
        <f t="shared" si="22"/>
        <v>206.72174707708209</v>
      </c>
      <c r="AF57" s="34">
        <f t="shared" si="23"/>
        <v>5.3693960279761574</v>
      </c>
      <c r="AG57" s="34">
        <f t="shared" si="7"/>
        <v>7.1975818069385493</v>
      </c>
      <c r="AH57" s="34">
        <f>INDEX('Specification &amp; Data'!E$24:R$46,MATCH(Simulation!AA57,'Specification &amp; Data'!D$24:D$46,0),MATCH(Simulation!AB57,'Specification &amp; Data'!E$47:R$47,0))</f>
        <v>373.21543350000007</v>
      </c>
      <c r="AI57" s="34">
        <f t="shared" si="8"/>
        <v>1.4914988966600437E-3</v>
      </c>
      <c r="AJ57" s="34">
        <f t="shared" si="0"/>
        <v>0.55665040728174997</v>
      </c>
      <c r="AK57" s="34">
        <f t="shared" si="24"/>
        <v>19.578090258037939</v>
      </c>
      <c r="AL57" s="34">
        <v>2.3289729133329802</v>
      </c>
    </row>
    <row r="58" spans="2:38" x14ac:dyDescent="0.25">
      <c r="C58" s="34">
        <f t="shared" si="9"/>
        <v>56</v>
      </c>
      <c r="D58" s="34">
        <v>23</v>
      </c>
      <c r="E58" s="34">
        <f t="shared" si="1"/>
        <v>37.014850644183575</v>
      </c>
      <c r="F58" s="34">
        <f t="shared" si="10"/>
        <v>10.281902956717659</v>
      </c>
      <c r="G58" s="37">
        <f t="shared" si="11"/>
        <v>446.23458832154643</v>
      </c>
      <c r="H58" s="34">
        <f t="shared" si="12"/>
        <v>10.795998104553542</v>
      </c>
      <c r="I58" s="34">
        <f t="shared" si="13"/>
        <v>-1.0281902956717666</v>
      </c>
      <c r="J58" s="34">
        <f t="shared" si="14"/>
        <v>3</v>
      </c>
      <c r="K58" s="34">
        <v>0</v>
      </c>
      <c r="L58" s="34">
        <f>('Specification &amp; Data'!B$22*'Specification &amp; Data'!B$10*'Specification &amp; Data'!B$20*(Simulation!F58^2-'Specification &amp; Data'!B$21^2))/2</f>
        <v>47.362664139287297</v>
      </c>
      <c r="M58" s="34">
        <f t="shared" si="15"/>
        <v>-581.83029232357728</v>
      </c>
      <c r="N58" s="34">
        <f>'Specification &amp; Data'!B$25*'Specification &amp; Data'!B$18*8.91</f>
        <v>720.50759550000009</v>
      </c>
      <c r="O58" s="34">
        <f t="shared" si="2"/>
        <v>186.0399673157101</v>
      </c>
      <c r="P58" s="40">
        <f t="shared" si="3"/>
        <v>186.0399673157101</v>
      </c>
      <c r="Q58" s="34">
        <f>IF(J58=1,'Specification &amp; Data'!B$52,IF(Simulation!J58=2,'Specification &amp; Data'!B$53,IF(Simulation!J58=3,'Specification &amp; Data'!B$54)))</f>
        <v>565.87802352621827</v>
      </c>
      <c r="R58" s="34">
        <f>(0.5*'Specification &amp; Data'!B$18*Simulation!F58^2)/1000</f>
        <v>27.576945873745139</v>
      </c>
      <c r="T58" s="40">
        <f>P58*'Specification &amp; Data'!B$14*0.9</f>
        <v>49.372145172246142</v>
      </c>
      <c r="U58" s="40">
        <f>T58/(IF(J58=1,'Specification &amp; Data'!H$7,IF(Simulation!J58=2,'Specification &amp; Data'!H$8,IF(Simulation!J58=3,'Specification &amp; Data'!H$9))))</f>
        <v>3.8793625038459432</v>
      </c>
      <c r="V58" s="40">
        <f t="shared" si="16"/>
        <v>4.7802406209254151E-3</v>
      </c>
      <c r="W58" s="40">
        <f t="shared" si="17"/>
        <v>1.0131191658330815E-2</v>
      </c>
      <c r="X58" s="40">
        <f t="shared" si="4"/>
        <v>1.9128448900110564</v>
      </c>
      <c r="Y58" s="40">
        <f t="shared" si="5"/>
        <v>2.5641352413016842</v>
      </c>
      <c r="Z58" s="40">
        <f t="shared" si="18"/>
        <v>4708.5888876564086</v>
      </c>
      <c r="AA58" s="40">
        <f t="shared" si="19"/>
        <v>4</v>
      </c>
      <c r="AB58" s="40">
        <f t="shared" si="20"/>
        <v>4500</v>
      </c>
      <c r="AC58" s="40">
        <f t="shared" si="6"/>
        <v>5.3134580278084897E-4</v>
      </c>
      <c r="AD58" s="40">
        <f t="shared" si="21"/>
        <v>4.2668991220360671E-2</v>
      </c>
      <c r="AE58" s="34">
        <f t="shared" si="22"/>
        <v>83.017468226479849</v>
      </c>
      <c r="AF58" s="34">
        <f t="shared" si="23"/>
        <v>1.9128448900110564</v>
      </c>
      <c r="AG58" s="34">
        <f t="shared" si="7"/>
        <v>2.5641352413016842</v>
      </c>
      <c r="AH58" s="34">
        <f>INDEX('Specification &amp; Data'!E$24:R$46,MATCH(Simulation!AA58,'Specification &amp; Data'!D$24:D$46,0),MATCH(Simulation!AB58,'Specification &amp; Data'!E$47:R$47,0))</f>
        <v>679.80910725000024</v>
      </c>
      <c r="AI58" s="34">
        <f t="shared" si="8"/>
        <v>5.3134580278084897E-4</v>
      </c>
      <c r="AJ58" s="34">
        <f t="shared" si="0"/>
        <v>0.36121371582948364</v>
      </c>
      <c r="AK58" s="34">
        <f t="shared" si="24"/>
        <v>19.939303973867421</v>
      </c>
      <c r="AL58" s="34">
        <v>2.3289729133329802</v>
      </c>
    </row>
    <row r="59" spans="2:38" x14ac:dyDescent="0.25">
      <c r="C59" s="34">
        <f t="shared" si="9"/>
        <v>57</v>
      </c>
      <c r="D59" s="34">
        <v>21.5</v>
      </c>
      <c r="E59" s="34">
        <f t="shared" si="1"/>
        <v>34.600838645649858</v>
      </c>
      <c r="F59" s="34">
        <f t="shared" si="10"/>
        <v>9.6113440682360718</v>
      </c>
      <c r="G59" s="37">
        <f t="shared" si="11"/>
        <v>456.18121183402332</v>
      </c>
      <c r="H59" s="34">
        <f t="shared" si="12"/>
        <v>9.9466235124768652</v>
      </c>
      <c r="I59" s="34">
        <f t="shared" si="13"/>
        <v>-0.67055888848158673</v>
      </c>
      <c r="J59" s="34">
        <f t="shared" si="14"/>
        <v>3</v>
      </c>
      <c r="K59" s="34">
        <v>0</v>
      </c>
      <c r="L59" s="34">
        <f>('Specification &amp; Data'!B$22*'Specification &amp; Data'!B$10*'Specification &amp; Data'!B$20*(Simulation!F59^2-'Specification &amp; Data'!B$21^2))/2</f>
        <v>41.091375019200676</v>
      </c>
      <c r="M59" s="34">
        <f t="shared" si="15"/>
        <v>-379.4545384718981</v>
      </c>
      <c r="N59" s="34">
        <f>'Specification &amp; Data'!B$25*'Specification &amp; Data'!B$18*8.91</f>
        <v>720.50759550000009</v>
      </c>
      <c r="O59" s="34">
        <f t="shared" si="2"/>
        <v>382.14443204730264</v>
      </c>
      <c r="P59" s="40">
        <f t="shared" si="3"/>
        <v>382.14443204730264</v>
      </c>
      <c r="Q59" s="34">
        <f>IF(J59=1,'Specification &amp; Data'!B$52,IF(Simulation!J59=2,'Specification &amp; Data'!B$53,IF(Simulation!J59=3,'Specification &amp; Data'!B$54)))</f>
        <v>565.87802352621827</v>
      </c>
      <c r="R59" s="34">
        <f>(0.5*'Specification &amp; Data'!B$18*Simulation!F59^2)/1000</f>
        <v>24.097246181736654</v>
      </c>
      <c r="T59" s="40">
        <f>P59*'Specification &amp; Data'!B$14*0.9</f>
        <v>101.41525312024571</v>
      </c>
      <c r="U59" s="40">
        <f>T59/(IF(J59=1,'Specification &amp; Data'!H$7,IF(Simulation!J59=2,'Specification &amp; Data'!H$8,IF(Simulation!J59=3,'Specification &amp; Data'!H$9))))</f>
        <v>7.9685929971275726</v>
      </c>
      <c r="V59" s="40">
        <f t="shared" si="16"/>
        <v>4.8899471052438756E-3</v>
      </c>
      <c r="W59" s="40">
        <f t="shared" si="17"/>
        <v>1.1151447663932838E-2</v>
      </c>
      <c r="X59" s="40">
        <f t="shared" si="4"/>
        <v>3.6729216201672847</v>
      </c>
      <c r="Y59" s="40">
        <f t="shared" si="5"/>
        <v>4.9234874264977009</v>
      </c>
      <c r="Z59" s="40">
        <f t="shared" si="18"/>
        <v>4401.5070036788156</v>
      </c>
      <c r="AA59" s="40">
        <f t="shared" si="19"/>
        <v>8</v>
      </c>
      <c r="AB59" s="40">
        <f t="shared" si="20"/>
        <v>4500</v>
      </c>
      <c r="AC59" s="40">
        <f t="shared" si="6"/>
        <v>1.0202560056020236E-3</v>
      </c>
      <c r="AD59" s="40">
        <f t="shared" si="21"/>
        <v>4.3689247225962693E-2</v>
      </c>
      <c r="AE59" s="34">
        <f t="shared" si="22"/>
        <v>174.32711010696309</v>
      </c>
      <c r="AF59" s="34">
        <f t="shared" si="23"/>
        <v>3.6729216201672847</v>
      </c>
      <c r="AG59" s="34">
        <f t="shared" si="7"/>
        <v>4.9234874264977009</v>
      </c>
      <c r="AH59" s="34">
        <f>INDEX('Specification &amp; Data'!E$24:R$46,MATCH(Simulation!AA59,'Specification &amp; Data'!D$24:D$46,0),MATCH(Simulation!AB59,'Specification &amp; Data'!E$47:R$47,0))</f>
        <v>489.46439267578143</v>
      </c>
      <c r="AI59" s="34">
        <f t="shared" si="8"/>
        <v>1.0202560056020236E-3</v>
      </c>
      <c r="AJ59" s="34">
        <f t="shared" si="0"/>
        <v>0.49937898615581311</v>
      </c>
      <c r="AK59" s="34">
        <f t="shared" si="24"/>
        <v>20.438682960023236</v>
      </c>
      <c r="AL59" s="34">
        <v>2.3289729133329802</v>
      </c>
    </row>
    <row r="60" spans="2:38" x14ac:dyDescent="0.25">
      <c r="C60" s="34">
        <f t="shared" si="9"/>
        <v>58</v>
      </c>
      <c r="D60" s="34">
        <v>20</v>
      </c>
      <c r="E60" s="34">
        <f t="shared" si="1"/>
        <v>32.186826647116149</v>
      </c>
      <c r="F60" s="34">
        <f t="shared" si="10"/>
        <v>8.9407851797544851</v>
      </c>
      <c r="G60" s="37">
        <f t="shared" si="11"/>
        <v>465.45727645801861</v>
      </c>
      <c r="H60" s="34">
        <f t="shared" si="12"/>
        <v>9.2760646239952784</v>
      </c>
      <c r="I60" s="34">
        <f t="shared" si="13"/>
        <v>-0.67055888848158673</v>
      </c>
      <c r="J60" s="34">
        <f t="shared" si="14"/>
        <v>2</v>
      </c>
      <c r="K60" s="34">
        <v>0</v>
      </c>
      <c r="L60" s="34">
        <f>('Specification &amp; Data'!B$22*'Specification &amp; Data'!B$10*'Specification &amp; Data'!B$20*(Simulation!F60^2-'Specification &amp; Data'!B$21^2))/2</f>
        <v>35.24286943529966</v>
      </c>
      <c r="M60" s="34">
        <f t="shared" si="15"/>
        <v>-381.49799331136666</v>
      </c>
      <c r="N60" s="34">
        <f>'Specification &amp; Data'!B$25*'Specification &amp; Data'!B$18*8.91</f>
        <v>720.50759550000009</v>
      </c>
      <c r="O60" s="34">
        <f t="shared" si="2"/>
        <v>374.2524716239331</v>
      </c>
      <c r="P60" s="40">
        <f t="shared" si="3"/>
        <v>374.2524716239331</v>
      </c>
      <c r="Q60" s="34">
        <f>IF(J60=1,'Specification &amp; Data'!B$52,IF(Simulation!J60=2,'Specification &amp; Data'!B$53,IF(Simulation!J60=3,'Specification &amp; Data'!B$54)))</f>
        <v>568.92541410528543</v>
      </c>
      <c r="R60" s="34">
        <f>(0.5*'Specification &amp; Data'!B$18*Simulation!F60^2)/1000</f>
        <v>20.852132985818628</v>
      </c>
      <c r="T60" s="40">
        <f>P60*'Specification &amp; Data'!B$14*0.9</f>
        <v>99.320848238659181</v>
      </c>
      <c r="U60" s="40">
        <f>T60/(IF(J60=1,'Specification &amp; Data'!H$7,IF(Simulation!J60=2,'Specification &amp; Data'!H$8,IF(Simulation!J60=3,'Specification &amp; Data'!H$9))))</f>
        <v>5.9587401451642519</v>
      </c>
      <c r="V60" s="40">
        <f t="shared" si="16"/>
        <v>4.977474584338084E-3</v>
      </c>
      <c r="W60" s="40">
        <f t="shared" si="17"/>
        <v>1.2080922928316657E-2</v>
      </c>
      <c r="X60" s="40">
        <f t="shared" si="4"/>
        <v>3.3461109517817471</v>
      </c>
      <c r="Y60" s="40">
        <f t="shared" si="5"/>
        <v>4.4854034206189644</v>
      </c>
      <c r="Z60" s="40">
        <f t="shared" si="18"/>
        <v>5362.3761245119249</v>
      </c>
      <c r="AA60" s="40">
        <f t="shared" si="19"/>
        <v>6</v>
      </c>
      <c r="AB60" s="40">
        <f t="shared" si="20"/>
        <v>5500</v>
      </c>
      <c r="AC60" s="40">
        <f t="shared" si="6"/>
        <v>9.2947526438381868E-4</v>
      </c>
      <c r="AD60" s="40">
        <f t="shared" si="21"/>
        <v>4.4618722490346513E-2</v>
      </c>
      <c r="AE60" s="34">
        <f t="shared" si="22"/>
        <v>174.19853614975779</v>
      </c>
      <c r="AF60" s="34">
        <f t="shared" si="23"/>
        <v>3.3461109517817471</v>
      </c>
      <c r="AG60" s="34">
        <f t="shared" si="7"/>
        <v>4.4854034206189644</v>
      </c>
      <c r="AH60" s="34">
        <f>INDEX('Specification &amp; Data'!E$24:R$46,MATCH(Simulation!AA60,'Specification &amp; Data'!D$24:D$46,0),MATCH(Simulation!AB60,'Specification &amp; Data'!E$47:R$47,0))</f>
        <v>488.66658750000005</v>
      </c>
      <c r="AI60" s="34">
        <f t="shared" si="8"/>
        <v>9.2947526438381868E-4</v>
      </c>
      <c r="AJ60" s="34">
        <f t="shared" si="0"/>
        <v>0.45420350561210099</v>
      </c>
      <c r="AK60" s="34">
        <f t="shared" si="24"/>
        <v>20.892886465635335</v>
      </c>
      <c r="AL60" s="34">
        <v>2.3289729133329802</v>
      </c>
    </row>
    <row r="61" spans="2:38" x14ac:dyDescent="0.25">
      <c r="C61" s="34">
        <f t="shared" si="9"/>
        <v>59</v>
      </c>
      <c r="D61" s="34">
        <v>19.8</v>
      </c>
      <c r="E61" s="34">
        <f t="shared" si="1"/>
        <v>31.864958380644989</v>
      </c>
      <c r="F61" s="34">
        <f t="shared" si="10"/>
        <v>8.851377327956941</v>
      </c>
      <c r="G61" s="37">
        <f t="shared" si="11"/>
        <v>474.35335771187431</v>
      </c>
      <c r="H61" s="34">
        <f t="shared" si="12"/>
        <v>8.8960812538557121</v>
      </c>
      <c r="I61" s="34">
        <f t="shared" si="13"/>
        <v>-8.9407851797545845E-2</v>
      </c>
      <c r="J61" s="34">
        <f t="shared" si="14"/>
        <v>2</v>
      </c>
      <c r="K61" s="34">
        <v>0</v>
      </c>
      <c r="L61" s="34">
        <f>('Specification &amp; Data'!B$22*'Specification &amp; Data'!B$10*'Specification &amp; Data'!B$20*(Simulation!F61^2-'Specification &amp; Data'!B$21^2))/2</f>
        <v>34.49501233573578</v>
      </c>
      <c r="M61" s="34">
        <f t="shared" si="15"/>
        <v>-50.866399108182755</v>
      </c>
      <c r="N61" s="34">
        <f>'Specification &amp; Data'!B$25*'Specification &amp; Data'!B$18*8.91</f>
        <v>720.50759550000009</v>
      </c>
      <c r="O61" s="34">
        <f t="shared" si="2"/>
        <v>704.13620872755314</v>
      </c>
      <c r="P61" s="40">
        <f t="shared" si="3"/>
        <v>704.13620872755314</v>
      </c>
      <c r="Q61" s="34">
        <f>IF(J61=1,'Specification &amp; Data'!B$52,IF(Simulation!J61=2,'Specification &amp; Data'!B$53,IF(Simulation!J61=3,'Specification &amp; Data'!B$54)))</f>
        <v>568.92541410528543</v>
      </c>
      <c r="R61" s="34">
        <f>(0.5*'Specification &amp; Data'!B$18*Simulation!F61^2)/1000</f>
        <v>20.43717553940084</v>
      </c>
      <c r="T61" s="40">
        <f>P61*'Specification &amp; Data'!B$14*0.9</f>
        <v>186.86691693154296</v>
      </c>
      <c r="U61" s="40">
        <f>T61/(IF(J61=1,'Specification &amp; Data'!H$7,IF(Simulation!J61=2,'Specification &amp; Data'!H$8,IF(Simulation!J61=3,'Specification &amp; Data'!H$9))))</f>
        <v>11.211054068401001</v>
      </c>
      <c r="V61" s="40">
        <f t="shared" si="16"/>
        <v>5.0622880204814523E-3</v>
      </c>
      <c r="W61" s="40">
        <f t="shared" si="17"/>
        <v>1.3812193837684608E-2</v>
      </c>
      <c r="X61" s="40">
        <f t="shared" si="4"/>
        <v>6.2325752737246205</v>
      </c>
      <c r="Y61" s="40">
        <f t="shared" si="5"/>
        <v>8.3546585438667833</v>
      </c>
      <c r="Z61" s="40">
        <f t="shared" si="18"/>
        <v>5308.7523632668062</v>
      </c>
      <c r="AA61" s="40">
        <f t="shared" si="19"/>
        <v>11</v>
      </c>
      <c r="AB61" s="40">
        <f t="shared" si="20"/>
        <v>5500</v>
      </c>
      <c r="AC61" s="40">
        <f t="shared" si="6"/>
        <v>1.7312709093679501E-3</v>
      </c>
      <c r="AD61" s="40">
        <f t="shared" si="21"/>
        <v>4.6349993399714462E-2</v>
      </c>
      <c r="AE61" s="34">
        <f t="shared" si="22"/>
        <v>334.00937489642399</v>
      </c>
      <c r="AF61" s="34">
        <f t="shared" si="23"/>
        <v>6.2325752737246205</v>
      </c>
      <c r="AG61" s="34">
        <f t="shared" si="7"/>
        <v>8.3546585438667833</v>
      </c>
      <c r="AH61" s="34">
        <f>INDEX('Specification &amp; Data'!E$24:R$46,MATCH(Simulation!AA61,'Specification &amp; Data'!D$24:D$46,0),MATCH(Simulation!AB61,'Specification &amp; Data'!E$47:R$47,0))</f>
        <v>343.64461950000003</v>
      </c>
      <c r="AI61" s="34">
        <f t="shared" si="8"/>
        <v>1.7312709093679501E-3</v>
      </c>
      <c r="AJ61" s="34">
        <f t="shared" si="0"/>
        <v>0.59494193290116826</v>
      </c>
      <c r="AK61" s="34">
        <f t="shared" si="24"/>
        <v>21.487828398536504</v>
      </c>
      <c r="AL61" s="34">
        <v>2.3289729133329802</v>
      </c>
    </row>
    <row r="62" spans="2:38" x14ac:dyDescent="0.25">
      <c r="C62" s="34">
        <f t="shared" si="9"/>
        <v>60</v>
      </c>
      <c r="D62" s="34">
        <v>19</v>
      </c>
      <c r="E62" s="34">
        <f t="shared" si="1"/>
        <v>30.577485314760342</v>
      </c>
      <c r="F62" s="34">
        <f t="shared" si="10"/>
        <v>8.4937459207667612</v>
      </c>
      <c r="G62" s="37">
        <f t="shared" si="11"/>
        <v>483.02591933623614</v>
      </c>
      <c r="H62" s="34">
        <f t="shared" si="12"/>
        <v>8.6725616243618511</v>
      </c>
      <c r="I62" s="34">
        <f t="shared" si="13"/>
        <v>-0.35763140719017983</v>
      </c>
      <c r="J62" s="34">
        <f t="shared" si="14"/>
        <v>2</v>
      </c>
      <c r="K62" s="34">
        <v>0</v>
      </c>
      <c r="L62" s="34">
        <f>('Specification &amp; Data'!B$22*'Specification &amp; Data'!B$10*'Specification &amp; Data'!B$20*(Simulation!F62^2-'Specification &amp; Data'!B$21^2))/2</f>
        <v>31.578745455024336</v>
      </c>
      <c r="M62" s="34">
        <f t="shared" si="15"/>
        <v>-203.465596432729</v>
      </c>
      <c r="N62" s="34">
        <f>'Specification &amp; Data'!B$25*'Specification &amp; Data'!B$18*8.91</f>
        <v>720.50759550000009</v>
      </c>
      <c r="O62" s="34">
        <f t="shared" si="2"/>
        <v>548.62074452229547</v>
      </c>
      <c r="P62" s="40">
        <f t="shared" si="3"/>
        <v>548.62074452229547</v>
      </c>
      <c r="Q62" s="34">
        <f>IF(J62=1,'Specification &amp; Data'!B$52,IF(Simulation!J62=2,'Specification &amp; Data'!B$53,IF(Simulation!J62=3,'Specification &amp; Data'!B$54)))</f>
        <v>568.92541410528543</v>
      </c>
      <c r="R62" s="34">
        <f>(0.5*'Specification &amp; Data'!B$18*Simulation!F62^2)/1000</f>
        <v>18.819050019701315</v>
      </c>
      <c r="T62" s="40">
        <f>P62*'Specification &amp; Data'!B$14*0.9</f>
        <v>145.59550527707074</v>
      </c>
      <c r="U62" s="40">
        <f>T62/(IF(J62=1,'Specification &amp; Data'!H$7,IF(Simulation!J62=2,'Specification &amp; Data'!H$8,IF(Simulation!J62=3,'Specification &amp; Data'!H$9))))</f>
        <v>8.7349816039153385</v>
      </c>
      <c r="V62" s="40">
        <f t="shared" si="16"/>
        <v>5.1367940872568815E-3</v>
      </c>
      <c r="W62" s="40">
        <f t="shared" si="17"/>
        <v>1.5106595285138571E-2</v>
      </c>
      <c r="X62" s="40">
        <f t="shared" si="4"/>
        <v>4.6598452108342707</v>
      </c>
      <c r="Y62" s="40">
        <f t="shared" si="5"/>
        <v>6.2464413013864224</v>
      </c>
      <c r="Z62" s="40">
        <f t="shared" si="18"/>
        <v>5094.257318286328</v>
      </c>
      <c r="AA62" s="40">
        <f t="shared" si="19"/>
        <v>9</v>
      </c>
      <c r="AB62" s="40">
        <f t="shared" si="20"/>
        <v>5000</v>
      </c>
      <c r="AC62" s="40">
        <f t="shared" si="6"/>
        <v>1.294401447453964E-3</v>
      </c>
      <c r="AD62" s="40">
        <f t="shared" si="21"/>
        <v>4.7644394847168425E-2</v>
      </c>
      <c r="AE62" s="34">
        <f t="shared" si="22"/>
        <v>264.99803948981213</v>
      </c>
      <c r="AF62" s="34">
        <f t="shared" si="23"/>
        <v>4.6598452108342707</v>
      </c>
      <c r="AG62" s="34">
        <f t="shared" si="7"/>
        <v>6.2464413013864224</v>
      </c>
      <c r="AH62" s="34">
        <f>INDEX('Specification &amp; Data'!E$24:R$46,MATCH(Simulation!AA62,'Specification &amp; Data'!D$24:D$46,0),MATCH(Simulation!AB62,'Specification &amp; Data'!E$47:R$47,0))</f>
        <v>394.87040775000008</v>
      </c>
      <c r="AI62" s="34">
        <f t="shared" si="8"/>
        <v>1.294401447453964E-3</v>
      </c>
      <c r="AJ62" s="34">
        <f t="shared" si="0"/>
        <v>0.51112082734833708</v>
      </c>
      <c r="AK62" s="34">
        <f t="shared" si="24"/>
        <v>21.998949225884839</v>
      </c>
      <c r="AL62" s="34">
        <v>2.3289729133329802</v>
      </c>
    </row>
    <row r="63" spans="2:38" x14ac:dyDescent="0.25">
      <c r="C63" s="34">
        <f t="shared" si="9"/>
        <v>61</v>
      </c>
      <c r="D63" s="34">
        <v>18</v>
      </c>
      <c r="E63" s="34">
        <f t="shared" si="1"/>
        <v>28.968143982404534</v>
      </c>
      <c r="F63" s="34">
        <f t="shared" si="10"/>
        <v>8.0467066617790373</v>
      </c>
      <c r="G63" s="37">
        <f t="shared" si="11"/>
        <v>491.29614562750902</v>
      </c>
      <c r="H63" s="34">
        <f t="shared" si="12"/>
        <v>8.2702262912728983</v>
      </c>
      <c r="I63" s="34">
        <f t="shared" si="13"/>
        <v>-0.44703925898772567</v>
      </c>
      <c r="J63" s="34">
        <f t="shared" si="14"/>
        <v>2</v>
      </c>
      <c r="K63" s="34">
        <v>0</v>
      </c>
      <c r="L63" s="34">
        <f>('Specification &amp; Data'!B$22*'Specification &amp; Data'!B$10*'Specification &amp; Data'!B$20*(Simulation!F63^2-'Specification &amp; Data'!B$21^2))/2</f>
        <v>28.102525268609277</v>
      </c>
      <c r="M63" s="34">
        <f t="shared" si="15"/>
        <v>-254.33199554091178</v>
      </c>
      <c r="N63" s="34">
        <f>'Specification &amp; Data'!B$25*'Specification &amp; Data'!B$18*8.91</f>
        <v>720.50759550000009</v>
      </c>
      <c r="O63" s="34">
        <f t="shared" si="2"/>
        <v>494.27812522769761</v>
      </c>
      <c r="P63" s="40">
        <f t="shared" si="3"/>
        <v>494.27812522769761</v>
      </c>
      <c r="Q63" s="34">
        <f>IF(J63=1,'Specification &amp; Data'!B$52,IF(Simulation!J63=2,'Specification &amp; Data'!B$53,IF(Simulation!J63=3,'Specification &amp; Data'!B$54)))</f>
        <v>568.92541410528543</v>
      </c>
      <c r="R63" s="34">
        <f>(0.5*'Specification &amp; Data'!B$18*Simulation!F63^2)/1000</f>
        <v>16.890227718513092</v>
      </c>
      <c r="T63" s="40">
        <f>P63*'Specification &amp; Data'!B$14*0.9</f>
        <v>131.17381015658131</v>
      </c>
      <c r="U63" s="40">
        <f>T63/(IF(J63=1,'Specification &amp; Data'!H$7,IF(Simulation!J63=2,'Specification &amp; Data'!H$8,IF(Simulation!J63=3,'Specification &amp; Data'!H$9))))</f>
        <v>7.8697540590469606</v>
      </c>
      <c r="V63" s="40">
        <f t="shared" si="16"/>
        <v>5.1996087476156956E-3</v>
      </c>
      <c r="W63" s="40">
        <f t="shared" si="17"/>
        <v>1.621140391931673E-2</v>
      </c>
      <c r="X63" s="40">
        <f t="shared" si="4"/>
        <v>3.9773110830413674</v>
      </c>
      <c r="Y63" s="40">
        <f t="shared" si="5"/>
        <v>5.3315161971063905</v>
      </c>
      <c r="Z63" s="40">
        <f t="shared" si="18"/>
        <v>4826.138512060732</v>
      </c>
      <c r="AA63" s="40">
        <f t="shared" si="19"/>
        <v>8</v>
      </c>
      <c r="AB63" s="40">
        <f t="shared" si="20"/>
        <v>5000</v>
      </c>
      <c r="AC63" s="40">
        <f t="shared" si="6"/>
        <v>1.1048086341781576E-3</v>
      </c>
      <c r="AD63" s="40">
        <f t="shared" si="21"/>
        <v>4.8749203481346585E-2</v>
      </c>
      <c r="AE63" s="34">
        <f t="shared" si="22"/>
        <v>242.83693779235907</v>
      </c>
      <c r="AF63" s="34">
        <f t="shared" si="23"/>
        <v>3.9773110830413674</v>
      </c>
      <c r="AG63" s="34">
        <f t="shared" si="7"/>
        <v>5.3315161971063905</v>
      </c>
      <c r="AH63" s="34">
        <f>INDEX('Specification &amp; Data'!E$24:R$46,MATCH(Simulation!AA63,'Specification &amp; Data'!D$24:D$46,0),MATCH(Simulation!AB63,'Specification &amp; Data'!E$47:R$47,0))</f>
        <v>416.52538200000015</v>
      </c>
      <c r="AI63" s="34">
        <f t="shared" si="8"/>
        <v>1.1048086341781576E-3</v>
      </c>
      <c r="AJ63" s="34">
        <f t="shared" si="0"/>
        <v>0.46018083838795548</v>
      </c>
      <c r="AK63" s="34">
        <f t="shared" si="24"/>
        <v>22.459130064272795</v>
      </c>
      <c r="AL63" s="34">
        <v>2.3289729133329802</v>
      </c>
    </row>
    <row r="64" spans="2:38" x14ac:dyDescent="0.25">
      <c r="B64" s="36" t="s">
        <v>115</v>
      </c>
      <c r="C64" s="34">
        <f t="shared" si="9"/>
        <v>62</v>
      </c>
      <c r="D64" s="34">
        <v>16.5</v>
      </c>
      <c r="E64" s="34">
        <f t="shared" si="1"/>
        <v>26.554131983870821</v>
      </c>
      <c r="F64" s="34">
        <f t="shared" si="10"/>
        <v>7.3761477732974505</v>
      </c>
      <c r="G64" s="37">
        <f t="shared" si="11"/>
        <v>499.00757284504726</v>
      </c>
      <c r="H64" s="34">
        <f t="shared" si="12"/>
        <v>7.7114272175382439</v>
      </c>
      <c r="I64" s="34">
        <f t="shared" si="13"/>
        <v>-0.67055888848158673</v>
      </c>
      <c r="J64" s="34">
        <f t="shared" si="14"/>
        <v>2</v>
      </c>
      <c r="K64" s="34">
        <v>0</v>
      </c>
      <c r="L64" s="34">
        <f>('Specification &amp; Data'!B$22*'Specification &amp; Data'!B$10*'Specification &amp; Data'!B$20*(Simulation!F64^2-'Specification &amp; Data'!B$21^2))/2</f>
        <v>23.240514602474704</v>
      </c>
      <c r="M64" s="34">
        <f t="shared" si="15"/>
        <v>-381.49799331136666</v>
      </c>
      <c r="N64" s="34">
        <f>'Specification &amp; Data'!B$25*'Specification &amp; Data'!B$18*8.91</f>
        <v>720.50759550000009</v>
      </c>
      <c r="O64" s="34">
        <f t="shared" si="2"/>
        <v>362.25011679110816</v>
      </c>
      <c r="P64" s="40">
        <f t="shared" si="3"/>
        <v>362.25011679110816</v>
      </c>
      <c r="Q64" s="34">
        <f>IF(J64=1,'Specification &amp; Data'!B$52,IF(Simulation!J64=2,'Specification &amp; Data'!B$53,IF(Simulation!J64=3,'Specification &amp; Data'!B$54)))</f>
        <v>568.92541410528543</v>
      </c>
      <c r="R64" s="34">
        <f>(0.5*'Specification &amp; Data'!B$18*Simulation!F64^2)/1000</f>
        <v>14.192483013472806</v>
      </c>
      <c r="T64" s="40">
        <f>P64*'Specification &amp; Data'!B$14*0.9</f>
        <v>96.135607917640243</v>
      </c>
      <c r="U64" s="40">
        <f>T64/(IF(J64=1,'Specification &amp; Data'!H$7,IF(Simulation!J64=2,'Specification &amp; Data'!H$8,IF(Simulation!J64=3,'Specification &amp; Data'!H$9))))</f>
        <v>5.7676421057350664</v>
      </c>
      <c r="V64" s="40">
        <f t="shared" si="16"/>
        <v>5.2472269337366208E-3</v>
      </c>
      <c r="W64" s="40">
        <f t="shared" si="17"/>
        <v>1.6953629028301585E-2</v>
      </c>
      <c r="X64" s="40">
        <f t="shared" si="4"/>
        <v>2.6720103923454741</v>
      </c>
      <c r="Y64" s="40">
        <f t="shared" si="5"/>
        <v>3.5817833677553272</v>
      </c>
      <c r="Z64" s="40">
        <f t="shared" si="18"/>
        <v>4423.9603027223384</v>
      </c>
      <c r="AA64" s="40">
        <f t="shared" si="19"/>
        <v>6</v>
      </c>
      <c r="AB64" s="40">
        <f t="shared" si="20"/>
        <v>4500</v>
      </c>
      <c r="AC64" s="40">
        <f t="shared" si="6"/>
        <v>7.4222510898485391E-4</v>
      </c>
      <c r="AD64" s="40">
        <f t="shared" si="21"/>
        <v>4.949142859033144E-2</v>
      </c>
      <c r="AE64" s="34">
        <f t="shared" si="22"/>
        <v>180.76555154276579</v>
      </c>
      <c r="AF64" s="34">
        <f t="shared" si="23"/>
        <v>2.6720103923454741</v>
      </c>
      <c r="AG64" s="34">
        <f t="shared" si="7"/>
        <v>3.5817833677553272</v>
      </c>
      <c r="AH64" s="34">
        <f>INDEX('Specification &amp; Data'!E$24:R$46,MATCH(Simulation!AA64,'Specification &amp; Data'!D$24:D$46,0),MATCH(Simulation!AB64,'Specification &amp; Data'!E$47:R$47,0))</f>
        <v>560.76049575000002</v>
      </c>
      <c r="AI64" s="34">
        <f t="shared" si="8"/>
        <v>7.4222510898485391E-4</v>
      </c>
      <c r="AJ64" s="34">
        <f t="shared" si="0"/>
        <v>0.41621052007244447</v>
      </c>
      <c r="AK64" s="34">
        <f t="shared" si="24"/>
        <v>22.875340584345238</v>
      </c>
      <c r="AL64" s="34">
        <v>2.3289729133329802</v>
      </c>
    </row>
    <row r="65" spans="2:38" x14ac:dyDescent="0.25">
      <c r="C65" s="34">
        <f t="shared" si="9"/>
        <v>63</v>
      </c>
      <c r="D65" s="34">
        <v>16</v>
      </c>
      <c r="E65" s="34">
        <f t="shared" si="1"/>
        <v>25.749461317692919</v>
      </c>
      <c r="F65" s="34">
        <f t="shared" si="10"/>
        <v>7.1526281438035886</v>
      </c>
      <c r="G65" s="37">
        <f t="shared" si="11"/>
        <v>506.27196080359778</v>
      </c>
      <c r="H65" s="34">
        <f t="shared" si="12"/>
        <v>7.26438795855052</v>
      </c>
      <c r="I65" s="34">
        <f t="shared" si="13"/>
        <v>-0.22351962949386106</v>
      </c>
      <c r="J65" s="34">
        <f t="shared" si="14"/>
        <v>2</v>
      </c>
      <c r="K65" s="34">
        <v>0</v>
      </c>
      <c r="L65" s="34">
        <f>('Specification &amp; Data'!B$22*'Specification &amp; Data'!B$10*'Specification &amp; Data'!B$20*(Simulation!F65^2-'Specification &amp; Data'!B$21^2))/2</f>
        <v>21.713796277359986</v>
      </c>
      <c r="M65" s="34">
        <f t="shared" si="15"/>
        <v>-127.16599777045488</v>
      </c>
      <c r="N65" s="34">
        <f>'Specification &amp; Data'!B$23*'Specification &amp; Data'!B$18*8.91</f>
        <v>60.4296693</v>
      </c>
      <c r="O65" s="34">
        <f t="shared" si="2"/>
        <v>-45.022532193094889</v>
      </c>
      <c r="P65" s="40">
        <f t="shared" si="3"/>
        <v>45.022532193094889</v>
      </c>
      <c r="Q65" s="34">
        <f>IF(J65=1,'Specification &amp; Data'!B$52,IF(Simulation!J65=2,'Specification &amp; Data'!B$53,IF(Simulation!J65=3,'Specification &amp; Data'!B$54)))</f>
        <v>568.92541410528543</v>
      </c>
      <c r="R65" s="34">
        <f>(0.5*'Specification &amp; Data'!B$18*Simulation!F65^2)/1000</f>
        <v>13.345365110923924</v>
      </c>
      <c r="T65" s="40">
        <f>P65*'Specification &amp; Data'!B$14*0.9</f>
        <v>11.948287389705952</v>
      </c>
      <c r="U65" s="40">
        <f>T65/(IF(J65=1,'Specification &amp; Data'!H$7,IF(Simulation!J65=2,'Specification &amp; Data'!H$8,IF(Simulation!J65=3,'Specification &amp; Data'!H$9))))</f>
        <v>0.71683580031375882</v>
      </c>
      <c r="V65" s="40">
        <f t="shared" si="16"/>
        <v>5.2903687977261379E-3</v>
      </c>
      <c r="W65" s="40">
        <f t="shared" si="17"/>
        <v>1.7043081647987592E-2</v>
      </c>
      <c r="X65" s="40">
        <f t="shared" si="4"/>
        <v>0.32202943086963359</v>
      </c>
      <c r="Y65" s="40">
        <f t="shared" si="5"/>
        <v>0.43167484030781983</v>
      </c>
      <c r="Z65" s="40">
        <f t="shared" si="18"/>
        <v>4289.9008996095399</v>
      </c>
      <c r="AA65" s="40">
        <f t="shared" si="19"/>
        <v>1</v>
      </c>
      <c r="AB65" s="40">
        <f t="shared" si="20"/>
        <v>4500</v>
      </c>
      <c r="AC65" s="40">
        <f t="shared" si="6"/>
        <v>8.9452619686009331E-5</v>
      </c>
      <c r="AD65" s="40">
        <f t="shared" si="21"/>
        <v>4.9580881210017448E-2</v>
      </c>
      <c r="AE65" s="34">
        <f t="shared" si="22"/>
        <v>-22.793645653741255</v>
      </c>
      <c r="AF65" s="34">
        <f t="shared" si="23"/>
        <v>-0.32202943086963359</v>
      </c>
      <c r="AG65" s="34">
        <f t="shared" si="7"/>
        <v>-0.43167484030781983</v>
      </c>
      <c r="AH65" s="34">
        <f>INDEX('Specification &amp; Data'!E$24:R$46,MATCH(Simulation!AA65,'Specification &amp; Data'!D$24:D$46,0),MATCH(Simulation!AB65,'Specification &amp; Data'!E$47:R$47,0))</f>
        <v>917.2780889999998</v>
      </c>
      <c r="AI65" s="34">
        <f t="shared" si="8"/>
        <v>-8.9452619686009331E-5</v>
      </c>
      <c r="AJ65" s="34">
        <f t="shared" si="0"/>
        <v>8.2052928041626408E-2</v>
      </c>
      <c r="AK65" s="34">
        <f t="shared" si="24"/>
        <v>22.957393512386865</v>
      </c>
      <c r="AL65" s="34">
        <v>2.3289729133329802</v>
      </c>
    </row>
    <row r="66" spans="2:38" x14ac:dyDescent="0.25">
      <c r="C66" s="34">
        <f t="shared" si="9"/>
        <v>64</v>
      </c>
      <c r="D66" s="34">
        <v>15.5</v>
      </c>
      <c r="E66" s="34">
        <f t="shared" si="1"/>
        <v>24.944790651515017</v>
      </c>
      <c r="F66" s="34">
        <f t="shared" si="10"/>
        <v>6.9291085143097266</v>
      </c>
      <c r="G66" s="37">
        <f t="shared" si="11"/>
        <v>513.31282913265443</v>
      </c>
      <c r="H66" s="34">
        <f t="shared" si="12"/>
        <v>7.0408683290566572</v>
      </c>
      <c r="I66" s="34">
        <f t="shared" si="13"/>
        <v>-0.22351962949386284</v>
      </c>
      <c r="J66" s="34">
        <f t="shared" si="14"/>
        <v>2</v>
      </c>
      <c r="K66" s="34">
        <v>0</v>
      </c>
      <c r="L66" s="34">
        <f>('Specification &amp; Data'!B$22*'Specification &amp; Data'!B$10*'Specification &amp; Data'!B$20*(Simulation!F66^2-'Specification &amp; Data'!B$21^2))/2</f>
        <v>20.234053900710336</v>
      </c>
      <c r="M66" s="34">
        <f t="shared" si="15"/>
        <v>-127.16599777045589</v>
      </c>
      <c r="N66" s="34">
        <f>'Specification &amp; Data'!B$23*'Specification &amp; Data'!B$18*8.91</f>
        <v>60.4296693</v>
      </c>
      <c r="O66" s="34">
        <f t="shared" si="2"/>
        <v>-46.502274569745552</v>
      </c>
      <c r="P66" s="40">
        <f t="shared" si="3"/>
        <v>46.502274569745552</v>
      </c>
      <c r="Q66" s="34">
        <f>IF(J66=1,'Specification &amp; Data'!B$52,IF(Simulation!J66=2,'Specification &amp; Data'!B$53,IF(Simulation!J66=3,'Specification &amp; Data'!B$54)))</f>
        <v>568.92541410528543</v>
      </c>
      <c r="R66" s="34">
        <f>(0.5*'Specification &amp; Data'!B$18*Simulation!F66^2)/1000</f>
        <v>12.524312374607316</v>
      </c>
      <c r="T66" s="40">
        <f>P66*'Specification &amp; Data'!B$14*0.9</f>
        <v>12.340988251201706</v>
      </c>
      <c r="U66" s="40">
        <f>T66/(IF(J66=1,'Specification &amp; Data'!H$7,IF(Simulation!J66=2,'Specification &amp; Data'!H$8,IF(Simulation!J66=3,'Specification &amp; Data'!H$9))))</f>
        <v>0.74039583257216768</v>
      </c>
      <c r="V66" s="40">
        <f t="shared" si="16"/>
        <v>5.3293143408268085E-3</v>
      </c>
      <c r="W66" s="40">
        <f t="shared" si="17"/>
        <v>1.7132587010947591E-2</v>
      </c>
      <c r="X66" s="40">
        <f t="shared" si="4"/>
        <v>0.32221930665599258</v>
      </c>
      <c r="Y66" s="40">
        <f t="shared" si="5"/>
        <v>0.43192936549060668</v>
      </c>
      <c r="Z66" s="40">
        <f t="shared" si="18"/>
        <v>4155.8414964967415</v>
      </c>
      <c r="AA66" s="40">
        <f t="shared" si="19"/>
        <v>1</v>
      </c>
      <c r="AB66" s="40">
        <f t="shared" si="20"/>
        <v>4000</v>
      </c>
      <c r="AC66" s="40">
        <f t="shared" si="6"/>
        <v>8.9505362959997931E-5</v>
      </c>
      <c r="AD66" s="40">
        <f t="shared" si="21"/>
        <v>4.9670386572977447E-2</v>
      </c>
      <c r="AE66" s="34">
        <f t="shared" si="22"/>
        <v>-23.870214120499579</v>
      </c>
      <c r="AF66" s="34">
        <f t="shared" si="23"/>
        <v>-0.32221930665599258</v>
      </c>
      <c r="AG66" s="34">
        <f t="shared" si="7"/>
        <v>-0.43192936549060668</v>
      </c>
      <c r="AH66" s="34">
        <f>INDEX('Specification &amp; Data'!E$24:R$46,MATCH(Simulation!AA66,'Specification &amp; Data'!D$24:D$46,0),MATCH(Simulation!AB66,'Specification &amp; Data'!E$47:R$47,0))</f>
        <v>944.35122599999977</v>
      </c>
      <c r="AI66" s="34">
        <f t="shared" si="8"/>
        <v>-8.9505362959997931E-5</v>
      </c>
      <c r="AJ66" s="34">
        <f t="shared" ref="AJ66:AJ129" si="25">AC66*AH66</f>
        <v>8.4524499244849019E-2</v>
      </c>
      <c r="AK66" s="34">
        <f t="shared" si="24"/>
        <v>23.041918011631715</v>
      </c>
      <c r="AL66" s="34">
        <v>2.3289729133329802</v>
      </c>
    </row>
    <row r="67" spans="2:38" x14ac:dyDescent="0.25">
      <c r="B67" s="36" t="s">
        <v>116</v>
      </c>
      <c r="C67" s="34">
        <f t="shared" si="9"/>
        <v>65</v>
      </c>
      <c r="D67" s="34">
        <v>15</v>
      </c>
      <c r="E67" s="34">
        <f t="shared" ref="E67:E130" si="26">F67*3.6</f>
        <v>24.140119985337112</v>
      </c>
      <c r="F67" s="34">
        <f t="shared" si="10"/>
        <v>6.7055888848158638</v>
      </c>
      <c r="G67" s="37">
        <f t="shared" si="11"/>
        <v>520.13017783221721</v>
      </c>
      <c r="H67" s="34">
        <f t="shared" si="12"/>
        <v>6.8173486995627952</v>
      </c>
      <c r="I67" s="34">
        <f t="shared" si="13"/>
        <v>-0.22351962949386284</v>
      </c>
      <c r="J67" s="34">
        <f t="shared" si="14"/>
        <v>2</v>
      </c>
      <c r="K67" s="34">
        <v>0</v>
      </c>
      <c r="L67" s="34">
        <f>('Specification &amp; Data'!B$22*'Specification &amp; Data'!B$10*'Specification &amp; Data'!B$20*(Simulation!F67^2-'Specification &amp; Data'!B$21^2))/2</f>
        <v>18.801287472525743</v>
      </c>
      <c r="M67" s="34">
        <f t="shared" si="15"/>
        <v>-127.16599777045589</v>
      </c>
      <c r="N67" s="34">
        <f>'Specification &amp; Data'!B$23*'Specification &amp; Data'!B$18*8.91</f>
        <v>60.4296693</v>
      </c>
      <c r="O67" s="34">
        <f t="shared" ref="O67:O130" si="27">K67+L67+M67+N67</f>
        <v>-47.935040997930145</v>
      </c>
      <c r="P67" s="40">
        <f t="shared" ref="P67:P130" si="28">IF(O67&gt;=0,O67,IF(O67&lt;0,-O67))</f>
        <v>47.935040997930145</v>
      </c>
      <c r="Q67" s="34">
        <f>IF(J67=1,'Specification &amp; Data'!B$52,IF(Simulation!J67=2,'Specification &amp; Data'!B$53,IF(Simulation!J67=3,'Specification &amp; Data'!B$54)))</f>
        <v>568.92541410528543</v>
      </c>
      <c r="R67" s="34">
        <f>(0.5*'Specification &amp; Data'!B$18*Simulation!F67^2)/1000</f>
        <v>11.729324804522978</v>
      </c>
      <c r="T67" s="40">
        <f>P67*'Specification &amp; Data'!B$14*0.9</f>
        <v>12.721222418681462</v>
      </c>
      <c r="U67" s="40">
        <f>T67/(IF(J67=1,'Specification &amp; Data'!H$7,IF(Simulation!J67=2,'Specification &amp; Data'!H$8,IF(Simulation!J67=3,'Specification &amp; Data'!H$9))))</f>
        <v>0.76320792729854792</v>
      </c>
      <c r="V67" s="40">
        <f t="shared" si="16"/>
        <v>5.3643348142423629E-3</v>
      </c>
      <c r="W67" s="40">
        <f t="shared" si="17"/>
        <v>1.7221873865977844E-2</v>
      </c>
      <c r="X67" s="40">
        <f t="shared" ref="X67:X130" si="29">(P67*F67)/1000</f>
        <v>0.32143267810891313</v>
      </c>
      <c r="Y67" s="40">
        <f t="shared" ref="Y67:Y130" si="30">X67*1000/(746)</f>
        <v>0.43087490363125086</v>
      </c>
      <c r="Z67" s="40">
        <f t="shared" si="18"/>
        <v>4021.7820933839439</v>
      </c>
      <c r="AA67" s="40">
        <f t="shared" si="19"/>
        <v>1</v>
      </c>
      <c r="AB67" s="40">
        <f t="shared" si="20"/>
        <v>4000</v>
      </c>
      <c r="AC67" s="40">
        <f t="shared" ref="AC67:AC130" si="31">X67/3600</f>
        <v>8.9286855030253643E-5</v>
      </c>
      <c r="AD67" s="40">
        <f t="shared" si="21"/>
        <v>4.9759673428007703E-2</v>
      </c>
      <c r="AE67" s="34">
        <f t="shared" si="22"/>
        <v>-24.93246139864803</v>
      </c>
      <c r="AF67" s="34">
        <f t="shared" si="23"/>
        <v>-0.32143267810891313</v>
      </c>
      <c r="AG67" s="34">
        <f t="shared" ref="AG67:AG130" si="32">AF67*1000/(746)</f>
        <v>-0.43087490363125086</v>
      </c>
      <c r="AH67" s="34">
        <f>INDEX('Specification &amp; Data'!E$24:R$46,MATCH(Simulation!AA67,'Specification &amp; Data'!D$24:D$46,0),MATCH(Simulation!AB67,'Specification &amp; Data'!E$47:R$47,0))</f>
        <v>944.35122599999977</v>
      </c>
      <c r="AI67" s="34">
        <f t="shared" ref="AI67:AI130" si="33">AF67/3600</f>
        <v>-8.9286855030253643E-5</v>
      </c>
      <c r="AJ67" s="34">
        <f t="shared" si="25"/>
        <v>8.4318151013504275E-2</v>
      </c>
      <c r="AK67" s="34">
        <f t="shared" si="24"/>
        <v>23.12623616264522</v>
      </c>
      <c r="AL67" s="34">
        <v>2.3289729133329802</v>
      </c>
    </row>
    <row r="68" spans="2:38" x14ac:dyDescent="0.25">
      <c r="C68" s="34">
        <f t="shared" ref="C68:C131" si="34">C67+1</f>
        <v>66</v>
      </c>
      <c r="D68" s="34">
        <v>15</v>
      </c>
      <c r="E68" s="34">
        <f t="shared" si="26"/>
        <v>24.140119985337112</v>
      </c>
      <c r="F68" s="34">
        <f t="shared" ref="F68:F131" si="35">D68/2.23694</f>
        <v>6.7055888848158638</v>
      </c>
      <c r="G68" s="37">
        <f t="shared" ref="G68:G131" si="36">G67+((F68+F67)/2)</f>
        <v>526.83576671703304</v>
      </c>
      <c r="H68" s="34">
        <f t="shared" ref="H68:H131" si="37">(F68+F67)/2</f>
        <v>6.7055888848158638</v>
      </c>
      <c r="I68" s="34">
        <f t="shared" ref="I68:I131" si="38">(H68-F67)*2</f>
        <v>0</v>
      </c>
      <c r="J68" s="34">
        <f t="shared" ref="J68:J131" si="39">IF(D68&lt;=10,1,IF(AND(D68&gt;10,D68&lt;=20),2,IF(D68&gt;20,3)))</f>
        <v>2</v>
      </c>
      <c r="K68" s="34">
        <v>0</v>
      </c>
      <c r="L68" s="34">
        <f>('Specification &amp; Data'!B$22*'Specification &amp; Data'!B$10*'Specification &amp; Data'!B$20*(Simulation!F68^2-'Specification &amp; Data'!B$21^2))/2</f>
        <v>18.801287472525743</v>
      </c>
      <c r="M68" s="34">
        <f t="shared" ref="M68:M131" si="40">Q68*I68</f>
        <v>0</v>
      </c>
      <c r="N68" s="34">
        <f>'Specification &amp; Data'!B$23*'Specification &amp; Data'!B$18*8.91</f>
        <v>60.4296693</v>
      </c>
      <c r="O68" s="34">
        <f t="shared" si="27"/>
        <v>79.230956772525744</v>
      </c>
      <c r="P68" s="40">
        <f t="shared" si="28"/>
        <v>79.230956772525744</v>
      </c>
      <c r="Q68" s="34">
        <f>IF(J68=1,'Specification &amp; Data'!B$52,IF(Simulation!J68=2,'Specification &amp; Data'!B$53,IF(Simulation!J68=3,'Specification &amp; Data'!B$54)))</f>
        <v>568.92541410528543</v>
      </c>
      <c r="R68" s="34">
        <f>(0.5*'Specification &amp; Data'!B$18*Simulation!F68^2)/1000</f>
        <v>11.729324804522978</v>
      </c>
      <c r="T68" s="40">
        <f>P68*'Specification &amp; Data'!B$14*0.9</f>
        <v>21.026676989631831</v>
      </c>
      <c r="U68" s="40">
        <f>T68/(IF(J68=1,'Specification &amp; Data'!H$7,IF(Simulation!J68=2,'Specification &amp; Data'!H$8,IF(Simulation!J68=3,'Specification &amp; Data'!H$9))))</f>
        <v>1.2614924914500714</v>
      </c>
      <c r="V68" s="40">
        <f t="shared" ref="V68:V131" si="41">V67+(L68*F68/(1000*3600))</f>
        <v>5.3993552876579172E-3</v>
      </c>
      <c r="W68" s="40">
        <f t="shared" ref="W68:W131" si="42">W67+(IF(I68&lt;0,AC68,0))</f>
        <v>1.7221873865977844E-2</v>
      </c>
      <c r="X68" s="40">
        <f t="shared" si="29"/>
        <v>0.53129022306717477</v>
      </c>
      <c r="Y68" s="40">
        <f t="shared" si="30"/>
        <v>0.7121852856128349</v>
      </c>
      <c r="Z68" s="40">
        <f t="shared" ref="Z68:Z131" si="43">(60*1000*X68)/(2*PI()*U68)</f>
        <v>4021.7820933839439</v>
      </c>
      <c r="AA68" s="40">
        <f t="shared" ref="AA68:AA131" si="44">ROUND(U68,0)</f>
        <v>1</v>
      </c>
      <c r="AB68" s="40">
        <f t="shared" ref="AB68:AB131" si="45">MROUND(Z68,500)</f>
        <v>4000</v>
      </c>
      <c r="AC68" s="40">
        <f t="shared" si="31"/>
        <v>1.4758061751865965E-4</v>
      </c>
      <c r="AD68" s="40">
        <f t="shared" ref="AD68:AD131" si="46">AD67+AC68</f>
        <v>4.9907254045526366E-2</v>
      </c>
      <c r="AE68" s="34">
        <f t="shared" ref="AE68:AE131" si="47">(O68*G68)/1000</f>
        <v>41.741701858977699</v>
      </c>
      <c r="AF68" s="34">
        <f t="shared" ref="AF68:AF131" si="48">(O68*F68)/1000</f>
        <v>0.53129022306717477</v>
      </c>
      <c r="AG68" s="34">
        <f t="shared" si="32"/>
        <v>0.7121852856128349</v>
      </c>
      <c r="AH68" s="34">
        <f>INDEX('Specification &amp; Data'!E$24:R$46,MATCH(Simulation!AA68,'Specification &amp; Data'!D$24:D$46,0),MATCH(Simulation!AB68,'Specification &amp; Data'!E$47:R$47,0))</f>
        <v>944.35122599999977</v>
      </c>
      <c r="AI68" s="34">
        <f t="shared" si="33"/>
        <v>1.4758061751865965E-4</v>
      </c>
      <c r="AJ68" s="34">
        <f t="shared" si="25"/>
        <v>0.1393679370875833</v>
      </c>
      <c r="AK68" s="34">
        <f t="shared" ref="AK68:AK131" si="49">AK67+AJ68</f>
        <v>23.265604099732805</v>
      </c>
      <c r="AL68" s="34">
        <v>2.3289729133329802</v>
      </c>
    </row>
    <row r="69" spans="2:38" x14ac:dyDescent="0.25">
      <c r="C69" s="34">
        <f t="shared" si="34"/>
        <v>67</v>
      </c>
      <c r="D69" s="34">
        <v>15</v>
      </c>
      <c r="E69" s="34">
        <f t="shared" si="26"/>
        <v>24.140119985337112</v>
      </c>
      <c r="F69" s="34">
        <f t="shared" si="35"/>
        <v>6.7055888848158638</v>
      </c>
      <c r="G69" s="37">
        <f t="shared" si="36"/>
        <v>533.54135560184886</v>
      </c>
      <c r="H69" s="34">
        <f t="shared" si="37"/>
        <v>6.7055888848158638</v>
      </c>
      <c r="I69" s="34">
        <f t="shared" si="38"/>
        <v>0</v>
      </c>
      <c r="J69" s="34">
        <f t="shared" si="39"/>
        <v>2</v>
      </c>
      <c r="K69" s="34">
        <v>0</v>
      </c>
      <c r="L69" s="34">
        <f>('Specification &amp; Data'!B$22*'Specification &amp; Data'!B$10*'Specification &amp; Data'!B$20*(Simulation!F69^2-'Specification &amp; Data'!B$21^2))/2</f>
        <v>18.801287472525743</v>
      </c>
      <c r="M69" s="34">
        <f t="shared" si="40"/>
        <v>0</v>
      </c>
      <c r="N69" s="34">
        <f>'Specification &amp; Data'!B$23*'Specification &amp; Data'!B$18*8.91</f>
        <v>60.4296693</v>
      </c>
      <c r="O69" s="34">
        <f t="shared" si="27"/>
        <v>79.230956772525744</v>
      </c>
      <c r="P69" s="40">
        <f t="shared" si="28"/>
        <v>79.230956772525744</v>
      </c>
      <c r="Q69" s="34">
        <f>IF(J69=1,'Specification &amp; Data'!B$52,IF(Simulation!J69=2,'Specification &amp; Data'!B$53,IF(Simulation!J69=3,'Specification &amp; Data'!B$54)))</f>
        <v>568.92541410528543</v>
      </c>
      <c r="R69" s="34">
        <f>(0.5*'Specification &amp; Data'!B$18*Simulation!F69^2)/1000</f>
        <v>11.729324804522978</v>
      </c>
      <c r="T69" s="40">
        <f>P69*'Specification &amp; Data'!B$14*0.9</f>
        <v>21.026676989631831</v>
      </c>
      <c r="U69" s="40">
        <f>T69/(IF(J69=1,'Specification &amp; Data'!H$7,IF(Simulation!J69=2,'Specification &amp; Data'!H$8,IF(Simulation!J69=3,'Specification &amp; Data'!H$9))))</f>
        <v>1.2614924914500714</v>
      </c>
      <c r="V69" s="40">
        <f t="shared" si="41"/>
        <v>5.4343757610734716E-3</v>
      </c>
      <c r="W69" s="40">
        <f t="shared" si="42"/>
        <v>1.7221873865977844E-2</v>
      </c>
      <c r="X69" s="40">
        <f t="shared" si="29"/>
        <v>0.53129022306717477</v>
      </c>
      <c r="Y69" s="40">
        <f t="shared" si="30"/>
        <v>0.7121852856128349</v>
      </c>
      <c r="Z69" s="40">
        <f t="shared" si="43"/>
        <v>4021.7820933839439</v>
      </c>
      <c r="AA69" s="40">
        <f t="shared" si="44"/>
        <v>1</v>
      </c>
      <c r="AB69" s="40">
        <f t="shared" si="45"/>
        <v>4000</v>
      </c>
      <c r="AC69" s="40">
        <f t="shared" si="31"/>
        <v>1.4758061751865965E-4</v>
      </c>
      <c r="AD69" s="40">
        <f t="shared" si="46"/>
        <v>5.0054834663045028E-2</v>
      </c>
      <c r="AE69" s="34">
        <f t="shared" si="47"/>
        <v>42.272992082044873</v>
      </c>
      <c r="AF69" s="34">
        <f t="shared" si="48"/>
        <v>0.53129022306717477</v>
      </c>
      <c r="AG69" s="34">
        <f t="shared" si="32"/>
        <v>0.7121852856128349</v>
      </c>
      <c r="AH69" s="34">
        <f>INDEX('Specification &amp; Data'!E$24:R$46,MATCH(Simulation!AA69,'Specification &amp; Data'!D$24:D$46,0),MATCH(Simulation!AB69,'Specification &amp; Data'!E$47:R$47,0))</f>
        <v>944.35122599999977</v>
      </c>
      <c r="AI69" s="34">
        <f t="shared" si="33"/>
        <v>1.4758061751865965E-4</v>
      </c>
      <c r="AJ69" s="34">
        <f t="shared" si="25"/>
        <v>0.1393679370875833</v>
      </c>
      <c r="AK69" s="34">
        <f t="shared" si="49"/>
        <v>23.404972036820389</v>
      </c>
      <c r="AL69" s="34">
        <v>2.3289729133329802</v>
      </c>
    </row>
    <row r="70" spans="2:38" x14ac:dyDescent="0.25">
      <c r="C70" s="34">
        <f t="shared" si="34"/>
        <v>68</v>
      </c>
      <c r="D70" s="34">
        <v>15</v>
      </c>
      <c r="E70" s="34">
        <f t="shared" si="26"/>
        <v>24.140119985337112</v>
      </c>
      <c r="F70" s="34">
        <f t="shared" si="35"/>
        <v>6.7055888848158638</v>
      </c>
      <c r="G70" s="37">
        <f t="shared" si="36"/>
        <v>540.24694448666469</v>
      </c>
      <c r="H70" s="34">
        <f t="shared" si="37"/>
        <v>6.7055888848158638</v>
      </c>
      <c r="I70" s="34">
        <f t="shared" si="38"/>
        <v>0</v>
      </c>
      <c r="J70" s="34">
        <f t="shared" si="39"/>
        <v>2</v>
      </c>
      <c r="K70" s="34">
        <v>0</v>
      </c>
      <c r="L70" s="34">
        <f>('Specification &amp; Data'!B$22*'Specification &amp; Data'!B$10*'Specification &amp; Data'!B$20*(Simulation!F70^2-'Specification &amp; Data'!B$21^2))/2</f>
        <v>18.801287472525743</v>
      </c>
      <c r="M70" s="34">
        <f t="shared" si="40"/>
        <v>0</v>
      </c>
      <c r="N70" s="34">
        <f>'Specification &amp; Data'!B$23*'Specification &amp; Data'!B$18*8.91</f>
        <v>60.4296693</v>
      </c>
      <c r="O70" s="34">
        <f t="shared" si="27"/>
        <v>79.230956772525744</v>
      </c>
      <c r="P70" s="40">
        <f t="shared" si="28"/>
        <v>79.230956772525744</v>
      </c>
      <c r="Q70" s="34">
        <f>IF(J70=1,'Specification &amp; Data'!B$52,IF(Simulation!J70=2,'Specification &amp; Data'!B$53,IF(Simulation!J70=3,'Specification &amp; Data'!B$54)))</f>
        <v>568.92541410528543</v>
      </c>
      <c r="R70" s="34">
        <f>(0.5*'Specification &amp; Data'!B$18*Simulation!F70^2)/1000</f>
        <v>11.729324804522978</v>
      </c>
      <c r="T70" s="40">
        <f>P70*'Specification &amp; Data'!B$14*0.9</f>
        <v>21.026676989631831</v>
      </c>
      <c r="U70" s="40">
        <f>T70/(IF(J70=1,'Specification &amp; Data'!H$7,IF(Simulation!J70=2,'Specification &amp; Data'!H$8,IF(Simulation!J70=3,'Specification &amp; Data'!H$9))))</f>
        <v>1.2614924914500714</v>
      </c>
      <c r="V70" s="40">
        <f t="shared" si="41"/>
        <v>5.4693962344890259E-3</v>
      </c>
      <c r="W70" s="40">
        <f t="shared" si="42"/>
        <v>1.7221873865977844E-2</v>
      </c>
      <c r="X70" s="40">
        <f t="shared" si="29"/>
        <v>0.53129022306717477</v>
      </c>
      <c r="Y70" s="40">
        <f t="shared" si="30"/>
        <v>0.7121852856128349</v>
      </c>
      <c r="Z70" s="40">
        <f t="shared" si="43"/>
        <v>4021.7820933839439</v>
      </c>
      <c r="AA70" s="40">
        <f t="shared" si="44"/>
        <v>1</v>
      </c>
      <c r="AB70" s="40">
        <f t="shared" si="45"/>
        <v>4000</v>
      </c>
      <c r="AC70" s="40">
        <f t="shared" si="31"/>
        <v>1.4758061751865965E-4</v>
      </c>
      <c r="AD70" s="40">
        <f t="shared" si="46"/>
        <v>5.0202415280563691E-2</v>
      </c>
      <c r="AE70" s="34">
        <f t="shared" si="47"/>
        <v>42.804282305112046</v>
      </c>
      <c r="AF70" s="34">
        <f t="shared" si="48"/>
        <v>0.53129022306717477</v>
      </c>
      <c r="AG70" s="34">
        <f t="shared" si="32"/>
        <v>0.7121852856128349</v>
      </c>
      <c r="AH70" s="34">
        <f>INDEX('Specification &amp; Data'!E$24:R$46,MATCH(Simulation!AA70,'Specification &amp; Data'!D$24:D$46,0),MATCH(Simulation!AB70,'Specification &amp; Data'!E$47:R$47,0))</f>
        <v>944.35122599999977</v>
      </c>
      <c r="AI70" s="34">
        <f t="shared" si="33"/>
        <v>1.4758061751865965E-4</v>
      </c>
      <c r="AJ70" s="34">
        <f t="shared" si="25"/>
        <v>0.1393679370875833</v>
      </c>
      <c r="AK70" s="34">
        <f t="shared" si="49"/>
        <v>23.544339973907974</v>
      </c>
      <c r="AL70" s="34">
        <v>2.3289729133329802</v>
      </c>
    </row>
    <row r="71" spans="2:38" x14ac:dyDescent="0.25">
      <c r="C71" s="34">
        <f t="shared" si="34"/>
        <v>69</v>
      </c>
      <c r="D71" s="34">
        <v>15</v>
      </c>
      <c r="E71" s="34">
        <f t="shared" si="26"/>
        <v>24.140119985337112</v>
      </c>
      <c r="F71" s="34">
        <f t="shared" si="35"/>
        <v>6.7055888848158638</v>
      </c>
      <c r="G71" s="37">
        <f t="shared" si="36"/>
        <v>546.95253337148051</v>
      </c>
      <c r="H71" s="34">
        <f t="shared" si="37"/>
        <v>6.7055888848158638</v>
      </c>
      <c r="I71" s="34">
        <f t="shared" si="38"/>
        <v>0</v>
      </c>
      <c r="J71" s="34">
        <f t="shared" si="39"/>
        <v>2</v>
      </c>
      <c r="K71" s="34">
        <v>0</v>
      </c>
      <c r="L71" s="34">
        <f>('Specification &amp; Data'!B$22*'Specification &amp; Data'!B$10*'Specification &amp; Data'!B$20*(Simulation!F71^2-'Specification &amp; Data'!B$21^2))/2</f>
        <v>18.801287472525743</v>
      </c>
      <c r="M71" s="34">
        <f t="shared" si="40"/>
        <v>0</v>
      </c>
      <c r="N71" s="34">
        <f>'Specification &amp; Data'!B$23*'Specification &amp; Data'!B$18*8.91</f>
        <v>60.4296693</v>
      </c>
      <c r="O71" s="34">
        <f t="shared" si="27"/>
        <v>79.230956772525744</v>
      </c>
      <c r="P71" s="40">
        <f t="shared" si="28"/>
        <v>79.230956772525744</v>
      </c>
      <c r="Q71" s="34">
        <f>IF(J71=1,'Specification &amp; Data'!B$52,IF(Simulation!J71=2,'Specification &amp; Data'!B$53,IF(Simulation!J71=3,'Specification &amp; Data'!B$54)))</f>
        <v>568.92541410528543</v>
      </c>
      <c r="R71" s="34">
        <f>(0.5*'Specification &amp; Data'!B$18*Simulation!F71^2)/1000</f>
        <v>11.729324804522978</v>
      </c>
      <c r="T71" s="40">
        <f>P71*'Specification &amp; Data'!B$14*0.9</f>
        <v>21.026676989631831</v>
      </c>
      <c r="U71" s="40">
        <f>T71/(IF(J71=1,'Specification &amp; Data'!H$7,IF(Simulation!J71=2,'Specification &amp; Data'!H$8,IF(Simulation!J71=3,'Specification &amp; Data'!H$9))))</f>
        <v>1.2614924914500714</v>
      </c>
      <c r="V71" s="40">
        <f t="shared" si="41"/>
        <v>5.5044167079045803E-3</v>
      </c>
      <c r="W71" s="40">
        <f t="shared" si="42"/>
        <v>1.7221873865977844E-2</v>
      </c>
      <c r="X71" s="40">
        <f t="shared" si="29"/>
        <v>0.53129022306717477</v>
      </c>
      <c r="Y71" s="40">
        <f t="shared" si="30"/>
        <v>0.7121852856128349</v>
      </c>
      <c r="Z71" s="40">
        <f t="shared" si="43"/>
        <v>4021.7820933839439</v>
      </c>
      <c r="AA71" s="40">
        <f t="shared" si="44"/>
        <v>1</v>
      </c>
      <c r="AB71" s="40">
        <f t="shared" si="45"/>
        <v>4000</v>
      </c>
      <c r="AC71" s="40">
        <f t="shared" si="31"/>
        <v>1.4758061751865965E-4</v>
      </c>
      <c r="AD71" s="40">
        <f t="shared" si="46"/>
        <v>5.0349995898082353E-2</v>
      </c>
      <c r="AE71" s="34">
        <f t="shared" si="47"/>
        <v>43.33557252817922</v>
      </c>
      <c r="AF71" s="34">
        <f t="shared" si="48"/>
        <v>0.53129022306717477</v>
      </c>
      <c r="AG71" s="34">
        <f t="shared" si="32"/>
        <v>0.7121852856128349</v>
      </c>
      <c r="AH71" s="34">
        <f>INDEX('Specification &amp; Data'!E$24:R$46,MATCH(Simulation!AA71,'Specification &amp; Data'!D$24:D$46,0),MATCH(Simulation!AB71,'Specification &amp; Data'!E$47:R$47,0))</f>
        <v>944.35122599999977</v>
      </c>
      <c r="AI71" s="34">
        <f t="shared" si="33"/>
        <v>1.4758061751865965E-4</v>
      </c>
      <c r="AJ71" s="34">
        <f t="shared" si="25"/>
        <v>0.1393679370875833</v>
      </c>
      <c r="AK71" s="34">
        <f t="shared" si="49"/>
        <v>23.683707910995558</v>
      </c>
      <c r="AL71" s="34">
        <v>2.3289729133329802</v>
      </c>
    </row>
    <row r="72" spans="2:38" x14ac:dyDescent="0.25">
      <c r="C72" s="34">
        <f t="shared" si="34"/>
        <v>70</v>
      </c>
      <c r="D72" s="34">
        <v>15</v>
      </c>
      <c r="E72" s="34">
        <f t="shared" si="26"/>
        <v>24.140119985337112</v>
      </c>
      <c r="F72" s="34">
        <f t="shared" si="35"/>
        <v>6.7055888848158638</v>
      </c>
      <c r="G72" s="37">
        <f t="shared" si="36"/>
        <v>553.65812225629634</v>
      </c>
      <c r="H72" s="34">
        <f t="shared" si="37"/>
        <v>6.7055888848158638</v>
      </c>
      <c r="I72" s="34">
        <f t="shared" si="38"/>
        <v>0</v>
      </c>
      <c r="J72" s="34">
        <f t="shared" si="39"/>
        <v>2</v>
      </c>
      <c r="K72" s="34">
        <v>0</v>
      </c>
      <c r="L72" s="34">
        <f>('Specification &amp; Data'!B$22*'Specification &amp; Data'!B$10*'Specification &amp; Data'!B$20*(Simulation!F72^2-'Specification &amp; Data'!B$21^2))/2</f>
        <v>18.801287472525743</v>
      </c>
      <c r="M72" s="34">
        <f t="shared" si="40"/>
        <v>0</v>
      </c>
      <c r="N72" s="34">
        <f>'Specification &amp; Data'!B$23*'Specification &amp; Data'!B$18*8.91</f>
        <v>60.4296693</v>
      </c>
      <c r="O72" s="34">
        <f t="shared" si="27"/>
        <v>79.230956772525744</v>
      </c>
      <c r="P72" s="40">
        <f t="shared" si="28"/>
        <v>79.230956772525744</v>
      </c>
      <c r="Q72" s="34">
        <f>IF(J72=1,'Specification &amp; Data'!B$52,IF(Simulation!J72=2,'Specification &amp; Data'!B$53,IF(Simulation!J72=3,'Specification &amp; Data'!B$54)))</f>
        <v>568.92541410528543</v>
      </c>
      <c r="R72" s="34">
        <f>(0.5*'Specification &amp; Data'!B$18*Simulation!F72^2)/1000</f>
        <v>11.729324804522978</v>
      </c>
      <c r="T72" s="40">
        <f>P72*'Specification &amp; Data'!B$14*0.9</f>
        <v>21.026676989631831</v>
      </c>
      <c r="U72" s="40">
        <f>T72/(IF(J72=1,'Specification &amp; Data'!H$7,IF(Simulation!J72=2,'Specification &amp; Data'!H$8,IF(Simulation!J72=3,'Specification &amp; Data'!H$9))))</f>
        <v>1.2614924914500714</v>
      </c>
      <c r="V72" s="40">
        <f t="shared" si="41"/>
        <v>5.5394371813201346E-3</v>
      </c>
      <c r="W72" s="40">
        <f t="shared" si="42"/>
        <v>1.7221873865977844E-2</v>
      </c>
      <c r="X72" s="40">
        <f t="shared" si="29"/>
        <v>0.53129022306717477</v>
      </c>
      <c r="Y72" s="40">
        <f t="shared" si="30"/>
        <v>0.7121852856128349</v>
      </c>
      <c r="Z72" s="40">
        <f t="shared" si="43"/>
        <v>4021.7820933839439</v>
      </c>
      <c r="AA72" s="40">
        <f t="shared" si="44"/>
        <v>1</v>
      </c>
      <c r="AB72" s="40">
        <f t="shared" si="45"/>
        <v>4000</v>
      </c>
      <c r="AC72" s="40">
        <f t="shared" si="31"/>
        <v>1.4758061751865965E-4</v>
      </c>
      <c r="AD72" s="40">
        <f t="shared" si="46"/>
        <v>5.0497576515601016E-2</v>
      </c>
      <c r="AE72" s="34">
        <f t="shared" si="47"/>
        <v>43.866862751246387</v>
      </c>
      <c r="AF72" s="34">
        <f t="shared" si="48"/>
        <v>0.53129022306717477</v>
      </c>
      <c r="AG72" s="34">
        <f t="shared" si="32"/>
        <v>0.7121852856128349</v>
      </c>
      <c r="AH72" s="34">
        <f>INDEX('Specification &amp; Data'!E$24:R$46,MATCH(Simulation!AA72,'Specification &amp; Data'!D$24:D$46,0),MATCH(Simulation!AB72,'Specification &amp; Data'!E$47:R$47,0))</f>
        <v>944.35122599999977</v>
      </c>
      <c r="AI72" s="34">
        <f t="shared" si="33"/>
        <v>1.4758061751865965E-4</v>
      </c>
      <c r="AJ72" s="34">
        <f t="shared" si="25"/>
        <v>0.1393679370875833</v>
      </c>
      <c r="AK72" s="34">
        <f t="shared" si="49"/>
        <v>23.823075848083143</v>
      </c>
      <c r="AL72" s="34">
        <v>2.3289729133329802</v>
      </c>
    </row>
    <row r="73" spans="2:38" x14ac:dyDescent="0.25">
      <c r="C73" s="34">
        <f t="shared" si="34"/>
        <v>71</v>
      </c>
      <c r="D73" s="34">
        <v>15</v>
      </c>
      <c r="E73" s="34">
        <f t="shared" si="26"/>
        <v>24.140119985337112</v>
      </c>
      <c r="F73" s="34">
        <f t="shared" si="35"/>
        <v>6.7055888848158638</v>
      </c>
      <c r="G73" s="37">
        <f t="shared" si="36"/>
        <v>560.36371114111216</v>
      </c>
      <c r="H73" s="34">
        <f t="shared" si="37"/>
        <v>6.7055888848158638</v>
      </c>
      <c r="I73" s="34">
        <f t="shared" si="38"/>
        <v>0</v>
      </c>
      <c r="J73" s="34">
        <f t="shared" si="39"/>
        <v>2</v>
      </c>
      <c r="K73" s="34">
        <v>0</v>
      </c>
      <c r="L73" s="34">
        <f>('Specification &amp; Data'!B$22*'Specification &amp; Data'!B$10*'Specification &amp; Data'!B$20*(Simulation!F73^2-'Specification &amp; Data'!B$21^2))/2</f>
        <v>18.801287472525743</v>
      </c>
      <c r="M73" s="34">
        <f t="shared" si="40"/>
        <v>0</v>
      </c>
      <c r="N73" s="34">
        <f>'Specification &amp; Data'!B$23*'Specification &amp; Data'!B$18*8.91</f>
        <v>60.4296693</v>
      </c>
      <c r="O73" s="34">
        <f t="shared" si="27"/>
        <v>79.230956772525744</v>
      </c>
      <c r="P73" s="40">
        <f t="shared" si="28"/>
        <v>79.230956772525744</v>
      </c>
      <c r="Q73" s="34">
        <f>IF(J73=1,'Specification &amp; Data'!B$52,IF(Simulation!J73=2,'Specification &amp; Data'!B$53,IF(Simulation!J73=3,'Specification &amp; Data'!B$54)))</f>
        <v>568.92541410528543</v>
      </c>
      <c r="R73" s="34">
        <f>(0.5*'Specification &amp; Data'!B$18*Simulation!F73^2)/1000</f>
        <v>11.729324804522978</v>
      </c>
      <c r="T73" s="40">
        <f>P73*'Specification &amp; Data'!B$14*0.9</f>
        <v>21.026676989631831</v>
      </c>
      <c r="U73" s="40">
        <f>T73/(IF(J73=1,'Specification &amp; Data'!H$7,IF(Simulation!J73=2,'Specification &amp; Data'!H$8,IF(Simulation!J73=3,'Specification &amp; Data'!H$9))))</f>
        <v>1.2614924914500714</v>
      </c>
      <c r="V73" s="40">
        <f t="shared" si="41"/>
        <v>5.574457654735689E-3</v>
      </c>
      <c r="W73" s="40">
        <f t="shared" si="42"/>
        <v>1.7221873865977844E-2</v>
      </c>
      <c r="X73" s="40">
        <f t="shared" si="29"/>
        <v>0.53129022306717477</v>
      </c>
      <c r="Y73" s="40">
        <f t="shared" si="30"/>
        <v>0.7121852856128349</v>
      </c>
      <c r="Z73" s="40">
        <f t="shared" si="43"/>
        <v>4021.7820933839439</v>
      </c>
      <c r="AA73" s="40">
        <f t="shared" si="44"/>
        <v>1</v>
      </c>
      <c r="AB73" s="40">
        <f t="shared" si="45"/>
        <v>4000</v>
      </c>
      <c r="AC73" s="40">
        <f t="shared" si="31"/>
        <v>1.4758061751865965E-4</v>
      </c>
      <c r="AD73" s="40">
        <f t="shared" si="46"/>
        <v>5.0645157133119678E-2</v>
      </c>
      <c r="AE73" s="34">
        <f t="shared" si="47"/>
        <v>44.398152974313561</v>
      </c>
      <c r="AF73" s="34">
        <f t="shared" si="48"/>
        <v>0.53129022306717477</v>
      </c>
      <c r="AG73" s="34">
        <f t="shared" si="32"/>
        <v>0.7121852856128349</v>
      </c>
      <c r="AH73" s="34">
        <f>INDEX('Specification &amp; Data'!E$24:R$46,MATCH(Simulation!AA73,'Specification &amp; Data'!D$24:D$46,0),MATCH(Simulation!AB73,'Specification &amp; Data'!E$47:R$47,0))</f>
        <v>944.35122599999977</v>
      </c>
      <c r="AI73" s="34">
        <f t="shared" si="33"/>
        <v>1.4758061751865965E-4</v>
      </c>
      <c r="AJ73" s="34">
        <f t="shared" si="25"/>
        <v>0.1393679370875833</v>
      </c>
      <c r="AK73" s="34">
        <f t="shared" si="49"/>
        <v>23.962443785170727</v>
      </c>
      <c r="AL73" s="34">
        <v>2.3289729133329802</v>
      </c>
    </row>
    <row r="74" spans="2:38" x14ac:dyDescent="0.25">
      <c r="C74" s="34">
        <f t="shared" si="34"/>
        <v>72</v>
      </c>
      <c r="D74" s="34">
        <v>15</v>
      </c>
      <c r="E74" s="34">
        <f t="shared" si="26"/>
        <v>24.140119985337112</v>
      </c>
      <c r="F74" s="34">
        <f t="shared" si="35"/>
        <v>6.7055888848158638</v>
      </c>
      <c r="G74" s="37">
        <f t="shared" si="36"/>
        <v>567.06930002592799</v>
      </c>
      <c r="H74" s="34">
        <f t="shared" si="37"/>
        <v>6.7055888848158638</v>
      </c>
      <c r="I74" s="34">
        <f t="shared" si="38"/>
        <v>0</v>
      </c>
      <c r="J74" s="34">
        <f t="shared" si="39"/>
        <v>2</v>
      </c>
      <c r="K74" s="34">
        <v>0</v>
      </c>
      <c r="L74" s="34">
        <f>('Specification &amp; Data'!B$22*'Specification &amp; Data'!B$10*'Specification &amp; Data'!B$20*(Simulation!F74^2-'Specification &amp; Data'!B$21^2))/2</f>
        <v>18.801287472525743</v>
      </c>
      <c r="M74" s="34">
        <f t="shared" si="40"/>
        <v>0</v>
      </c>
      <c r="N74" s="34">
        <f>'Specification &amp; Data'!B$23*'Specification &amp; Data'!B$18*8.91</f>
        <v>60.4296693</v>
      </c>
      <c r="O74" s="34">
        <f t="shared" si="27"/>
        <v>79.230956772525744</v>
      </c>
      <c r="P74" s="40">
        <f t="shared" si="28"/>
        <v>79.230956772525744</v>
      </c>
      <c r="Q74" s="34">
        <f>IF(J74=1,'Specification &amp; Data'!B$52,IF(Simulation!J74=2,'Specification &amp; Data'!B$53,IF(Simulation!J74=3,'Specification &amp; Data'!B$54)))</f>
        <v>568.92541410528543</v>
      </c>
      <c r="R74" s="34">
        <f>(0.5*'Specification &amp; Data'!B$18*Simulation!F74^2)/1000</f>
        <v>11.729324804522978</v>
      </c>
      <c r="T74" s="40">
        <f>P74*'Specification &amp; Data'!B$14*0.9</f>
        <v>21.026676989631831</v>
      </c>
      <c r="U74" s="40">
        <f>T74/(IF(J74=1,'Specification &amp; Data'!H$7,IF(Simulation!J74=2,'Specification &amp; Data'!H$8,IF(Simulation!J74=3,'Specification &amp; Data'!H$9))))</f>
        <v>1.2614924914500714</v>
      </c>
      <c r="V74" s="40">
        <f t="shared" si="41"/>
        <v>5.6094781281512433E-3</v>
      </c>
      <c r="W74" s="40">
        <f t="shared" si="42"/>
        <v>1.7221873865977844E-2</v>
      </c>
      <c r="X74" s="40">
        <f t="shared" si="29"/>
        <v>0.53129022306717477</v>
      </c>
      <c r="Y74" s="40">
        <f t="shared" si="30"/>
        <v>0.7121852856128349</v>
      </c>
      <c r="Z74" s="40">
        <f t="shared" si="43"/>
        <v>4021.7820933839439</v>
      </c>
      <c r="AA74" s="40">
        <f t="shared" si="44"/>
        <v>1</v>
      </c>
      <c r="AB74" s="40">
        <f t="shared" si="45"/>
        <v>4000</v>
      </c>
      <c r="AC74" s="40">
        <f t="shared" si="31"/>
        <v>1.4758061751865965E-4</v>
      </c>
      <c r="AD74" s="40">
        <f t="shared" si="46"/>
        <v>5.0792737750638341E-2</v>
      </c>
      <c r="AE74" s="34">
        <f t="shared" si="47"/>
        <v>44.929443197380728</v>
      </c>
      <c r="AF74" s="34">
        <f t="shared" si="48"/>
        <v>0.53129022306717477</v>
      </c>
      <c r="AG74" s="34">
        <f t="shared" si="32"/>
        <v>0.7121852856128349</v>
      </c>
      <c r="AH74" s="34">
        <f>INDEX('Specification &amp; Data'!E$24:R$46,MATCH(Simulation!AA74,'Specification &amp; Data'!D$24:D$46,0),MATCH(Simulation!AB74,'Specification &amp; Data'!E$47:R$47,0))</f>
        <v>944.35122599999977</v>
      </c>
      <c r="AI74" s="34">
        <f t="shared" si="33"/>
        <v>1.4758061751865965E-4</v>
      </c>
      <c r="AJ74" s="34">
        <f t="shared" si="25"/>
        <v>0.1393679370875833</v>
      </c>
      <c r="AK74" s="34">
        <f t="shared" si="49"/>
        <v>24.101811722258311</v>
      </c>
      <c r="AL74" s="34">
        <v>2.3289729133329802</v>
      </c>
    </row>
    <row r="75" spans="2:38" x14ac:dyDescent="0.25">
      <c r="C75" s="34">
        <f t="shared" si="34"/>
        <v>73</v>
      </c>
      <c r="D75" s="34">
        <v>15</v>
      </c>
      <c r="E75" s="34">
        <f t="shared" si="26"/>
        <v>24.140119985337112</v>
      </c>
      <c r="F75" s="34">
        <f t="shared" si="35"/>
        <v>6.7055888848158638</v>
      </c>
      <c r="G75" s="37">
        <f t="shared" si="36"/>
        <v>573.77488891074381</v>
      </c>
      <c r="H75" s="34">
        <f t="shared" si="37"/>
        <v>6.7055888848158638</v>
      </c>
      <c r="I75" s="34">
        <f t="shared" si="38"/>
        <v>0</v>
      </c>
      <c r="J75" s="34">
        <f t="shared" si="39"/>
        <v>2</v>
      </c>
      <c r="K75" s="34">
        <v>0</v>
      </c>
      <c r="L75" s="34">
        <f>('Specification &amp; Data'!B$22*'Specification &amp; Data'!B$10*'Specification &amp; Data'!B$20*(Simulation!F75^2-'Specification &amp; Data'!B$21^2))/2</f>
        <v>18.801287472525743</v>
      </c>
      <c r="M75" s="34">
        <f t="shared" si="40"/>
        <v>0</v>
      </c>
      <c r="N75" s="34">
        <f>'Specification &amp; Data'!B$23*'Specification &amp; Data'!B$18*8.91</f>
        <v>60.4296693</v>
      </c>
      <c r="O75" s="34">
        <f t="shared" si="27"/>
        <v>79.230956772525744</v>
      </c>
      <c r="P75" s="40">
        <f t="shared" si="28"/>
        <v>79.230956772525744</v>
      </c>
      <c r="Q75" s="34">
        <f>IF(J75=1,'Specification &amp; Data'!B$52,IF(Simulation!J75=2,'Specification &amp; Data'!B$53,IF(Simulation!J75=3,'Specification &amp; Data'!B$54)))</f>
        <v>568.92541410528543</v>
      </c>
      <c r="R75" s="34">
        <f>(0.5*'Specification &amp; Data'!B$18*Simulation!F75^2)/1000</f>
        <v>11.729324804522978</v>
      </c>
      <c r="T75" s="40">
        <f>P75*'Specification &amp; Data'!B$14*0.9</f>
        <v>21.026676989631831</v>
      </c>
      <c r="U75" s="40">
        <f>T75/(IF(J75=1,'Specification &amp; Data'!H$7,IF(Simulation!J75=2,'Specification &amp; Data'!H$8,IF(Simulation!J75=3,'Specification &amp; Data'!H$9))))</f>
        <v>1.2614924914500714</v>
      </c>
      <c r="V75" s="40">
        <f t="shared" si="41"/>
        <v>5.6444986015667976E-3</v>
      </c>
      <c r="W75" s="40">
        <f t="shared" si="42"/>
        <v>1.7221873865977844E-2</v>
      </c>
      <c r="X75" s="40">
        <f t="shared" si="29"/>
        <v>0.53129022306717477</v>
      </c>
      <c r="Y75" s="40">
        <f t="shared" si="30"/>
        <v>0.7121852856128349</v>
      </c>
      <c r="Z75" s="40">
        <f t="shared" si="43"/>
        <v>4021.7820933839439</v>
      </c>
      <c r="AA75" s="40">
        <f t="shared" si="44"/>
        <v>1</v>
      </c>
      <c r="AB75" s="40">
        <f t="shared" si="45"/>
        <v>4000</v>
      </c>
      <c r="AC75" s="40">
        <f t="shared" si="31"/>
        <v>1.4758061751865965E-4</v>
      </c>
      <c r="AD75" s="40">
        <f t="shared" si="46"/>
        <v>5.0940318368157003E-2</v>
      </c>
      <c r="AE75" s="34">
        <f t="shared" si="47"/>
        <v>45.460733420447902</v>
      </c>
      <c r="AF75" s="34">
        <f t="shared" si="48"/>
        <v>0.53129022306717477</v>
      </c>
      <c r="AG75" s="34">
        <f t="shared" si="32"/>
        <v>0.7121852856128349</v>
      </c>
      <c r="AH75" s="34">
        <f>INDEX('Specification &amp; Data'!E$24:R$46,MATCH(Simulation!AA75,'Specification &amp; Data'!D$24:D$46,0),MATCH(Simulation!AB75,'Specification &amp; Data'!E$47:R$47,0))</f>
        <v>944.35122599999977</v>
      </c>
      <c r="AI75" s="34">
        <f t="shared" si="33"/>
        <v>1.4758061751865965E-4</v>
      </c>
      <c r="AJ75" s="34">
        <f t="shared" si="25"/>
        <v>0.1393679370875833</v>
      </c>
      <c r="AK75" s="34">
        <f t="shared" si="49"/>
        <v>24.241179659345896</v>
      </c>
      <c r="AL75" s="34">
        <v>2.3289729133329802</v>
      </c>
    </row>
    <row r="76" spans="2:38" x14ac:dyDescent="0.25">
      <c r="C76" s="34">
        <f t="shared" si="34"/>
        <v>74</v>
      </c>
      <c r="D76" s="34">
        <v>15</v>
      </c>
      <c r="E76" s="34">
        <f t="shared" si="26"/>
        <v>24.140119985337112</v>
      </c>
      <c r="F76" s="34">
        <f t="shared" si="35"/>
        <v>6.7055888848158638</v>
      </c>
      <c r="G76" s="37">
        <f t="shared" si="36"/>
        <v>580.48047779555964</v>
      </c>
      <c r="H76" s="34">
        <f t="shared" si="37"/>
        <v>6.7055888848158638</v>
      </c>
      <c r="I76" s="34">
        <f t="shared" si="38"/>
        <v>0</v>
      </c>
      <c r="J76" s="34">
        <f t="shared" si="39"/>
        <v>2</v>
      </c>
      <c r="K76" s="34">
        <v>0</v>
      </c>
      <c r="L76" s="34">
        <f>('Specification &amp; Data'!B$22*'Specification &amp; Data'!B$10*'Specification &amp; Data'!B$20*(Simulation!F76^2-'Specification &amp; Data'!B$21^2))/2</f>
        <v>18.801287472525743</v>
      </c>
      <c r="M76" s="34">
        <f t="shared" si="40"/>
        <v>0</v>
      </c>
      <c r="N76" s="34">
        <f>'Specification &amp; Data'!B$23*'Specification &amp; Data'!B$18*8.91</f>
        <v>60.4296693</v>
      </c>
      <c r="O76" s="34">
        <f t="shared" si="27"/>
        <v>79.230956772525744</v>
      </c>
      <c r="P76" s="40">
        <f t="shared" si="28"/>
        <v>79.230956772525744</v>
      </c>
      <c r="Q76" s="34">
        <f>IF(J76=1,'Specification &amp; Data'!B$52,IF(Simulation!J76=2,'Specification &amp; Data'!B$53,IF(Simulation!J76=3,'Specification &amp; Data'!B$54)))</f>
        <v>568.92541410528543</v>
      </c>
      <c r="R76" s="34">
        <f>(0.5*'Specification &amp; Data'!B$18*Simulation!F76^2)/1000</f>
        <v>11.729324804522978</v>
      </c>
      <c r="T76" s="40">
        <f>P76*'Specification &amp; Data'!B$14*0.9</f>
        <v>21.026676989631831</v>
      </c>
      <c r="U76" s="40">
        <f>T76/(IF(J76=1,'Specification &amp; Data'!H$7,IF(Simulation!J76=2,'Specification &amp; Data'!H$8,IF(Simulation!J76=3,'Specification &amp; Data'!H$9))))</f>
        <v>1.2614924914500714</v>
      </c>
      <c r="V76" s="40">
        <f t="shared" si="41"/>
        <v>5.679519074982352E-3</v>
      </c>
      <c r="W76" s="40">
        <f t="shared" si="42"/>
        <v>1.7221873865977844E-2</v>
      </c>
      <c r="X76" s="40">
        <f t="shared" si="29"/>
        <v>0.53129022306717477</v>
      </c>
      <c r="Y76" s="40">
        <f t="shared" si="30"/>
        <v>0.7121852856128349</v>
      </c>
      <c r="Z76" s="40">
        <f t="shared" si="43"/>
        <v>4021.7820933839439</v>
      </c>
      <c r="AA76" s="40">
        <f t="shared" si="44"/>
        <v>1</v>
      </c>
      <c r="AB76" s="40">
        <f t="shared" si="45"/>
        <v>4000</v>
      </c>
      <c r="AC76" s="40">
        <f t="shared" si="31"/>
        <v>1.4758061751865965E-4</v>
      </c>
      <c r="AD76" s="40">
        <f t="shared" si="46"/>
        <v>5.1087898985675666E-2</v>
      </c>
      <c r="AE76" s="34">
        <f t="shared" si="47"/>
        <v>45.992023643515076</v>
      </c>
      <c r="AF76" s="34">
        <f t="shared" si="48"/>
        <v>0.53129022306717477</v>
      </c>
      <c r="AG76" s="34">
        <f t="shared" si="32"/>
        <v>0.7121852856128349</v>
      </c>
      <c r="AH76" s="34">
        <f>INDEX('Specification &amp; Data'!E$24:R$46,MATCH(Simulation!AA76,'Specification &amp; Data'!D$24:D$46,0),MATCH(Simulation!AB76,'Specification &amp; Data'!E$47:R$47,0))</f>
        <v>944.35122599999977</v>
      </c>
      <c r="AI76" s="34">
        <f t="shared" si="33"/>
        <v>1.4758061751865965E-4</v>
      </c>
      <c r="AJ76" s="34">
        <f t="shared" si="25"/>
        <v>0.1393679370875833</v>
      </c>
      <c r="AK76" s="34">
        <f t="shared" si="49"/>
        <v>24.38054759643348</v>
      </c>
      <c r="AL76" s="34">
        <v>2.3289729133329802</v>
      </c>
    </row>
    <row r="77" spans="2:38" x14ac:dyDescent="0.25">
      <c r="C77" s="34">
        <f t="shared" si="34"/>
        <v>75</v>
      </c>
      <c r="D77" s="34">
        <v>15</v>
      </c>
      <c r="E77" s="34">
        <f t="shared" si="26"/>
        <v>24.140119985337112</v>
      </c>
      <c r="F77" s="34">
        <f t="shared" si="35"/>
        <v>6.7055888848158638</v>
      </c>
      <c r="G77" s="37">
        <f t="shared" si="36"/>
        <v>587.18606668037546</v>
      </c>
      <c r="H77" s="34">
        <f t="shared" si="37"/>
        <v>6.7055888848158638</v>
      </c>
      <c r="I77" s="34">
        <f t="shared" si="38"/>
        <v>0</v>
      </c>
      <c r="J77" s="34">
        <f t="shared" si="39"/>
        <v>2</v>
      </c>
      <c r="K77" s="34">
        <v>0</v>
      </c>
      <c r="L77" s="34">
        <f>('Specification &amp; Data'!B$22*'Specification &amp; Data'!B$10*'Specification &amp; Data'!B$20*(Simulation!F77^2-'Specification &amp; Data'!B$21^2))/2</f>
        <v>18.801287472525743</v>
      </c>
      <c r="M77" s="34">
        <f t="shared" si="40"/>
        <v>0</v>
      </c>
      <c r="N77" s="34">
        <f>'Specification &amp; Data'!B$23*'Specification &amp; Data'!B$18*8.91</f>
        <v>60.4296693</v>
      </c>
      <c r="O77" s="34">
        <f t="shared" si="27"/>
        <v>79.230956772525744</v>
      </c>
      <c r="P77" s="40">
        <f t="shared" si="28"/>
        <v>79.230956772525744</v>
      </c>
      <c r="Q77" s="34">
        <f>IF(J77=1,'Specification &amp; Data'!B$52,IF(Simulation!J77=2,'Specification &amp; Data'!B$53,IF(Simulation!J77=3,'Specification &amp; Data'!B$54)))</f>
        <v>568.92541410528543</v>
      </c>
      <c r="R77" s="34">
        <f>(0.5*'Specification &amp; Data'!B$18*Simulation!F77^2)/1000</f>
        <v>11.729324804522978</v>
      </c>
      <c r="T77" s="40">
        <f>P77*'Specification &amp; Data'!B$14*0.9</f>
        <v>21.026676989631831</v>
      </c>
      <c r="U77" s="40">
        <f>T77/(IF(J77=1,'Specification &amp; Data'!H$7,IF(Simulation!J77=2,'Specification &amp; Data'!H$8,IF(Simulation!J77=3,'Specification &amp; Data'!H$9))))</f>
        <v>1.2614924914500714</v>
      </c>
      <c r="V77" s="40">
        <f t="shared" si="41"/>
        <v>5.7145395483979063E-3</v>
      </c>
      <c r="W77" s="40">
        <f t="shared" si="42"/>
        <v>1.7221873865977844E-2</v>
      </c>
      <c r="X77" s="40">
        <f t="shared" si="29"/>
        <v>0.53129022306717477</v>
      </c>
      <c r="Y77" s="40">
        <f t="shared" si="30"/>
        <v>0.7121852856128349</v>
      </c>
      <c r="Z77" s="40">
        <f t="shared" si="43"/>
        <v>4021.7820933839439</v>
      </c>
      <c r="AA77" s="40">
        <f t="shared" si="44"/>
        <v>1</v>
      </c>
      <c r="AB77" s="40">
        <f t="shared" si="45"/>
        <v>4000</v>
      </c>
      <c r="AC77" s="40">
        <f t="shared" si="31"/>
        <v>1.4758061751865965E-4</v>
      </c>
      <c r="AD77" s="40">
        <f t="shared" si="46"/>
        <v>5.1235479603194328E-2</v>
      </c>
      <c r="AE77" s="34">
        <f t="shared" si="47"/>
        <v>46.523313866582249</v>
      </c>
      <c r="AF77" s="34">
        <f t="shared" si="48"/>
        <v>0.53129022306717477</v>
      </c>
      <c r="AG77" s="34">
        <f t="shared" si="32"/>
        <v>0.7121852856128349</v>
      </c>
      <c r="AH77" s="34">
        <f>INDEX('Specification &amp; Data'!E$24:R$46,MATCH(Simulation!AA77,'Specification &amp; Data'!D$24:D$46,0),MATCH(Simulation!AB77,'Specification &amp; Data'!E$47:R$47,0))</f>
        <v>944.35122599999977</v>
      </c>
      <c r="AI77" s="34">
        <f t="shared" si="33"/>
        <v>1.4758061751865965E-4</v>
      </c>
      <c r="AJ77" s="34">
        <f t="shared" si="25"/>
        <v>0.1393679370875833</v>
      </c>
      <c r="AK77" s="34">
        <f t="shared" si="49"/>
        <v>24.519915533521065</v>
      </c>
      <c r="AL77" s="34">
        <v>2.3289729133329802</v>
      </c>
    </row>
    <row r="78" spans="2:38" x14ac:dyDescent="0.25">
      <c r="C78" s="34">
        <f t="shared" si="34"/>
        <v>76</v>
      </c>
      <c r="D78" s="34">
        <v>15</v>
      </c>
      <c r="E78" s="34">
        <f t="shared" si="26"/>
        <v>24.140119985337112</v>
      </c>
      <c r="F78" s="34">
        <f t="shared" si="35"/>
        <v>6.7055888848158638</v>
      </c>
      <c r="G78" s="37">
        <f t="shared" si="36"/>
        <v>593.89165556519129</v>
      </c>
      <c r="H78" s="34">
        <f t="shared" si="37"/>
        <v>6.7055888848158638</v>
      </c>
      <c r="I78" s="34">
        <f t="shared" si="38"/>
        <v>0</v>
      </c>
      <c r="J78" s="34">
        <f t="shared" si="39"/>
        <v>2</v>
      </c>
      <c r="K78" s="34">
        <v>0</v>
      </c>
      <c r="L78" s="34">
        <f>('Specification &amp; Data'!B$22*'Specification &amp; Data'!B$10*'Specification &amp; Data'!B$20*(Simulation!F78^2-'Specification &amp; Data'!B$21^2))/2</f>
        <v>18.801287472525743</v>
      </c>
      <c r="M78" s="34">
        <f t="shared" si="40"/>
        <v>0</v>
      </c>
      <c r="N78" s="34">
        <f>'Specification &amp; Data'!B$23*'Specification &amp; Data'!B$18*8.91</f>
        <v>60.4296693</v>
      </c>
      <c r="O78" s="34">
        <f t="shared" si="27"/>
        <v>79.230956772525744</v>
      </c>
      <c r="P78" s="40">
        <f t="shared" si="28"/>
        <v>79.230956772525744</v>
      </c>
      <c r="Q78" s="34">
        <f>IF(J78=1,'Specification &amp; Data'!B$52,IF(Simulation!J78=2,'Specification &amp; Data'!B$53,IF(Simulation!J78=3,'Specification &amp; Data'!B$54)))</f>
        <v>568.92541410528543</v>
      </c>
      <c r="R78" s="34">
        <f>(0.5*'Specification &amp; Data'!B$18*Simulation!F78^2)/1000</f>
        <v>11.729324804522978</v>
      </c>
      <c r="T78" s="40">
        <f>P78*'Specification &amp; Data'!B$14*0.9</f>
        <v>21.026676989631831</v>
      </c>
      <c r="U78" s="40">
        <f>T78/(IF(J78=1,'Specification &amp; Data'!H$7,IF(Simulation!J78=2,'Specification &amp; Data'!H$8,IF(Simulation!J78=3,'Specification &amp; Data'!H$9))))</f>
        <v>1.2614924914500714</v>
      </c>
      <c r="V78" s="40">
        <f t="shared" si="41"/>
        <v>5.7495600218134607E-3</v>
      </c>
      <c r="W78" s="40">
        <f t="shared" si="42"/>
        <v>1.7221873865977844E-2</v>
      </c>
      <c r="X78" s="40">
        <f t="shared" si="29"/>
        <v>0.53129022306717477</v>
      </c>
      <c r="Y78" s="40">
        <f t="shared" si="30"/>
        <v>0.7121852856128349</v>
      </c>
      <c r="Z78" s="40">
        <f t="shared" si="43"/>
        <v>4021.7820933839439</v>
      </c>
      <c r="AA78" s="40">
        <f t="shared" si="44"/>
        <v>1</v>
      </c>
      <c r="AB78" s="40">
        <f t="shared" si="45"/>
        <v>4000</v>
      </c>
      <c r="AC78" s="40">
        <f t="shared" si="31"/>
        <v>1.4758061751865965E-4</v>
      </c>
      <c r="AD78" s="40">
        <f t="shared" si="46"/>
        <v>5.1383060220712991E-2</v>
      </c>
      <c r="AE78" s="34">
        <f t="shared" si="47"/>
        <v>47.054604089649416</v>
      </c>
      <c r="AF78" s="34">
        <f t="shared" si="48"/>
        <v>0.53129022306717477</v>
      </c>
      <c r="AG78" s="34">
        <f t="shared" si="32"/>
        <v>0.7121852856128349</v>
      </c>
      <c r="AH78" s="34">
        <f>INDEX('Specification &amp; Data'!E$24:R$46,MATCH(Simulation!AA78,'Specification &amp; Data'!D$24:D$46,0),MATCH(Simulation!AB78,'Specification &amp; Data'!E$47:R$47,0))</f>
        <v>944.35122599999977</v>
      </c>
      <c r="AI78" s="34">
        <f t="shared" si="33"/>
        <v>1.4758061751865965E-4</v>
      </c>
      <c r="AJ78" s="34">
        <f t="shared" si="25"/>
        <v>0.1393679370875833</v>
      </c>
      <c r="AK78" s="34">
        <f t="shared" si="49"/>
        <v>24.659283470608649</v>
      </c>
      <c r="AL78" s="34">
        <v>2.3289729133329802</v>
      </c>
    </row>
    <row r="79" spans="2:38" x14ac:dyDescent="0.25">
      <c r="C79" s="34">
        <f t="shared" si="34"/>
        <v>77</v>
      </c>
      <c r="D79" s="34">
        <v>15</v>
      </c>
      <c r="E79" s="34">
        <f t="shared" si="26"/>
        <v>24.140119985337112</v>
      </c>
      <c r="F79" s="34">
        <f t="shared" si="35"/>
        <v>6.7055888848158638</v>
      </c>
      <c r="G79" s="37">
        <f t="shared" si="36"/>
        <v>600.59724445000711</v>
      </c>
      <c r="H79" s="34">
        <f t="shared" si="37"/>
        <v>6.7055888848158638</v>
      </c>
      <c r="I79" s="34">
        <f t="shared" si="38"/>
        <v>0</v>
      </c>
      <c r="J79" s="34">
        <f t="shared" si="39"/>
        <v>2</v>
      </c>
      <c r="K79" s="34">
        <v>0</v>
      </c>
      <c r="L79" s="34">
        <f>('Specification &amp; Data'!B$22*'Specification &amp; Data'!B$10*'Specification &amp; Data'!B$20*(Simulation!F79^2-'Specification &amp; Data'!B$21^2))/2</f>
        <v>18.801287472525743</v>
      </c>
      <c r="M79" s="34">
        <f t="shared" si="40"/>
        <v>0</v>
      </c>
      <c r="N79" s="34">
        <f>'Specification &amp; Data'!B$23*'Specification &amp; Data'!B$18*8.91</f>
        <v>60.4296693</v>
      </c>
      <c r="O79" s="34">
        <f t="shared" si="27"/>
        <v>79.230956772525744</v>
      </c>
      <c r="P79" s="40">
        <f t="shared" si="28"/>
        <v>79.230956772525744</v>
      </c>
      <c r="Q79" s="34">
        <f>IF(J79=1,'Specification &amp; Data'!B$52,IF(Simulation!J79=2,'Specification &amp; Data'!B$53,IF(Simulation!J79=3,'Specification &amp; Data'!B$54)))</f>
        <v>568.92541410528543</v>
      </c>
      <c r="R79" s="34">
        <f>(0.5*'Specification &amp; Data'!B$18*Simulation!F79^2)/1000</f>
        <v>11.729324804522978</v>
      </c>
      <c r="T79" s="40">
        <f>P79*'Specification &amp; Data'!B$14*0.9</f>
        <v>21.026676989631831</v>
      </c>
      <c r="U79" s="40">
        <f>T79/(IF(J79=1,'Specification &amp; Data'!H$7,IF(Simulation!J79=2,'Specification &amp; Data'!H$8,IF(Simulation!J79=3,'Specification &amp; Data'!H$9))))</f>
        <v>1.2614924914500714</v>
      </c>
      <c r="V79" s="40">
        <f t="shared" si="41"/>
        <v>5.784580495229015E-3</v>
      </c>
      <c r="W79" s="40">
        <f t="shared" si="42"/>
        <v>1.7221873865977844E-2</v>
      </c>
      <c r="X79" s="40">
        <f t="shared" si="29"/>
        <v>0.53129022306717477</v>
      </c>
      <c r="Y79" s="40">
        <f t="shared" si="30"/>
        <v>0.7121852856128349</v>
      </c>
      <c r="Z79" s="40">
        <f t="shared" si="43"/>
        <v>4021.7820933839439</v>
      </c>
      <c r="AA79" s="40">
        <f t="shared" si="44"/>
        <v>1</v>
      </c>
      <c r="AB79" s="40">
        <f t="shared" si="45"/>
        <v>4000</v>
      </c>
      <c r="AC79" s="40">
        <f t="shared" si="31"/>
        <v>1.4758061751865965E-4</v>
      </c>
      <c r="AD79" s="40">
        <f t="shared" si="46"/>
        <v>5.1530640838231653E-2</v>
      </c>
      <c r="AE79" s="34">
        <f t="shared" si="47"/>
        <v>47.58589431271659</v>
      </c>
      <c r="AF79" s="34">
        <f t="shared" si="48"/>
        <v>0.53129022306717477</v>
      </c>
      <c r="AG79" s="34">
        <f t="shared" si="32"/>
        <v>0.7121852856128349</v>
      </c>
      <c r="AH79" s="34">
        <f>INDEX('Specification &amp; Data'!E$24:R$46,MATCH(Simulation!AA79,'Specification &amp; Data'!D$24:D$46,0),MATCH(Simulation!AB79,'Specification &amp; Data'!E$47:R$47,0))</f>
        <v>944.35122599999977</v>
      </c>
      <c r="AI79" s="34">
        <f t="shared" si="33"/>
        <v>1.4758061751865965E-4</v>
      </c>
      <c r="AJ79" s="34">
        <f t="shared" si="25"/>
        <v>0.1393679370875833</v>
      </c>
      <c r="AK79" s="34">
        <f t="shared" si="49"/>
        <v>24.798651407696234</v>
      </c>
      <c r="AL79" s="34">
        <v>2.3289729133329802</v>
      </c>
    </row>
    <row r="80" spans="2:38" x14ac:dyDescent="0.25">
      <c r="C80" s="34">
        <f t="shared" si="34"/>
        <v>78</v>
      </c>
      <c r="D80" s="34">
        <v>15</v>
      </c>
      <c r="E80" s="34">
        <f t="shared" si="26"/>
        <v>24.140119985337112</v>
      </c>
      <c r="F80" s="34">
        <f t="shared" si="35"/>
        <v>6.7055888848158638</v>
      </c>
      <c r="G80" s="37">
        <f t="shared" si="36"/>
        <v>607.30283333482294</v>
      </c>
      <c r="H80" s="34">
        <f t="shared" si="37"/>
        <v>6.7055888848158638</v>
      </c>
      <c r="I80" s="34">
        <f t="shared" si="38"/>
        <v>0</v>
      </c>
      <c r="J80" s="34">
        <f t="shared" si="39"/>
        <v>2</v>
      </c>
      <c r="K80" s="34">
        <v>0</v>
      </c>
      <c r="L80" s="34">
        <f>('Specification &amp; Data'!B$22*'Specification &amp; Data'!B$10*'Specification &amp; Data'!B$20*(Simulation!F80^2-'Specification &amp; Data'!B$21^2))/2</f>
        <v>18.801287472525743</v>
      </c>
      <c r="M80" s="34">
        <f t="shared" si="40"/>
        <v>0</v>
      </c>
      <c r="N80" s="34">
        <f>'Specification &amp; Data'!B$23*'Specification &amp; Data'!B$18*8.91</f>
        <v>60.4296693</v>
      </c>
      <c r="O80" s="34">
        <f t="shared" si="27"/>
        <v>79.230956772525744</v>
      </c>
      <c r="P80" s="40">
        <f t="shared" si="28"/>
        <v>79.230956772525744</v>
      </c>
      <c r="Q80" s="34">
        <f>IF(J80=1,'Specification &amp; Data'!B$52,IF(Simulation!J80=2,'Specification &amp; Data'!B$53,IF(Simulation!J80=3,'Specification &amp; Data'!B$54)))</f>
        <v>568.92541410528543</v>
      </c>
      <c r="R80" s="34">
        <f>(0.5*'Specification &amp; Data'!B$18*Simulation!F80^2)/1000</f>
        <v>11.729324804522978</v>
      </c>
      <c r="T80" s="40">
        <f>P80*'Specification &amp; Data'!B$14*0.9</f>
        <v>21.026676989631831</v>
      </c>
      <c r="U80" s="40">
        <f>T80/(IF(J80=1,'Specification &amp; Data'!H$7,IF(Simulation!J80=2,'Specification &amp; Data'!H$8,IF(Simulation!J80=3,'Specification &amp; Data'!H$9))))</f>
        <v>1.2614924914500714</v>
      </c>
      <c r="V80" s="40">
        <f t="shared" si="41"/>
        <v>5.8196009686445694E-3</v>
      </c>
      <c r="W80" s="40">
        <f t="shared" si="42"/>
        <v>1.7221873865977844E-2</v>
      </c>
      <c r="X80" s="40">
        <f t="shared" si="29"/>
        <v>0.53129022306717477</v>
      </c>
      <c r="Y80" s="40">
        <f t="shared" si="30"/>
        <v>0.7121852856128349</v>
      </c>
      <c r="Z80" s="40">
        <f t="shared" si="43"/>
        <v>4021.7820933839439</v>
      </c>
      <c r="AA80" s="40">
        <f t="shared" si="44"/>
        <v>1</v>
      </c>
      <c r="AB80" s="40">
        <f t="shared" si="45"/>
        <v>4000</v>
      </c>
      <c r="AC80" s="40">
        <f t="shared" si="31"/>
        <v>1.4758061751865965E-4</v>
      </c>
      <c r="AD80" s="40">
        <f t="shared" si="46"/>
        <v>5.1678221455750316E-2</v>
      </c>
      <c r="AE80" s="34">
        <f t="shared" si="47"/>
        <v>48.117184535783757</v>
      </c>
      <c r="AF80" s="34">
        <f t="shared" si="48"/>
        <v>0.53129022306717477</v>
      </c>
      <c r="AG80" s="34">
        <f t="shared" si="32"/>
        <v>0.7121852856128349</v>
      </c>
      <c r="AH80" s="34">
        <f>INDEX('Specification &amp; Data'!E$24:R$46,MATCH(Simulation!AA80,'Specification &amp; Data'!D$24:D$46,0),MATCH(Simulation!AB80,'Specification &amp; Data'!E$47:R$47,0))</f>
        <v>944.35122599999977</v>
      </c>
      <c r="AI80" s="34">
        <f t="shared" si="33"/>
        <v>1.4758061751865965E-4</v>
      </c>
      <c r="AJ80" s="34">
        <f t="shared" si="25"/>
        <v>0.1393679370875833</v>
      </c>
      <c r="AK80" s="34">
        <f t="shared" si="49"/>
        <v>24.938019344783818</v>
      </c>
      <c r="AL80" s="34">
        <v>2.3289729133329802</v>
      </c>
    </row>
    <row r="81" spans="2:38" x14ac:dyDescent="0.25">
      <c r="C81" s="34">
        <f t="shared" si="34"/>
        <v>79</v>
      </c>
      <c r="D81" s="34">
        <v>15</v>
      </c>
      <c r="E81" s="34">
        <f t="shared" si="26"/>
        <v>24.140119985337112</v>
      </c>
      <c r="F81" s="34">
        <f t="shared" si="35"/>
        <v>6.7055888848158638</v>
      </c>
      <c r="G81" s="37">
        <f t="shared" si="36"/>
        <v>614.00842221963876</v>
      </c>
      <c r="H81" s="34">
        <f t="shared" si="37"/>
        <v>6.7055888848158638</v>
      </c>
      <c r="I81" s="34">
        <f t="shared" si="38"/>
        <v>0</v>
      </c>
      <c r="J81" s="34">
        <f t="shared" si="39"/>
        <v>2</v>
      </c>
      <c r="K81" s="34">
        <v>0</v>
      </c>
      <c r="L81" s="34">
        <f>('Specification &amp; Data'!B$22*'Specification &amp; Data'!B$10*'Specification &amp; Data'!B$20*(Simulation!F81^2-'Specification &amp; Data'!B$21^2))/2</f>
        <v>18.801287472525743</v>
      </c>
      <c r="M81" s="34">
        <f t="shared" si="40"/>
        <v>0</v>
      </c>
      <c r="N81" s="34">
        <f>'Specification &amp; Data'!B$23*'Specification &amp; Data'!B$18*8.91</f>
        <v>60.4296693</v>
      </c>
      <c r="O81" s="34">
        <f t="shared" si="27"/>
        <v>79.230956772525744</v>
      </c>
      <c r="P81" s="40">
        <f t="shared" si="28"/>
        <v>79.230956772525744</v>
      </c>
      <c r="Q81" s="34">
        <f>IF(J81=1,'Specification &amp; Data'!B$52,IF(Simulation!J81=2,'Specification &amp; Data'!B$53,IF(Simulation!J81=3,'Specification &amp; Data'!B$54)))</f>
        <v>568.92541410528543</v>
      </c>
      <c r="R81" s="34">
        <f>(0.5*'Specification &amp; Data'!B$18*Simulation!F81^2)/1000</f>
        <v>11.729324804522978</v>
      </c>
      <c r="T81" s="40">
        <f>P81*'Specification &amp; Data'!B$14*0.9</f>
        <v>21.026676989631831</v>
      </c>
      <c r="U81" s="40">
        <f>T81/(IF(J81=1,'Specification &amp; Data'!H$7,IF(Simulation!J81=2,'Specification &amp; Data'!H$8,IF(Simulation!J81=3,'Specification &amp; Data'!H$9))))</f>
        <v>1.2614924914500714</v>
      </c>
      <c r="V81" s="40">
        <f t="shared" si="41"/>
        <v>5.8546214420601237E-3</v>
      </c>
      <c r="W81" s="40">
        <f t="shared" si="42"/>
        <v>1.7221873865977844E-2</v>
      </c>
      <c r="X81" s="40">
        <f t="shared" si="29"/>
        <v>0.53129022306717477</v>
      </c>
      <c r="Y81" s="40">
        <f t="shared" si="30"/>
        <v>0.7121852856128349</v>
      </c>
      <c r="Z81" s="40">
        <f t="shared" si="43"/>
        <v>4021.7820933839439</v>
      </c>
      <c r="AA81" s="40">
        <f t="shared" si="44"/>
        <v>1</v>
      </c>
      <c r="AB81" s="40">
        <f t="shared" si="45"/>
        <v>4000</v>
      </c>
      <c r="AC81" s="40">
        <f t="shared" si="31"/>
        <v>1.4758061751865965E-4</v>
      </c>
      <c r="AD81" s="40">
        <f t="shared" si="46"/>
        <v>5.1825802073268978E-2</v>
      </c>
      <c r="AE81" s="34">
        <f t="shared" si="47"/>
        <v>48.648474758850938</v>
      </c>
      <c r="AF81" s="34">
        <f t="shared" si="48"/>
        <v>0.53129022306717477</v>
      </c>
      <c r="AG81" s="34">
        <f t="shared" si="32"/>
        <v>0.7121852856128349</v>
      </c>
      <c r="AH81" s="34">
        <f>INDEX('Specification &amp; Data'!E$24:R$46,MATCH(Simulation!AA81,'Specification &amp; Data'!D$24:D$46,0),MATCH(Simulation!AB81,'Specification &amp; Data'!E$47:R$47,0))</f>
        <v>944.35122599999977</v>
      </c>
      <c r="AI81" s="34">
        <f t="shared" si="33"/>
        <v>1.4758061751865965E-4</v>
      </c>
      <c r="AJ81" s="34">
        <f t="shared" si="25"/>
        <v>0.1393679370875833</v>
      </c>
      <c r="AK81" s="34">
        <f t="shared" si="49"/>
        <v>25.077387281871403</v>
      </c>
      <c r="AL81" s="34">
        <v>2.3289729133329802</v>
      </c>
    </row>
    <row r="82" spans="2:38" x14ac:dyDescent="0.25">
      <c r="B82" s="36" t="s">
        <v>117</v>
      </c>
      <c r="C82" s="34">
        <f t="shared" si="34"/>
        <v>80</v>
      </c>
      <c r="D82" s="34">
        <v>15</v>
      </c>
      <c r="E82" s="34">
        <f t="shared" si="26"/>
        <v>24.140119985337112</v>
      </c>
      <c r="F82" s="34">
        <f t="shared" si="35"/>
        <v>6.7055888848158638</v>
      </c>
      <c r="G82" s="37">
        <f t="shared" si="36"/>
        <v>620.71401110445458</v>
      </c>
      <c r="H82" s="34">
        <f t="shared" si="37"/>
        <v>6.7055888848158638</v>
      </c>
      <c r="I82" s="34">
        <f t="shared" si="38"/>
        <v>0</v>
      </c>
      <c r="J82" s="34">
        <f t="shared" si="39"/>
        <v>2</v>
      </c>
      <c r="K82" s="34">
        <v>0</v>
      </c>
      <c r="L82" s="34">
        <f>('Specification &amp; Data'!B$22*'Specification &amp; Data'!B$10*'Specification &amp; Data'!B$20*(Simulation!F82^2-'Specification &amp; Data'!B$21^2))/2</f>
        <v>18.801287472525743</v>
      </c>
      <c r="M82" s="34">
        <f t="shared" si="40"/>
        <v>0</v>
      </c>
      <c r="N82" s="34">
        <f>'Specification &amp; Data'!B$23*'Specification &amp; Data'!B$18*8.91</f>
        <v>60.4296693</v>
      </c>
      <c r="O82" s="34">
        <f t="shared" si="27"/>
        <v>79.230956772525744</v>
      </c>
      <c r="P82" s="40">
        <f t="shared" si="28"/>
        <v>79.230956772525744</v>
      </c>
      <c r="Q82" s="34">
        <f>IF(J82=1,'Specification &amp; Data'!B$52,IF(Simulation!J82=2,'Specification &amp; Data'!B$53,IF(Simulation!J82=3,'Specification &amp; Data'!B$54)))</f>
        <v>568.92541410528543</v>
      </c>
      <c r="R82" s="34">
        <f>(0.5*'Specification &amp; Data'!B$18*Simulation!F82^2)/1000</f>
        <v>11.729324804522978</v>
      </c>
      <c r="T82" s="40">
        <f>P82*'Specification &amp; Data'!B$14*0.9</f>
        <v>21.026676989631831</v>
      </c>
      <c r="U82" s="40">
        <f>T82/(IF(J82=1,'Specification &amp; Data'!H$7,IF(Simulation!J82=2,'Specification &amp; Data'!H$8,IF(Simulation!J82=3,'Specification &amp; Data'!H$9))))</f>
        <v>1.2614924914500714</v>
      </c>
      <c r="V82" s="40">
        <f t="shared" si="41"/>
        <v>5.8896419154756781E-3</v>
      </c>
      <c r="W82" s="40">
        <f t="shared" si="42"/>
        <v>1.7221873865977844E-2</v>
      </c>
      <c r="X82" s="40">
        <f t="shared" si="29"/>
        <v>0.53129022306717477</v>
      </c>
      <c r="Y82" s="40">
        <f t="shared" si="30"/>
        <v>0.7121852856128349</v>
      </c>
      <c r="Z82" s="40">
        <f t="shared" si="43"/>
        <v>4021.7820933839439</v>
      </c>
      <c r="AA82" s="40">
        <f t="shared" si="44"/>
        <v>1</v>
      </c>
      <c r="AB82" s="40">
        <f t="shared" si="45"/>
        <v>4000</v>
      </c>
      <c r="AC82" s="40">
        <f t="shared" si="31"/>
        <v>1.4758061751865965E-4</v>
      </c>
      <c r="AD82" s="40">
        <f t="shared" si="46"/>
        <v>5.1973382690787641E-2</v>
      </c>
      <c r="AE82" s="34">
        <f t="shared" si="47"/>
        <v>49.179764981918105</v>
      </c>
      <c r="AF82" s="34">
        <f t="shared" si="48"/>
        <v>0.53129022306717477</v>
      </c>
      <c r="AG82" s="34">
        <f t="shared" si="32"/>
        <v>0.7121852856128349</v>
      </c>
      <c r="AH82" s="34">
        <f>INDEX('Specification &amp; Data'!E$24:R$46,MATCH(Simulation!AA82,'Specification &amp; Data'!D$24:D$46,0),MATCH(Simulation!AB82,'Specification &amp; Data'!E$47:R$47,0))</f>
        <v>944.35122599999977</v>
      </c>
      <c r="AI82" s="34">
        <f t="shared" si="33"/>
        <v>1.4758061751865965E-4</v>
      </c>
      <c r="AJ82" s="34">
        <f t="shared" si="25"/>
        <v>0.1393679370875833</v>
      </c>
      <c r="AK82" s="34">
        <f t="shared" si="49"/>
        <v>25.216755218958987</v>
      </c>
      <c r="AL82" s="34">
        <v>2.3289729133329802</v>
      </c>
    </row>
    <row r="83" spans="2:38" x14ac:dyDescent="0.25">
      <c r="C83" s="34">
        <f t="shared" si="34"/>
        <v>81</v>
      </c>
      <c r="D83" s="34">
        <v>17</v>
      </c>
      <c r="E83" s="34">
        <f t="shared" si="26"/>
        <v>27.358802650048727</v>
      </c>
      <c r="F83" s="34">
        <f t="shared" si="35"/>
        <v>7.5996674027913125</v>
      </c>
      <c r="G83" s="37">
        <f t="shared" si="36"/>
        <v>627.86663924825814</v>
      </c>
      <c r="H83" s="34">
        <f t="shared" si="37"/>
        <v>7.1526281438035877</v>
      </c>
      <c r="I83" s="34">
        <f t="shared" si="38"/>
        <v>0.8940785179754478</v>
      </c>
      <c r="J83" s="34">
        <f t="shared" si="39"/>
        <v>2</v>
      </c>
      <c r="K83" s="34">
        <v>0</v>
      </c>
      <c r="L83" s="34">
        <f>('Specification &amp; Data'!B$22*'Specification &amp; Data'!B$10*'Specification &amp; Data'!B$20*(Simulation!F83^2-'Specification &amp; Data'!B$21^2))/2</f>
        <v>24.81420887605449</v>
      </c>
      <c r="M83" s="34">
        <f t="shared" si="40"/>
        <v>508.66399108182151</v>
      </c>
      <c r="N83" s="34">
        <f>'Specification &amp; Data'!B$23*'Specification &amp; Data'!B$18*8.91</f>
        <v>60.4296693</v>
      </c>
      <c r="O83" s="34">
        <f t="shared" si="27"/>
        <v>593.90786925787597</v>
      </c>
      <c r="P83" s="40">
        <f t="shared" si="28"/>
        <v>593.90786925787597</v>
      </c>
      <c r="Q83" s="34">
        <f>IF(J83=1,'Specification &amp; Data'!B$52,IF(Simulation!J83=2,'Specification &amp; Data'!B$53,IF(Simulation!J83=3,'Specification &amp; Data'!B$54)))</f>
        <v>568.92541410528543</v>
      </c>
      <c r="R83" s="34">
        <f>(0.5*'Specification &amp; Data'!B$18*Simulation!F83^2)/1000</f>
        <v>15.06566608225396</v>
      </c>
      <c r="T83" s="40">
        <f>P83*'Specification &amp; Data'!B$14*0.9</f>
        <v>157.61401145689788</v>
      </c>
      <c r="U83" s="40">
        <f>T83/(IF(J83=1,'Specification &amp; Data'!H$7,IF(Simulation!J83=2,'Specification &amp; Data'!H$8,IF(Simulation!J83=3,'Specification &amp; Data'!H$9))))</f>
        <v>9.4560301705421121</v>
      </c>
      <c r="V83" s="40">
        <f t="shared" si="41"/>
        <v>5.942025175009402E-3</v>
      </c>
      <c r="W83" s="40">
        <f t="shared" si="42"/>
        <v>1.7221873865977844E-2</v>
      </c>
      <c r="X83" s="40">
        <f t="shared" si="29"/>
        <v>4.5135022742603255</v>
      </c>
      <c r="Y83" s="40">
        <f t="shared" si="30"/>
        <v>6.0502711451210791</v>
      </c>
      <c r="Z83" s="40">
        <f t="shared" si="43"/>
        <v>4558.0197058351368</v>
      </c>
      <c r="AA83" s="40">
        <f t="shared" si="44"/>
        <v>9</v>
      </c>
      <c r="AB83" s="40">
        <f t="shared" si="45"/>
        <v>4500</v>
      </c>
      <c r="AC83" s="40">
        <f t="shared" si="31"/>
        <v>1.2537506317389794E-3</v>
      </c>
      <c r="AD83" s="40">
        <f t="shared" si="46"/>
        <v>5.3227133322526619E-2</v>
      </c>
      <c r="AE83" s="34">
        <f t="shared" si="47"/>
        <v>372.89493789403645</v>
      </c>
      <c r="AF83" s="34">
        <f t="shared" si="48"/>
        <v>4.5135022742603255</v>
      </c>
      <c r="AG83" s="34">
        <f t="shared" si="32"/>
        <v>6.0502711451210791</v>
      </c>
      <c r="AH83" s="34">
        <f>INDEX('Specification &amp; Data'!E$24:R$46,MATCH(Simulation!AA83,'Specification &amp; Data'!D$24:D$46,0),MATCH(Simulation!AB83,'Specification &amp; Data'!E$47:R$47,0))</f>
        <v>491.51302200000009</v>
      </c>
      <c r="AI83" s="34">
        <f t="shared" si="33"/>
        <v>1.2537506317389794E-3</v>
      </c>
      <c r="AJ83" s="34">
        <f t="shared" si="25"/>
        <v>0.61623476184043502</v>
      </c>
      <c r="AK83" s="34">
        <f t="shared" si="49"/>
        <v>25.832989980799422</v>
      </c>
      <c r="AL83" s="34">
        <v>2.3289729133329802</v>
      </c>
    </row>
    <row r="84" spans="2:38" x14ac:dyDescent="0.25">
      <c r="C84" s="34">
        <f t="shared" si="34"/>
        <v>82</v>
      </c>
      <c r="D84" s="34">
        <v>18.5</v>
      </c>
      <c r="E84" s="34">
        <f t="shared" si="26"/>
        <v>29.772814648582436</v>
      </c>
      <c r="F84" s="34">
        <f t="shared" si="35"/>
        <v>8.2702262912728983</v>
      </c>
      <c r="G84" s="37">
        <f t="shared" si="36"/>
        <v>635.80158609529019</v>
      </c>
      <c r="H84" s="34">
        <f t="shared" si="37"/>
        <v>7.934946847032105</v>
      </c>
      <c r="I84" s="34">
        <f t="shared" si="38"/>
        <v>0.67055888848158496</v>
      </c>
      <c r="J84" s="34">
        <f t="shared" si="39"/>
        <v>2</v>
      </c>
      <c r="K84" s="34">
        <v>0</v>
      </c>
      <c r="L84" s="34">
        <f>('Specification &amp; Data'!B$22*'Specification &amp; Data'!B$10*'Specification &amp; Data'!B$20*(Simulation!F84^2-'Specification &amp; Data'!B$21^2))/2</f>
        <v>29.817147387584267</v>
      </c>
      <c r="M84" s="34">
        <f t="shared" si="40"/>
        <v>381.49799331136563</v>
      </c>
      <c r="N84" s="34">
        <f>'Specification &amp; Data'!B$23*'Specification &amp; Data'!B$18*8.91</f>
        <v>60.4296693</v>
      </c>
      <c r="O84" s="34">
        <f t="shared" si="27"/>
        <v>471.7448099989499</v>
      </c>
      <c r="P84" s="40">
        <f t="shared" si="28"/>
        <v>471.7448099989499</v>
      </c>
      <c r="Q84" s="34">
        <f>IF(J84=1,'Specification &amp; Data'!B$52,IF(Simulation!J84=2,'Specification &amp; Data'!B$53,IF(Simulation!J84=3,'Specification &amp; Data'!B$54)))</f>
        <v>568.92541410528543</v>
      </c>
      <c r="R84" s="34">
        <f>(0.5*'Specification &amp; Data'!B$18*Simulation!F84^2)/1000</f>
        <v>17.841606285991062</v>
      </c>
      <c r="T84" s="40">
        <f>P84*'Specification &amp; Data'!B$14*0.9</f>
        <v>125.19381496125979</v>
      </c>
      <c r="U84" s="40">
        <f>T84/(IF(J84=1,'Specification &amp; Data'!H$7,IF(Simulation!J84=2,'Specification &amp; Data'!H$8,IF(Simulation!J84=3,'Specification &amp; Data'!H$9))))</f>
        <v>7.5109850989528208</v>
      </c>
      <c r="V84" s="40">
        <f t="shared" si="41"/>
        <v>6.0105236628581679E-3</v>
      </c>
      <c r="W84" s="40">
        <f t="shared" si="42"/>
        <v>1.7221873865977844E-2</v>
      </c>
      <c r="X84" s="40">
        <f t="shared" si="29"/>
        <v>3.9014363304248536</v>
      </c>
      <c r="Y84" s="40">
        <f t="shared" si="30"/>
        <v>5.2298074134381416</v>
      </c>
      <c r="Z84" s="40">
        <f t="shared" si="43"/>
        <v>4960.1979151735304</v>
      </c>
      <c r="AA84" s="40">
        <f t="shared" si="44"/>
        <v>8</v>
      </c>
      <c r="AB84" s="40">
        <f t="shared" si="45"/>
        <v>5000</v>
      </c>
      <c r="AC84" s="40">
        <f t="shared" si="31"/>
        <v>1.0837323140069038E-3</v>
      </c>
      <c r="AD84" s="40">
        <f t="shared" si="46"/>
        <v>5.431086563653352E-2</v>
      </c>
      <c r="AE84" s="34">
        <f t="shared" si="47"/>
        <v>299.93609842955368</v>
      </c>
      <c r="AF84" s="34">
        <f t="shared" si="48"/>
        <v>3.9014363304248536</v>
      </c>
      <c r="AG84" s="34">
        <f t="shared" si="32"/>
        <v>5.2298074134381416</v>
      </c>
      <c r="AH84" s="34">
        <f>INDEX('Specification &amp; Data'!E$24:R$46,MATCH(Simulation!AA84,'Specification &amp; Data'!D$24:D$46,0),MATCH(Simulation!AB84,'Specification &amp; Data'!E$47:R$47,0))</f>
        <v>416.52538200000015</v>
      </c>
      <c r="AI84" s="34">
        <f t="shared" si="33"/>
        <v>1.0837323140069038E-3</v>
      </c>
      <c r="AJ84" s="34">
        <f t="shared" si="25"/>
        <v>0.45140201607746971</v>
      </c>
      <c r="AK84" s="34">
        <f t="shared" si="49"/>
        <v>26.284391996876892</v>
      </c>
      <c r="AL84" s="34">
        <v>2.3289729133329802</v>
      </c>
    </row>
    <row r="85" spans="2:38" x14ac:dyDescent="0.25">
      <c r="C85" s="34">
        <f t="shared" si="34"/>
        <v>83</v>
      </c>
      <c r="D85" s="34">
        <v>20</v>
      </c>
      <c r="E85" s="34">
        <f t="shared" si="26"/>
        <v>32.186826647116149</v>
      </c>
      <c r="F85" s="34">
        <f t="shared" si="35"/>
        <v>8.9407851797544851</v>
      </c>
      <c r="G85" s="37">
        <f t="shared" si="36"/>
        <v>644.40709183080389</v>
      </c>
      <c r="H85" s="34">
        <f t="shared" si="37"/>
        <v>8.6055057355136917</v>
      </c>
      <c r="I85" s="34">
        <f t="shared" si="38"/>
        <v>0.67055888848158673</v>
      </c>
      <c r="J85" s="34">
        <f t="shared" si="39"/>
        <v>2</v>
      </c>
      <c r="K85" s="34">
        <v>0</v>
      </c>
      <c r="L85" s="34">
        <f>('Specification &amp; Data'!B$22*'Specification &amp; Data'!B$10*'Specification &amp; Data'!B$20*(Simulation!F85^2-'Specification &amp; Data'!B$21^2))/2</f>
        <v>35.24286943529966</v>
      </c>
      <c r="M85" s="34">
        <f t="shared" si="40"/>
        <v>381.49799331136666</v>
      </c>
      <c r="N85" s="34">
        <f>'Specification &amp; Data'!B$23*'Specification &amp; Data'!B$18*8.91</f>
        <v>60.4296693</v>
      </c>
      <c r="O85" s="34">
        <f t="shared" si="27"/>
        <v>477.17053204666632</v>
      </c>
      <c r="P85" s="40">
        <f t="shared" si="28"/>
        <v>477.17053204666632</v>
      </c>
      <c r="Q85" s="34">
        <f>IF(J85=1,'Specification &amp; Data'!B$52,IF(Simulation!J85=2,'Specification &amp; Data'!B$53,IF(Simulation!J85=3,'Specification &amp; Data'!B$54)))</f>
        <v>568.92541410528543</v>
      </c>
      <c r="R85" s="34">
        <f>(0.5*'Specification &amp; Data'!B$18*Simulation!F85^2)/1000</f>
        <v>20.852132985818628</v>
      </c>
      <c r="T85" s="40">
        <f>P85*'Specification &amp; Data'!B$14*0.9</f>
        <v>126.63371812007682</v>
      </c>
      <c r="U85" s="40">
        <f>T85/(IF(J85=1,'Specification &amp; Data'!H$7,IF(Simulation!J85=2,'Specification &amp; Data'!H$8,IF(Simulation!J85=3,'Specification &amp; Data'!H$9))))</f>
        <v>7.5973718839002755</v>
      </c>
      <c r="V85" s="40">
        <f t="shared" si="41"/>
        <v>6.0980511419523762E-3</v>
      </c>
      <c r="W85" s="40">
        <f t="shared" si="42"/>
        <v>1.7221873865977844E-2</v>
      </c>
      <c r="X85" s="40">
        <f t="shared" si="29"/>
        <v>4.2662792211383964</v>
      </c>
      <c r="Y85" s="40">
        <f t="shared" si="30"/>
        <v>5.718872950587663</v>
      </c>
      <c r="Z85" s="40">
        <f t="shared" si="43"/>
        <v>5362.3761245119249</v>
      </c>
      <c r="AA85" s="40">
        <f t="shared" si="44"/>
        <v>8</v>
      </c>
      <c r="AB85" s="40">
        <f t="shared" si="45"/>
        <v>5500</v>
      </c>
      <c r="AC85" s="40">
        <f t="shared" si="31"/>
        <v>1.1850775614273322E-3</v>
      </c>
      <c r="AD85" s="40">
        <f t="shared" si="46"/>
        <v>5.5495943197960855E-2</v>
      </c>
      <c r="AE85" s="34">
        <f t="shared" si="47"/>
        <v>307.49207486354965</v>
      </c>
      <c r="AF85" s="34">
        <f t="shared" si="48"/>
        <v>4.2662792211383964</v>
      </c>
      <c r="AG85" s="34">
        <f t="shared" si="32"/>
        <v>5.718872950587663</v>
      </c>
      <c r="AH85" s="34">
        <f>INDEX('Specification &amp; Data'!E$24:R$46,MATCH(Simulation!AA85,'Specification &amp; Data'!D$24:D$46,0),MATCH(Simulation!AB85,'Specification &amp; Data'!E$47:R$47,0))</f>
        <v>430.19858700000003</v>
      </c>
      <c r="AI85" s="34">
        <f t="shared" si="33"/>
        <v>1.1850775614273322E-3</v>
      </c>
      <c r="AJ85" s="34">
        <f t="shared" si="25"/>
        <v>0.50981869241144406</v>
      </c>
      <c r="AK85" s="34">
        <f t="shared" si="49"/>
        <v>26.794210689288334</v>
      </c>
      <c r="AL85" s="34">
        <v>2.3289729133329802</v>
      </c>
    </row>
    <row r="86" spans="2:38" x14ac:dyDescent="0.25">
      <c r="C86" s="34">
        <f t="shared" si="34"/>
        <v>84</v>
      </c>
      <c r="D86" s="34">
        <v>20.2</v>
      </c>
      <c r="E86" s="34">
        <f t="shared" si="26"/>
        <v>32.508694913587306</v>
      </c>
      <c r="F86" s="34">
        <f t="shared" si="35"/>
        <v>9.0301930315520291</v>
      </c>
      <c r="G86" s="37">
        <f t="shared" si="36"/>
        <v>653.39258093645719</v>
      </c>
      <c r="H86" s="34">
        <f t="shared" si="37"/>
        <v>8.985489105653258</v>
      </c>
      <c r="I86" s="34">
        <f t="shared" si="38"/>
        <v>8.9407851797545845E-2</v>
      </c>
      <c r="J86" s="34">
        <f t="shared" si="39"/>
        <v>3</v>
      </c>
      <c r="K86" s="34">
        <v>0</v>
      </c>
      <c r="L86" s="34">
        <f>('Specification &amp; Data'!B$22*'Specification &amp; Data'!B$10*'Specification &amp; Data'!B$20*(Simulation!F86^2-'Specification &amp; Data'!B$21^2))/2</f>
        <v>35.998242686617957</v>
      </c>
      <c r="M86" s="34">
        <f t="shared" si="40"/>
        <v>50.593938462920285</v>
      </c>
      <c r="N86" s="34">
        <f>'Specification &amp; Data'!B$23*'Specification &amp; Data'!B$18*8.91</f>
        <v>60.4296693</v>
      </c>
      <c r="O86" s="34">
        <f t="shared" si="27"/>
        <v>147.02185044953825</v>
      </c>
      <c r="P86" s="40">
        <f t="shared" si="28"/>
        <v>147.02185044953825</v>
      </c>
      <c r="Q86" s="34">
        <f>IF(J86=1,'Specification &amp; Data'!B$52,IF(Simulation!J86=2,'Specification &amp; Data'!B$53,IF(Simulation!J86=3,'Specification &amp; Data'!B$54)))</f>
        <v>565.87802352621827</v>
      </c>
      <c r="R86" s="34">
        <f>(0.5*'Specification &amp; Data'!B$18*Simulation!F86^2)/1000</f>
        <v>21.271260858833578</v>
      </c>
      <c r="T86" s="40">
        <f>P86*'Specification &amp; Data'!B$14*0.9</f>
        <v>39.017337234685151</v>
      </c>
      <c r="U86" s="40">
        <f>T86/(IF(J86=1,'Specification &amp; Data'!H$7,IF(Simulation!J86=2,'Specification &amp; Data'!H$8,IF(Simulation!J86=3,'Specification &amp; Data'!H$9))))</f>
        <v>3.0657447542554013</v>
      </c>
      <c r="V86" s="40">
        <f t="shared" si="41"/>
        <v>6.1883486642459367E-3</v>
      </c>
      <c r="W86" s="40">
        <f t="shared" si="42"/>
        <v>1.7221873865977844E-2</v>
      </c>
      <c r="X86" s="40">
        <f t="shared" si="29"/>
        <v>1.3276356894153047</v>
      </c>
      <c r="Y86" s="40">
        <f t="shared" si="30"/>
        <v>1.7796725059186391</v>
      </c>
      <c r="Z86" s="40">
        <f t="shared" si="43"/>
        <v>4135.3693708982355</v>
      </c>
      <c r="AA86" s="40">
        <f t="shared" si="44"/>
        <v>3</v>
      </c>
      <c r="AB86" s="40">
        <f t="shared" si="45"/>
        <v>4000</v>
      </c>
      <c r="AC86" s="40">
        <f t="shared" si="31"/>
        <v>3.687876915042513E-4</v>
      </c>
      <c r="AD86" s="40">
        <f t="shared" si="46"/>
        <v>5.5864730889465107E-2</v>
      </c>
      <c r="AE86" s="34">
        <f t="shared" si="47"/>
        <v>96.062986319277627</v>
      </c>
      <c r="AF86" s="34">
        <f t="shared" si="48"/>
        <v>1.3276356894153047</v>
      </c>
      <c r="AG86" s="34">
        <f t="shared" si="32"/>
        <v>1.7796725059186391</v>
      </c>
      <c r="AH86" s="34">
        <f>INDEX('Specification &amp; Data'!E$24:R$46,MATCH(Simulation!AA86,'Specification &amp; Data'!D$24:D$46,0),MATCH(Simulation!AB86,'Specification &amp; Data'!E$47:R$47,0))</f>
        <v>746.95257000000004</v>
      </c>
      <c r="AI86" s="34">
        <f t="shared" si="33"/>
        <v>3.687876915042513E-4</v>
      </c>
      <c r="AJ86" s="34">
        <f t="shared" si="25"/>
        <v>0.27546691395346767</v>
      </c>
      <c r="AK86" s="34">
        <f t="shared" si="49"/>
        <v>27.069677603241804</v>
      </c>
      <c r="AL86" s="34">
        <v>2.3289729133329802</v>
      </c>
    </row>
    <row r="87" spans="2:38" x14ac:dyDescent="0.25">
      <c r="C87" s="34">
        <f t="shared" si="34"/>
        <v>85</v>
      </c>
      <c r="D87" s="34">
        <v>21</v>
      </c>
      <c r="E87" s="34">
        <f t="shared" si="26"/>
        <v>33.796167979471953</v>
      </c>
      <c r="F87" s="34">
        <f t="shared" si="35"/>
        <v>9.387824438742209</v>
      </c>
      <c r="G87" s="37">
        <f t="shared" si="36"/>
        <v>662.6015896716043</v>
      </c>
      <c r="H87" s="34">
        <f t="shared" si="37"/>
        <v>9.209008735147119</v>
      </c>
      <c r="I87" s="34">
        <f t="shared" si="38"/>
        <v>0.35763140719017983</v>
      </c>
      <c r="J87" s="34">
        <f t="shared" si="39"/>
        <v>3</v>
      </c>
      <c r="K87" s="34">
        <v>0</v>
      </c>
      <c r="L87" s="34">
        <f>('Specification &amp; Data'!B$22*'Specification &amp; Data'!B$10*'Specification &amp; Data'!B$20*(Simulation!F87^2-'Specification &amp; Data'!B$21^2))/2</f>
        <v>39.094897209435267</v>
      </c>
      <c r="M87" s="34">
        <f t="shared" si="40"/>
        <v>202.37575385167912</v>
      </c>
      <c r="N87" s="34">
        <f>'Specification &amp; Data'!B$23*'Specification &amp; Data'!B$18*8.91</f>
        <v>60.4296693</v>
      </c>
      <c r="O87" s="34">
        <f t="shared" si="27"/>
        <v>301.90032036111438</v>
      </c>
      <c r="P87" s="40">
        <f t="shared" si="28"/>
        <v>301.90032036111438</v>
      </c>
      <c r="Q87" s="34">
        <f>IF(J87=1,'Specification &amp; Data'!B$52,IF(Simulation!J87=2,'Specification &amp; Data'!B$53,IF(Simulation!J87=3,'Specification &amp; Data'!B$54)))</f>
        <v>565.87802352621827</v>
      </c>
      <c r="R87" s="34">
        <f>(0.5*'Specification &amp; Data'!B$18*Simulation!F87^2)/1000</f>
        <v>22.989476616865034</v>
      </c>
      <c r="T87" s="40">
        <f>P87*'Specification &amp; Data'!B$14*0.9</f>
        <v>80.119700403526508</v>
      </c>
      <c r="U87" s="40">
        <f>T87/(IF(J87=1,'Specification &amp; Data'!H$7,IF(Simulation!J87=2,'Specification &amp; Data'!H$8,IF(Simulation!J87=3,'Specification &amp; Data'!H$9))))</f>
        <v>6.2953181491399084</v>
      </c>
      <c r="V87" s="40">
        <f t="shared" si="41"/>
        <v>6.2902975618717282E-3</v>
      </c>
      <c r="W87" s="40">
        <f t="shared" si="42"/>
        <v>1.7221873865977844E-2</v>
      </c>
      <c r="X87" s="40">
        <f t="shared" si="29"/>
        <v>2.8341872055501716</v>
      </c>
      <c r="Y87" s="40">
        <f t="shared" si="30"/>
        <v>3.7991785597187286</v>
      </c>
      <c r="Z87" s="40">
        <f t="shared" si="43"/>
        <v>4299.146375686285</v>
      </c>
      <c r="AA87" s="40">
        <f t="shared" si="44"/>
        <v>6</v>
      </c>
      <c r="AB87" s="40">
        <f t="shared" si="45"/>
        <v>4500</v>
      </c>
      <c r="AC87" s="40">
        <f t="shared" si="31"/>
        <v>7.8727422376393655E-4</v>
      </c>
      <c r="AD87" s="40">
        <f t="shared" si="46"/>
        <v>5.6652005113229043E-2</v>
      </c>
      <c r="AE87" s="34">
        <f t="shared" si="47"/>
        <v>200.03963219364101</v>
      </c>
      <c r="AF87" s="34">
        <f t="shared" si="48"/>
        <v>2.8341872055501716</v>
      </c>
      <c r="AG87" s="34">
        <f t="shared" si="32"/>
        <v>3.7991785597187286</v>
      </c>
      <c r="AH87" s="34">
        <f>INDEX('Specification &amp; Data'!E$24:R$46,MATCH(Simulation!AA87,'Specification &amp; Data'!D$24:D$46,0),MATCH(Simulation!AB87,'Specification &amp; Data'!E$47:R$47,0))</f>
        <v>560.76049575000002</v>
      </c>
      <c r="AI87" s="34">
        <f t="shared" si="33"/>
        <v>7.8727422376393655E-4</v>
      </c>
      <c r="AJ87" s="34">
        <f t="shared" si="25"/>
        <v>0.44147228400906152</v>
      </c>
      <c r="AK87" s="34">
        <f t="shared" si="49"/>
        <v>27.511149887250866</v>
      </c>
      <c r="AL87" s="34">
        <v>2.3289729133329802</v>
      </c>
    </row>
    <row r="88" spans="2:38" x14ac:dyDescent="0.25">
      <c r="C88" s="34">
        <f t="shared" si="34"/>
        <v>86</v>
      </c>
      <c r="D88" s="34">
        <v>22</v>
      </c>
      <c r="E88" s="34">
        <f t="shared" si="26"/>
        <v>35.405509311827764</v>
      </c>
      <c r="F88" s="34">
        <f t="shared" si="35"/>
        <v>9.8348636977299346</v>
      </c>
      <c r="G88" s="37">
        <f t="shared" si="36"/>
        <v>672.21293373984042</v>
      </c>
      <c r="H88" s="34">
        <f t="shared" si="37"/>
        <v>9.6113440682360718</v>
      </c>
      <c r="I88" s="34">
        <f t="shared" si="38"/>
        <v>0.44703925898772567</v>
      </c>
      <c r="J88" s="34">
        <f t="shared" si="39"/>
        <v>3</v>
      </c>
      <c r="K88" s="34">
        <v>0</v>
      </c>
      <c r="L88" s="34">
        <f>('Specification &amp; Data'!B$22*'Specification &amp; Data'!B$10*'Specification &amp; Data'!B$20*(Simulation!F88^2-'Specification &amp; Data'!B$21^2))/2</f>
        <v>43.134828777431153</v>
      </c>
      <c r="M88" s="34">
        <f t="shared" si="40"/>
        <v>252.9696923145994</v>
      </c>
      <c r="N88" s="34">
        <f>'Specification &amp; Data'!B$23*'Specification &amp; Data'!B$18*8.91</f>
        <v>60.4296693</v>
      </c>
      <c r="O88" s="34">
        <f t="shared" si="27"/>
        <v>356.53419039203055</v>
      </c>
      <c r="P88" s="40">
        <f t="shared" si="28"/>
        <v>356.53419039203055</v>
      </c>
      <c r="Q88" s="34">
        <f>IF(J88=1,'Specification &amp; Data'!B$52,IF(Simulation!J88=2,'Specification &amp; Data'!B$53,IF(Simulation!J88=3,'Specification &amp; Data'!B$54)))</f>
        <v>565.87802352621827</v>
      </c>
      <c r="R88" s="34">
        <f>(0.5*'Specification &amp; Data'!B$18*Simulation!F88^2)/1000</f>
        <v>25.231080912840547</v>
      </c>
      <c r="T88" s="40">
        <f>P88*'Specification &amp; Data'!B$14*0.9</f>
        <v>94.61868898865427</v>
      </c>
      <c r="U88" s="40">
        <f>T88/(IF(J88=1,'Specification &amp; Data'!H$7,IF(Simulation!J88=2,'Specification &amp; Data'!H$8,IF(Simulation!J88=3,'Specification &amp; Data'!H$9))))</f>
        <v>7.4345603770116142</v>
      </c>
      <c r="V88" s="40">
        <f t="shared" si="41"/>
        <v>6.4081378845525488E-3</v>
      </c>
      <c r="W88" s="40">
        <f t="shared" si="42"/>
        <v>1.7221873865977844E-2</v>
      </c>
      <c r="X88" s="40">
        <f t="shared" si="29"/>
        <v>3.5064651660861141</v>
      </c>
      <c r="Y88" s="40">
        <f t="shared" si="30"/>
        <v>4.7003554505175789</v>
      </c>
      <c r="Z88" s="40">
        <f t="shared" si="43"/>
        <v>4503.8676316713463</v>
      </c>
      <c r="AA88" s="40">
        <f t="shared" si="44"/>
        <v>7</v>
      </c>
      <c r="AB88" s="40">
        <f t="shared" si="45"/>
        <v>4500</v>
      </c>
      <c r="AC88" s="40">
        <f t="shared" si="31"/>
        <v>9.7401810169058726E-4</v>
      </c>
      <c r="AD88" s="40">
        <f t="shared" si="46"/>
        <v>5.7626023214919629E-2</v>
      </c>
      <c r="AE88" s="34">
        <f t="shared" si="47"/>
        <v>239.66689410198566</v>
      </c>
      <c r="AF88" s="34">
        <f t="shared" si="48"/>
        <v>3.5064651660861141</v>
      </c>
      <c r="AG88" s="34">
        <f t="shared" si="32"/>
        <v>4.7003554505175789</v>
      </c>
      <c r="AH88" s="34">
        <f>INDEX('Specification &amp; Data'!E$24:R$46,MATCH(Simulation!AA88,'Specification &amp; Data'!D$24:D$46,0),MATCH(Simulation!AB88,'Specification &amp; Data'!E$47:R$47,0))</f>
        <v>525.11244421289075</v>
      </c>
      <c r="AI88" s="34">
        <f t="shared" si="33"/>
        <v>9.7401810169058726E-4</v>
      </c>
      <c r="AJ88" s="34">
        <f t="shared" si="25"/>
        <v>0.51146902608634426</v>
      </c>
      <c r="AK88" s="34">
        <f t="shared" si="49"/>
        <v>28.022618913337212</v>
      </c>
      <c r="AL88" s="34">
        <v>2.3289729133329802</v>
      </c>
    </row>
    <row r="89" spans="2:38" x14ac:dyDescent="0.25">
      <c r="C89" s="34">
        <f t="shared" si="34"/>
        <v>87</v>
      </c>
      <c r="D89" s="34">
        <v>23</v>
      </c>
      <c r="E89" s="34">
        <f t="shared" si="26"/>
        <v>37.014850644183575</v>
      </c>
      <c r="F89" s="34">
        <f t="shared" si="35"/>
        <v>10.281902956717659</v>
      </c>
      <c r="G89" s="37">
        <f t="shared" si="36"/>
        <v>682.27131706706427</v>
      </c>
      <c r="H89" s="34">
        <f t="shared" si="37"/>
        <v>10.058383327223797</v>
      </c>
      <c r="I89" s="34">
        <f t="shared" si="38"/>
        <v>0.44703925898772567</v>
      </c>
      <c r="J89" s="34">
        <f t="shared" si="39"/>
        <v>3</v>
      </c>
      <c r="K89" s="34">
        <v>0</v>
      </c>
      <c r="L89" s="34">
        <f>('Specification &amp; Data'!B$22*'Specification &amp; Data'!B$10*'Specification &amp; Data'!B$20*(Simulation!F89^2-'Specification &amp; Data'!B$21^2))/2</f>
        <v>47.362664139287297</v>
      </c>
      <c r="M89" s="34">
        <f t="shared" si="40"/>
        <v>252.9696923145994</v>
      </c>
      <c r="N89" s="34">
        <f>'Specification &amp; Data'!B$23*'Specification &amp; Data'!B$18*8.91</f>
        <v>60.4296693</v>
      </c>
      <c r="O89" s="34">
        <f t="shared" si="27"/>
        <v>360.76202575388669</v>
      </c>
      <c r="P89" s="40">
        <f t="shared" si="28"/>
        <v>360.76202575388669</v>
      </c>
      <c r="Q89" s="34">
        <f>IF(J89=1,'Specification &amp; Data'!B$52,IF(Simulation!J89=2,'Specification &amp; Data'!B$53,IF(Simulation!J89=3,'Specification &amp; Data'!B$54)))</f>
        <v>565.87802352621827</v>
      </c>
      <c r="R89" s="34">
        <f>(0.5*'Specification &amp; Data'!B$18*Simulation!F89^2)/1000</f>
        <v>27.576945873745139</v>
      </c>
      <c r="T89" s="40">
        <f>P89*'Specification &amp; Data'!B$14*0.9</f>
        <v>95.740691450069932</v>
      </c>
      <c r="U89" s="40">
        <f>T89/(IF(J89=1,'Specification &amp; Data'!H$7,IF(Simulation!J89=2,'Specification &amp; Data'!H$8,IF(Simulation!J89=3,'Specification &amp; Data'!H$9))))</f>
        <v>7.5227204977204378</v>
      </c>
      <c r="V89" s="40">
        <f t="shared" si="41"/>
        <v>6.5434096391224833E-3</v>
      </c>
      <c r="W89" s="40">
        <f t="shared" si="42"/>
        <v>1.7221873865977844E-2</v>
      </c>
      <c r="X89" s="40">
        <f t="shared" si="29"/>
        <v>3.7093201392703397</v>
      </c>
      <c r="Y89" s="40">
        <f t="shared" si="30"/>
        <v>4.972279007064798</v>
      </c>
      <c r="Z89" s="40">
        <f t="shared" si="43"/>
        <v>4708.5888876564077</v>
      </c>
      <c r="AA89" s="40">
        <f t="shared" si="44"/>
        <v>8</v>
      </c>
      <c r="AB89" s="40">
        <f t="shared" si="45"/>
        <v>4500</v>
      </c>
      <c r="AC89" s="40">
        <f t="shared" si="31"/>
        <v>1.030366705352872E-3</v>
      </c>
      <c r="AD89" s="40">
        <f t="shared" si="46"/>
        <v>5.86563899202725E-2</v>
      </c>
      <c r="AE89" s="34">
        <f t="shared" si="47"/>
        <v>246.13758245888644</v>
      </c>
      <c r="AF89" s="34">
        <f t="shared" si="48"/>
        <v>3.7093201392703397</v>
      </c>
      <c r="AG89" s="34">
        <f t="shared" si="32"/>
        <v>4.972279007064798</v>
      </c>
      <c r="AH89" s="34">
        <f>INDEX('Specification &amp; Data'!E$24:R$46,MATCH(Simulation!AA89,'Specification &amp; Data'!D$24:D$46,0),MATCH(Simulation!AB89,'Specification &amp; Data'!E$47:R$47,0))</f>
        <v>489.46439267578143</v>
      </c>
      <c r="AI89" s="34">
        <f t="shared" si="33"/>
        <v>1.030366705352872E-3</v>
      </c>
      <c r="AJ89" s="34">
        <f t="shared" si="25"/>
        <v>0.50432781366888935</v>
      </c>
      <c r="AK89" s="34">
        <f t="shared" si="49"/>
        <v>28.526946727006102</v>
      </c>
      <c r="AL89" s="34">
        <v>2.3289729133329802</v>
      </c>
    </row>
    <row r="90" spans="2:38" x14ac:dyDescent="0.25">
      <c r="B90" s="36" t="s">
        <v>118</v>
      </c>
      <c r="C90" s="34">
        <f t="shared" si="34"/>
        <v>88</v>
      </c>
      <c r="D90" s="34">
        <v>23</v>
      </c>
      <c r="E90" s="34">
        <f t="shared" si="26"/>
        <v>37.014850644183575</v>
      </c>
      <c r="F90" s="34">
        <f t="shared" si="35"/>
        <v>10.281902956717659</v>
      </c>
      <c r="G90" s="37">
        <f t="shared" si="36"/>
        <v>692.55322002378193</v>
      </c>
      <c r="H90" s="34">
        <f t="shared" si="37"/>
        <v>10.281902956717659</v>
      </c>
      <c r="I90" s="34">
        <f t="shared" si="38"/>
        <v>0</v>
      </c>
      <c r="J90" s="34">
        <f t="shared" si="39"/>
        <v>3</v>
      </c>
      <c r="K90" s="34">
        <f>'Specification &amp; Data'!B$18*9.81*'Specification &amp; Data'!L$13</f>
        <v>709.55606786400017</v>
      </c>
      <c r="L90" s="34">
        <f>('Specification &amp; Data'!B$22*'Specification &amp; Data'!B$10*'Specification &amp; Data'!B$20*(Simulation!F90^2-'Specification &amp; Data'!B$21^2))/2</f>
        <v>47.362664139287297</v>
      </c>
      <c r="M90" s="34">
        <f t="shared" si="40"/>
        <v>0</v>
      </c>
      <c r="N90" s="34">
        <f>'Specification &amp; Data'!B$23*'Specification &amp; Data'!B$18*8.91</f>
        <v>60.4296693</v>
      </c>
      <c r="O90" s="34">
        <f t="shared" si="27"/>
        <v>817.34840130328746</v>
      </c>
      <c r="P90" s="40">
        <f t="shared" si="28"/>
        <v>817.34840130328746</v>
      </c>
      <c r="Q90" s="34">
        <f>IF(J90=1,'Specification &amp; Data'!B$52,IF(Simulation!J90=2,'Specification &amp; Data'!B$53,IF(Simulation!J90=3,'Specification &amp; Data'!B$54)))</f>
        <v>565.87802352621827</v>
      </c>
      <c r="R90" s="34">
        <f>(0.5*'Specification &amp; Data'!B$18*Simulation!F90^2)/1000</f>
        <v>27.576945873745139</v>
      </c>
      <c r="T90" s="40">
        <f>P90*'Specification &amp; Data'!B$14*0.9</f>
        <v>216.91169111510322</v>
      </c>
      <c r="U90" s="40">
        <f>T90/(IF(J90=1,'Specification &amp; Data'!H$7,IF(Simulation!J90=2,'Specification &amp; Data'!H$8,IF(Simulation!J90=3,'Specification &amp; Data'!H$9))))</f>
        <v>17.043599750872691</v>
      </c>
      <c r="V90" s="40">
        <f t="shared" si="41"/>
        <v>6.6786813936924178E-3</v>
      </c>
      <c r="W90" s="40">
        <f t="shared" si="42"/>
        <v>1.7221873865977844E-2</v>
      </c>
      <c r="X90" s="40">
        <f t="shared" si="29"/>
        <v>8.4038969440287214</v>
      </c>
      <c r="Y90" s="40">
        <f t="shared" si="30"/>
        <v>11.265277404864239</v>
      </c>
      <c r="Z90" s="40">
        <f t="shared" si="43"/>
        <v>4708.5888876564077</v>
      </c>
      <c r="AA90" s="40">
        <f t="shared" si="44"/>
        <v>17</v>
      </c>
      <c r="AB90" s="40">
        <f t="shared" si="45"/>
        <v>4500</v>
      </c>
      <c r="AC90" s="40">
        <f t="shared" si="31"/>
        <v>2.3344158177857561E-3</v>
      </c>
      <c r="AD90" s="40">
        <f t="shared" si="46"/>
        <v>6.0990805738058256E-2</v>
      </c>
      <c r="AE90" s="34">
        <f t="shared" si="47"/>
        <v>566.05726720388213</v>
      </c>
      <c r="AF90" s="34">
        <f t="shared" si="48"/>
        <v>8.4038969440287214</v>
      </c>
      <c r="AG90" s="34">
        <f t="shared" si="32"/>
        <v>11.265277404864239</v>
      </c>
      <c r="AH90" s="34">
        <f>INDEX('Specification &amp; Data'!E$24:R$46,MATCH(Simulation!AA90,'Specification &amp; Data'!D$24:D$46,0),MATCH(Simulation!AB90,'Specification &amp; Data'!E$47:R$47,0))</f>
        <v>453.02166</v>
      </c>
      <c r="AI90" s="34">
        <f t="shared" si="33"/>
        <v>2.3344158177857561E-3</v>
      </c>
      <c r="AJ90" s="34">
        <f t="shared" si="25"/>
        <v>1.0575409289035607</v>
      </c>
      <c r="AK90" s="34">
        <f t="shared" si="49"/>
        <v>29.584487655909662</v>
      </c>
      <c r="AL90" s="34">
        <v>2.3289729133329802</v>
      </c>
    </row>
    <row r="91" spans="2:38" x14ac:dyDescent="0.25">
      <c r="B91" s="36" t="s">
        <v>118</v>
      </c>
      <c r="C91" s="34">
        <f t="shared" si="34"/>
        <v>89</v>
      </c>
      <c r="D91" s="34">
        <v>23</v>
      </c>
      <c r="E91" s="34">
        <f t="shared" si="26"/>
        <v>37.014850644183575</v>
      </c>
      <c r="F91" s="34">
        <f t="shared" si="35"/>
        <v>10.281902956717659</v>
      </c>
      <c r="G91" s="37">
        <f t="shared" si="36"/>
        <v>702.83512298049959</v>
      </c>
      <c r="H91" s="34">
        <f t="shared" si="37"/>
        <v>10.281902956717659</v>
      </c>
      <c r="I91" s="34">
        <f t="shared" si="38"/>
        <v>0</v>
      </c>
      <c r="J91" s="34">
        <f t="shared" si="39"/>
        <v>3</v>
      </c>
      <c r="K91" s="34">
        <f>'Specification &amp; Data'!B$18*9.81*'Specification &amp; Data'!L$13</f>
        <v>709.55606786400017</v>
      </c>
      <c r="L91" s="34">
        <f>('Specification &amp; Data'!B$22*'Specification &amp; Data'!B$10*'Specification &amp; Data'!B$20*(Simulation!F91^2-'Specification &amp; Data'!B$21^2))/2</f>
        <v>47.362664139287297</v>
      </c>
      <c r="M91" s="34">
        <f t="shared" si="40"/>
        <v>0</v>
      </c>
      <c r="N91" s="34">
        <f>'Specification &amp; Data'!B$23*'Specification &amp; Data'!B$18*8.91</f>
        <v>60.4296693</v>
      </c>
      <c r="O91" s="34">
        <f t="shared" si="27"/>
        <v>817.34840130328746</v>
      </c>
      <c r="P91" s="40">
        <f t="shared" si="28"/>
        <v>817.34840130328746</v>
      </c>
      <c r="Q91" s="34">
        <f>IF(J91=1,'Specification &amp; Data'!B$52,IF(Simulation!J91=2,'Specification &amp; Data'!B$53,IF(Simulation!J91=3,'Specification &amp; Data'!B$54)))</f>
        <v>565.87802352621827</v>
      </c>
      <c r="R91" s="34">
        <f>(0.5*'Specification &amp; Data'!B$18*Simulation!F91^2)/1000</f>
        <v>27.576945873745139</v>
      </c>
      <c r="T91" s="40">
        <f>P91*'Specification &amp; Data'!B$14*0.9</f>
        <v>216.91169111510322</v>
      </c>
      <c r="U91" s="40">
        <f>T91/(IF(J91=1,'Specification &amp; Data'!H$7,IF(Simulation!J91=2,'Specification &amp; Data'!H$8,IF(Simulation!J91=3,'Specification &amp; Data'!H$9))))</f>
        <v>17.043599750872691</v>
      </c>
      <c r="V91" s="40">
        <f t="shared" si="41"/>
        <v>6.8139531482623522E-3</v>
      </c>
      <c r="W91" s="40">
        <f t="shared" si="42"/>
        <v>1.7221873865977844E-2</v>
      </c>
      <c r="X91" s="40">
        <f t="shared" si="29"/>
        <v>8.4038969440287214</v>
      </c>
      <c r="Y91" s="40">
        <f t="shared" si="30"/>
        <v>11.265277404864239</v>
      </c>
      <c r="Z91" s="40">
        <f t="shared" si="43"/>
        <v>4708.5888876564077</v>
      </c>
      <c r="AA91" s="40">
        <f t="shared" si="44"/>
        <v>17</v>
      </c>
      <c r="AB91" s="40">
        <f t="shared" si="45"/>
        <v>4500</v>
      </c>
      <c r="AC91" s="40">
        <f t="shared" si="31"/>
        <v>2.3344158177857561E-3</v>
      </c>
      <c r="AD91" s="40">
        <f t="shared" si="46"/>
        <v>6.3325221555844011E-2</v>
      </c>
      <c r="AE91" s="34">
        <f t="shared" si="47"/>
        <v>574.46116414791072</v>
      </c>
      <c r="AF91" s="34">
        <f t="shared" si="48"/>
        <v>8.4038969440287214</v>
      </c>
      <c r="AG91" s="34">
        <f t="shared" si="32"/>
        <v>11.265277404864239</v>
      </c>
      <c r="AH91" s="34">
        <f>INDEX('Specification &amp; Data'!E$24:R$46,MATCH(Simulation!AA91,'Specification &amp; Data'!D$24:D$46,0),MATCH(Simulation!AB91,'Specification &amp; Data'!E$47:R$47,0))</f>
        <v>453.02166</v>
      </c>
      <c r="AI91" s="34">
        <f t="shared" si="33"/>
        <v>2.3344158177857561E-3</v>
      </c>
      <c r="AJ91" s="34">
        <f t="shared" si="25"/>
        <v>1.0575409289035607</v>
      </c>
      <c r="AK91" s="34">
        <f t="shared" si="49"/>
        <v>30.642028584813222</v>
      </c>
      <c r="AL91" s="34">
        <v>2.3289729133329802</v>
      </c>
    </row>
    <row r="92" spans="2:38" x14ac:dyDescent="0.25">
      <c r="B92" s="36" t="s">
        <v>118</v>
      </c>
      <c r="C92" s="34">
        <f t="shared" si="34"/>
        <v>90</v>
      </c>
      <c r="D92" s="34">
        <v>23</v>
      </c>
      <c r="E92" s="34">
        <f t="shared" si="26"/>
        <v>37.014850644183575</v>
      </c>
      <c r="F92" s="34">
        <f t="shared" si="35"/>
        <v>10.281902956717659</v>
      </c>
      <c r="G92" s="37">
        <f t="shared" si="36"/>
        <v>713.11702593721725</v>
      </c>
      <c r="H92" s="34">
        <f t="shared" si="37"/>
        <v>10.281902956717659</v>
      </c>
      <c r="I92" s="34">
        <f t="shared" si="38"/>
        <v>0</v>
      </c>
      <c r="J92" s="34">
        <f t="shared" si="39"/>
        <v>3</v>
      </c>
      <c r="K92" s="34">
        <f>'Specification &amp; Data'!B$18*9.81*'Specification &amp; Data'!L$13</f>
        <v>709.55606786400017</v>
      </c>
      <c r="L92" s="34">
        <f>('Specification &amp; Data'!B$22*'Specification &amp; Data'!B$10*'Specification &amp; Data'!B$20*(Simulation!F92^2-'Specification &amp; Data'!B$21^2))/2</f>
        <v>47.362664139287297</v>
      </c>
      <c r="M92" s="34">
        <f t="shared" si="40"/>
        <v>0</v>
      </c>
      <c r="N92" s="34">
        <f>'Specification &amp; Data'!B$23*'Specification &amp; Data'!B$18*8.91</f>
        <v>60.4296693</v>
      </c>
      <c r="O92" s="34">
        <f t="shared" si="27"/>
        <v>817.34840130328746</v>
      </c>
      <c r="P92" s="40">
        <f t="shared" si="28"/>
        <v>817.34840130328746</v>
      </c>
      <c r="Q92" s="34">
        <f>IF(J92=1,'Specification &amp; Data'!B$52,IF(Simulation!J92=2,'Specification &amp; Data'!B$53,IF(Simulation!J92=3,'Specification &amp; Data'!B$54)))</f>
        <v>565.87802352621827</v>
      </c>
      <c r="R92" s="34">
        <f>(0.5*'Specification &amp; Data'!B$18*Simulation!F92^2)/1000</f>
        <v>27.576945873745139</v>
      </c>
      <c r="T92" s="40">
        <f>P92*'Specification &amp; Data'!B$14*0.9</f>
        <v>216.91169111510322</v>
      </c>
      <c r="U92" s="40">
        <f>T92/(IF(J92=1,'Specification &amp; Data'!H$7,IF(Simulation!J92=2,'Specification &amp; Data'!H$8,IF(Simulation!J92=3,'Specification &amp; Data'!H$9))))</f>
        <v>17.043599750872691</v>
      </c>
      <c r="V92" s="40">
        <f t="shared" si="41"/>
        <v>6.9492249028322867E-3</v>
      </c>
      <c r="W92" s="40">
        <f t="shared" si="42"/>
        <v>1.7221873865977844E-2</v>
      </c>
      <c r="X92" s="40">
        <f t="shared" si="29"/>
        <v>8.4038969440287214</v>
      </c>
      <c r="Y92" s="40">
        <f t="shared" si="30"/>
        <v>11.265277404864239</v>
      </c>
      <c r="Z92" s="40">
        <f t="shared" si="43"/>
        <v>4708.5888876564077</v>
      </c>
      <c r="AA92" s="40">
        <f t="shared" si="44"/>
        <v>17</v>
      </c>
      <c r="AB92" s="40">
        <f t="shared" si="45"/>
        <v>4500</v>
      </c>
      <c r="AC92" s="40">
        <f t="shared" si="31"/>
        <v>2.3344158177857561E-3</v>
      </c>
      <c r="AD92" s="40">
        <f t="shared" si="46"/>
        <v>6.5659637373629773E-2</v>
      </c>
      <c r="AE92" s="34">
        <f t="shared" si="47"/>
        <v>582.86506109193942</v>
      </c>
      <c r="AF92" s="34">
        <f t="shared" si="48"/>
        <v>8.4038969440287214</v>
      </c>
      <c r="AG92" s="34">
        <f t="shared" si="32"/>
        <v>11.265277404864239</v>
      </c>
      <c r="AH92" s="34">
        <f>INDEX('Specification &amp; Data'!E$24:R$46,MATCH(Simulation!AA92,'Specification &amp; Data'!D$24:D$46,0),MATCH(Simulation!AB92,'Specification &amp; Data'!E$47:R$47,0))</f>
        <v>453.02166</v>
      </c>
      <c r="AI92" s="34">
        <f t="shared" si="33"/>
        <v>2.3344158177857561E-3</v>
      </c>
      <c r="AJ92" s="34">
        <f t="shared" si="25"/>
        <v>1.0575409289035607</v>
      </c>
      <c r="AK92" s="34">
        <f t="shared" si="49"/>
        <v>31.699569513716781</v>
      </c>
      <c r="AL92" s="34">
        <v>2.3289729133329802</v>
      </c>
    </row>
    <row r="93" spans="2:38" x14ac:dyDescent="0.25">
      <c r="B93" s="36" t="s">
        <v>118</v>
      </c>
      <c r="C93" s="34">
        <f t="shared" si="34"/>
        <v>91</v>
      </c>
      <c r="D93" s="34">
        <v>23</v>
      </c>
      <c r="E93" s="34">
        <f t="shared" si="26"/>
        <v>37.014850644183575</v>
      </c>
      <c r="F93" s="34">
        <f t="shared" si="35"/>
        <v>10.281902956717659</v>
      </c>
      <c r="G93" s="37">
        <f t="shared" si="36"/>
        <v>723.39892889393491</v>
      </c>
      <c r="H93" s="34">
        <f t="shared" si="37"/>
        <v>10.281902956717659</v>
      </c>
      <c r="I93" s="34">
        <f t="shared" si="38"/>
        <v>0</v>
      </c>
      <c r="J93" s="34">
        <f t="shared" si="39"/>
        <v>3</v>
      </c>
      <c r="K93" s="34">
        <f>'Specification &amp; Data'!B$18*9.81*'Specification &amp; Data'!L$13</f>
        <v>709.55606786400017</v>
      </c>
      <c r="L93" s="34">
        <f>('Specification &amp; Data'!B$22*'Specification &amp; Data'!B$10*'Specification &amp; Data'!B$20*(Simulation!F93^2-'Specification &amp; Data'!B$21^2))/2</f>
        <v>47.362664139287297</v>
      </c>
      <c r="M93" s="34">
        <f t="shared" si="40"/>
        <v>0</v>
      </c>
      <c r="N93" s="34">
        <f>'Specification &amp; Data'!B$23*'Specification &amp; Data'!B$18*8.91</f>
        <v>60.4296693</v>
      </c>
      <c r="O93" s="34">
        <f t="shared" si="27"/>
        <v>817.34840130328746</v>
      </c>
      <c r="P93" s="40">
        <f t="shared" si="28"/>
        <v>817.34840130328746</v>
      </c>
      <c r="Q93" s="34">
        <f>IF(J93=1,'Specification &amp; Data'!B$52,IF(Simulation!J93=2,'Specification &amp; Data'!B$53,IF(Simulation!J93=3,'Specification &amp; Data'!B$54)))</f>
        <v>565.87802352621827</v>
      </c>
      <c r="R93" s="34">
        <f>(0.5*'Specification &amp; Data'!B$18*Simulation!F93^2)/1000</f>
        <v>27.576945873745139</v>
      </c>
      <c r="T93" s="40">
        <f>P93*'Specification &amp; Data'!B$14*0.9</f>
        <v>216.91169111510322</v>
      </c>
      <c r="U93" s="40">
        <f>T93/(IF(J93=1,'Specification &amp; Data'!H$7,IF(Simulation!J93=2,'Specification &amp; Data'!H$8,IF(Simulation!J93=3,'Specification &amp; Data'!H$9))))</f>
        <v>17.043599750872691</v>
      </c>
      <c r="V93" s="40">
        <f t="shared" si="41"/>
        <v>7.0844966574022212E-3</v>
      </c>
      <c r="W93" s="40">
        <f t="shared" si="42"/>
        <v>1.7221873865977844E-2</v>
      </c>
      <c r="X93" s="40">
        <f t="shared" si="29"/>
        <v>8.4038969440287214</v>
      </c>
      <c r="Y93" s="40">
        <f t="shared" si="30"/>
        <v>11.265277404864239</v>
      </c>
      <c r="Z93" s="40">
        <f t="shared" si="43"/>
        <v>4708.5888876564077</v>
      </c>
      <c r="AA93" s="40">
        <f t="shared" si="44"/>
        <v>17</v>
      </c>
      <c r="AB93" s="40">
        <f t="shared" si="45"/>
        <v>4500</v>
      </c>
      <c r="AC93" s="40">
        <f t="shared" si="31"/>
        <v>2.3344158177857561E-3</v>
      </c>
      <c r="AD93" s="40">
        <f t="shared" si="46"/>
        <v>6.7994053191415535E-2</v>
      </c>
      <c r="AE93" s="34">
        <f t="shared" si="47"/>
        <v>591.26895803596824</v>
      </c>
      <c r="AF93" s="34">
        <f t="shared" si="48"/>
        <v>8.4038969440287214</v>
      </c>
      <c r="AG93" s="34">
        <f t="shared" si="32"/>
        <v>11.265277404864239</v>
      </c>
      <c r="AH93" s="34">
        <f>INDEX('Specification &amp; Data'!E$24:R$46,MATCH(Simulation!AA93,'Specification &amp; Data'!D$24:D$46,0),MATCH(Simulation!AB93,'Specification &amp; Data'!E$47:R$47,0))</f>
        <v>453.02166</v>
      </c>
      <c r="AI93" s="34">
        <f t="shared" si="33"/>
        <v>2.3344158177857561E-3</v>
      </c>
      <c r="AJ93" s="34">
        <f t="shared" si="25"/>
        <v>1.0575409289035607</v>
      </c>
      <c r="AK93" s="34">
        <f t="shared" si="49"/>
        <v>32.757110442620345</v>
      </c>
      <c r="AL93" s="34">
        <v>2.3289729133329802</v>
      </c>
    </row>
    <row r="94" spans="2:38" x14ac:dyDescent="0.25">
      <c r="B94" s="36" t="s">
        <v>118</v>
      </c>
      <c r="C94" s="34">
        <f t="shared" si="34"/>
        <v>92</v>
      </c>
      <c r="D94" s="34">
        <v>23</v>
      </c>
      <c r="E94" s="34">
        <f t="shared" si="26"/>
        <v>37.014850644183575</v>
      </c>
      <c r="F94" s="34">
        <f t="shared" si="35"/>
        <v>10.281902956717659</v>
      </c>
      <c r="G94" s="37">
        <f t="shared" si="36"/>
        <v>733.68083185065257</v>
      </c>
      <c r="H94" s="34">
        <f t="shared" si="37"/>
        <v>10.281902956717659</v>
      </c>
      <c r="I94" s="34">
        <f t="shared" si="38"/>
        <v>0</v>
      </c>
      <c r="J94" s="34">
        <f t="shared" si="39"/>
        <v>3</v>
      </c>
      <c r="K94" s="34">
        <f>'Specification &amp; Data'!B$18*9.81*'Specification &amp; Data'!L$13</f>
        <v>709.55606786400017</v>
      </c>
      <c r="L94" s="34">
        <f>('Specification &amp; Data'!B$22*'Specification &amp; Data'!B$10*'Specification &amp; Data'!B$20*(Simulation!F94^2-'Specification &amp; Data'!B$21^2))/2</f>
        <v>47.362664139287297</v>
      </c>
      <c r="M94" s="34">
        <f t="shared" si="40"/>
        <v>0</v>
      </c>
      <c r="N94" s="34">
        <f>'Specification &amp; Data'!B$23*'Specification &amp; Data'!B$18*8.91</f>
        <v>60.4296693</v>
      </c>
      <c r="O94" s="34">
        <f t="shared" si="27"/>
        <v>817.34840130328746</v>
      </c>
      <c r="P94" s="40">
        <f t="shared" si="28"/>
        <v>817.34840130328746</v>
      </c>
      <c r="Q94" s="34">
        <f>IF(J94=1,'Specification &amp; Data'!B$52,IF(Simulation!J94=2,'Specification &amp; Data'!B$53,IF(Simulation!J94=3,'Specification &amp; Data'!B$54)))</f>
        <v>565.87802352621827</v>
      </c>
      <c r="R94" s="34">
        <f>(0.5*'Specification &amp; Data'!B$18*Simulation!F94^2)/1000</f>
        <v>27.576945873745139</v>
      </c>
      <c r="T94" s="40">
        <f>P94*'Specification &amp; Data'!B$14*0.9</f>
        <v>216.91169111510322</v>
      </c>
      <c r="U94" s="40">
        <f>T94/(IF(J94=1,'Specification &amp; Data'!H$7,IF(Simulation!J94=2,'Specification &amp; Data'!H$8,IF(Simulation!J94=3,'Specification &amp; Data'!H$9))))</f>
        <v>17.043599750872691</v>
      </c>
      <c r="V94" s="40">
        <f t="shared" si="41"/>
        <v>7.2197684119721557E-3</v>
      </c>
      <c r="W94" s="40">
        <f t="shared" si="42"/>
        <v>1.7221873865977844E-2</v>
      </c>
      <c r="X94" s="40">
        <f t="shared" si="29"/>
        <v>8.4038969440287214</v>
      </c>
      <c r="Y94" s="40">
        <f t="shared" si="30"/>
        <v>11.265277404864239</v>
      </c>
      <c r="Z94" s="40">
        <f t="shared" si="43"/>
        <v>4708.5888876564077</v>
      </c>
      <c r="AA94" s="40">
        <f t="shared" si="44"/>
        <v>17</v>
      </c>
      <c r="AB94" s="40">
        <f t="shared" si="45"/>
        <v>4500</v>
      </c>
      <c r="AC94" s="40">
        <f t="shared" si="31"/>
        <v>2.3344158177857561E-3</v>
      </c>
      <c r="AD94" s="40">
        <f t="shared" si="46"/>
        <v>7.0328469009201297E-2</v>
      </c>
      <c r="AE94" s="34">
        <f t="shared" si="47"/>
        <v>599.67285497999694</v>
      </c>
      <c r="AF94" s="34">
        <f t="shared" si="48"/>
        <v>8.4038969440287214</v>
      </c>
      <c r="AG94" s="34">
        <f t="shared" si="32"/>
        <v>11.265277404864239</v>
      </c>
      <c r="AH94" s="34">
        <f>INDEX('Specification &amp; Data'!E$24:R$46,MATCH(Simulation!AA94,'Specification &amp; Data'!D$24:D$46,0),MATCH(Simulation!AB94,'Specification &amp; Data'!E$47:R$47,0))</f>
        <v>453.02166</v>
      </c>
      <c r="AI94" s="34">
        <f t="shared" si="33"/>
        <v>2.3344158177857561E-3</v>
      </c>
      <c r="AJ94" s="34">
        <f t="shared" si="25"/>
        <v>1.0575409289035607</v>
      </c>
      <c r="AK94" s="34">
        <f t="shared" si="49"/>
        <v>33.814651371523908</v>
      </c>
      <c r="AL94" s="34">
        <v>2.3289729133329802</v>
      </c>
    </row>
    <row r="95" spans="2:38" x14ac:dyDescent="0.25">
      <c r="C95" s="34">
        <f t="shared" si="34"/>
        <v>93</v>
      </c>
      <c r="D95" s="34">
        <v>22</v>
      </c>
      <c r="E95" s="34">
        <f t="shared" si="26"/>
        <v>35.405509311827764</v>
      </c>
      <c r="F95" s="34">
        <f t="shared" si="35"/>
        <v>9.8348636977299346</v>
      </c>
      <c r="G95" s="37">
        <f t="shared" si="36"/>
        <v>743.73921517787642</v>
      </c>
      <c r="H95" s="34">
        <f t="shared" si="37"/>
        <v>10.058383327223797</v>
      </c>
      <c r="I95" s="34">
        <f t="shared" si="38"/>
        <v>-0.44703925898772212</v>
      </c>
      <c r="J95" s="34">
        <f t="shared" si="39"/>
        <v>3</v>
      </c>
      <c r="K95" s="34">
        <v>0</v>
      </c>
      <c r="L95" s="34">
        <f>('Specification &amp; Data'!B$22*'Specification &amp; Data'!B$10*'Specification &amp; Data'!B$20*(Simulation!F95^2-'Specification &amp; Data'!B$21^2))/2</f>
        <v>43.134828777431153</v>
      </c>
      <c r="M95" s="34">
        <f t="shared" si="40"/>
        <v>-252.96969231459741</v>
      </c>
      <c r="N95" s="34">
        <f>'Specification &amp; Data'!B$23*'Specification &amp; Data'!B$18*8.91</f>
        <v>60.4296693</v>
      </c>
      <c r="O95" s="34">
        <f t="shared" si="27"/>
        <v>-149.40519423716626</v>
      </c>
      <c r="P95" s="40">
        <f t="shared" si="28"/>
        <v>149.40519423716626</v>
      </c>
      <c r="Q95" s="34">
        <f>IF(J95=1,'Specification &amp; Data'!B$52,IF(Simulation!J95=2,'Specification &amp; Data'!B$53,IF(Simulation!J95=3,'Specification &amp; Data'!B$54)))</f>
        <v>565.87802352621827</v>
      </c>
      <c r="R95" s="34">
        <f>(0.5*'Specification &amp; Data'!B$18*Simulation!F95^2)/1000</f>
        <v>25.231080912840547</v>
      </c>
      <c r="T95" s="40">
        <f>P95*'Specification &amp; Data'!B$14*0.9</f>
        <v>39.64984000909412</v>
      </c>
      <c r="U95" s="40">
        <f>T95/(IF(J95=1,'Specification &amp; Data'!H$7,IF(Simulation!J95=2,'Specification &amp; Data'!H$8,IF(Simulation!J95=3,'Specification &amp; Data'!H$9))))</f>
        <v>3.1154429704876585</v>
      </c>
      <c r="V95" s="40">
        <f t="shared" si="41"/>
        <v>7.3376087346529763E-3</v>
      </c>
      <c r="W95" s="40">
        <f t="shared" si="42"/>
        <v>1.7630034899604342E-2</v>
      </c>
      <c r="X95" s="40">
        <f t="shared" si="29"/>
        <v>1.469379721055396</v>
      </c>
      <c r="Y95" s="40">
        <f t="shared" si="30"/>
        <v>1.9696779102619248</v>
      </c>
      <c r="Z95" s="40">
        <f t="shared" si="43"/>
        <v>4503.8676316713463</v>
      </c>
      <c r="AA95" s="40">
        <f t="shared" si="44"/>
        <v>3</v>
      </c>
      <c r="AB95" s="40">
        <f t="shared" si="45"/>
        <v>4500</v>
      </c>
      <c r="AC95" s="40">
        <f t="shared" si="31"/>
        <v>4.0816103362649892E-4</v>
      </c>
      <c r="AD95" s="40">
        <f t="shared" si="46"/>
        <v>7.0736630042827792E-2</v>
      </c>
      <c r="AE95" s="34">
        <f t="shared" si="47"/>
        <v>-111.11850190544821</v>
      </c>
      <c r="AF95" s="34">
        <f t="shared" si="48"/>
        <v>-1.469379721055396</v>
      </c>
      <c r="AG95" s="34">
        <f t="shared" si="32"/>
        <v>-1.9696779102619248</v>
      </c>
      <c r="AH95" s="34">
        <f>INDEX('Specification &amp; Data'!E$24:R$46,MATCH(Simulation!AA95,'Specification &amp; Data'!D$24:D$46,0),MATCH(Simulation!AB95,'Specification &amp; Data'!E$47:R$47,0))</f>
        <v>739.33341300000006</v>
      </c>
      <c r="AI95" s="34">
        <f t="shared" si="33"/>
        <v>-4.0816103362649892E-4</v>
      </c>
      <c r="AJ95" s="34">
        <f t="shared" si="25"/>
        <v>0.30176709004468721</v>
      </c>
      <c r="AK95" s="34">
        <f t="shared" si="49"/>
        <v>34.116418461568593</v>
      </c>
      <c r="AL95" s="34">
        <v>2.3289729133329802</v>
      </c>
    </row>
    <row r="96" spans="2:38" x14ac:dyDescent="0.25">
      <c r="C96" s="34">
        <f t="shared" si="34"/>
        <v>94</v>
      </c>
      <c r="D96" s="34">
        <v>21</v>
      </c>
      <c r="E96" s="34">
        <f t="shared" si="26"/>
        <v>33.796167979471953</v>
      </c>
      <c r="F96" s="34">
        <f t="shared" si="35"/>
        <v>9.387824438742209</v>
      </c>
      <c r="G96" s="37">
        <f t="shared" si="36"/>
        <v>753.35055924611254</v>
      </c>
      <c r="H96" s="34">
        <f t="shared" si="37"/>
        <v>9.6113440682360718</v>
      </c>
      <c r="I96" s="34">
        <f t="shared" si="38"/>
        <v>-0.44703925898772567</v>
      </c>
      <c r="J96" s="34">
        <f t="shared" si="39"/>
        <v>3</v>
      </c>
      <c r="K96" s="34">
        <v>0</v>
      </c>
      <c r="L96" s="34">
        <f>('Specification &amp; Data'!B$22*'Specification &amp; Data'!B$10*'Specification &amp; Data'!B$20*(Simulation!F96^2-'Specification &amp; Data'!B$21^2))/2</f>
        <v>39.094897209435267</v>
      </c>
      <c r="M96" s="34">
        <f t="shared" si="40"/>
        <v>-252.9696923145994</v>
      </c>
      <c r="N96" s="34">
        <f>'Specification &amp; Data'!B$23*'Specification &amp; Data'!B$18*8.91</f>
        <v>60.4296693</v>
      </c>
      <c r="O96" s="34">
        <f t="shared" si="27"/>
        <v>-153.44512580516414</v>
      </c>
      <c r="P96" s="40">
        <f t="shared" si="28"/>
        <v>153.44512580516414</v>
      </c>
      <c r="Q96" s="34">
        <f>IF(J96=1,'Specification &amp; Data'!B$52,IF(Simulation!J96=2,'Specification &amp; Data'!B$53,IF(Simulation!J96=3,'Specification &amp; Data'!B$54)))</f>
        <v>565.87802352621827</v>
      </c>
      <c r="R96" s="34">
        <f>(0.5*'Specification &amp; Data'!B$18*Simulation!F96^2)/1000</f>
        <v>22.989476616865034</v>
      </c>
      <c r="T96" s="40">
        <f>P96*'Specification &amp; Data'!B$14*0.9</f>
        <v>40.721975694447409</v>
      </c>
      <c r="U96" s="40">
        <f>T96/(IF(J96=1,'Specification &amp; Data'!H$7,IF(Simulation!J96=2,'Specification &amp; Data'!H$8,IF(Simulation!J96=3,'Specification &amp; Data'!H$9))))</f>
        <v>3.1996848636094657</v>
      </c>
      <c r="V96" s="40">
        <f t="shared" si="41"/>
        <v>7.4395576322787678E-3</v>
      </c>
      <c r="W96" s="40">
        <f t="shared" si="42"/>
        <v>1.8030178205726451E-2</v>
      </c>
      <c r="X96" s="40">
        <f t="shared" si="29"/>
        <v>1.4405159020395926</v>
      </c>
      <c r="Y96" s="40">
        <f t="shared" si="30"/>
        <v>1.9309864638600438</v>
      </c>
      <c r="Z96" s="40">
        <f t="shared" si="43"/>
        <v>4299.146375686285</v>
      </c>
      <c r="AA96" s="40">
        <f t="shared" si="44"/>
        <v>3</v>
      </c>
      <c r="AB96" s="40">
        <f t="shared" si="45"/>
        <v>4500</v>
      </c>
      <c r="AC96" s="40">
        <f t="shared" si="31"/>
        <v>4.0014330612210905E-4</v>
      </c>
      <c r="AD96" s="40">
        <f t="shared" si="46"/>
        <v>7.1136773348949897E-2</v>
      </c>
      <c r="AE96" s="34">
        <f t="shared" si="47"/>
        <v>-115.5979713389105</v>
      </c>
      <c r="AF96" s="34">
        <f t="shared" si="48"/>
        <v>-1.4405159020395926</v>
      </c>
      <c r="AG96" s="34">
        <f t="shared" si="32"/>
        <v>-1.9309864638600438</v>
      </c>
      <c r="AH96" s="34">
        <f>INDEX('Specification &amp; Data'!E$24:R$46,MATCH(Simulation!AA96,'Specification &amp; Data'!D$24:D$46,0),MATCH(Simulation!AB96,'Specification &amp; Data'!E$47:R$47,0))</f>
        <v>739.33341300000006</v>
      </c>
      <c r="AI96" s="34">
        <f t="shared" si="33"/>
        <v>-4.0014330612210905E-4</v>
      </c>
      <c r="AJ96" s="34">
        <f t="shared" si="25"/>
        <v>0.29583931620436271</v>
      </c>
      <c r="AK96" s="34">
        <f t="shared" si="49"/>
        <v>34.412257777772957</v>
      </c>
      <c r="AL96" s="34">
        <v>2.3289729133329802</v>
      </c>
    </row>
    <row r="97" spans="2:38" x14ac:dyDescent="0.25">
      <c r="C97" s="34">
        <f t="shared" si="34"/>
        <v>95</v>
      </c>
      <c r="D97" s="34">
        <v>20</v>
      </c>
      <c r="E97" s="34">
        <f t="shared" si="26"/>
        <v>32.186826647116149</v>
      </c>
      <c r="F97" s="34">
        <f t="shared" si="35"/>
        <v>8.9407851797544851</v>
      </c>
      <c r="G97" s="37">
        <f t="shared" si="36"/>
        <v>762.51486405536093</v>
      </c>
      <c r="H97" s="34">
        <f t="shared" si="37"/>
        <v>9.1643048092483461</v>
      </c>
      <c r="I97" s="34">
        <f t="shared" si="38"/>
        <v>-0.44703925898772567</v>
      </c>
      <c r="J97" s="34">
        <f t="shared" si="39"/>
        <v>2</v>
      </c>
      <c r="K97" s="34">
        <v>0</v>
      </c>
      <c r="L97" s="34">
        <f>('Specification &amp; Data'!B$22*'Specification &amp; Data'!B$10*'Specification &amp; Data'!B$20*(Simulation!F97^2-'Specification &amp; Data'!B$21^2))/2</f>
        <v>35.24286943529966</v>
      </c>
      <c r="M97" s="34">
        <f t="shared" si="40"/>
        <v>-254.33199554091178</v>
      </c>
      <c r="N97" s="34">
        <f>'Specification &amp; Data'!B$23*'Specification &amp; Data'!B$18*8.91</f>
        <v>60.4296693</v>
      </c>
      <c r="O97" s="34">
        <f t="shared" si="27"/>
        <v>-158.65945680561211</v>
      </c>
      <c r="P97" s="40">
        <f t="shared" si="28"/>
        <v>158.65945680561211</v>
      </c>
      <c r="Q97" s="34">
        <f>IF(J97=1,'Specification &amp; Data'!B$52,IF(Simulation!J97=2,'Specification &amp; Data'!B$53,IF(Simulation!J97=3,'Specification &amp; Data'!B$54)))</f>
        <v>568.92541410528543</v>
      </c>
      <c r="R97" s="34">
        <f>(0.5*'Specification &amp; Data'!B$18*Simulation!F97^2)/1000</f>
        <v>20.852132985818628</v>
      </c>
      <c r="T97" s="40">
        <f>P97*'Specification &amp; Data'!B$14*0.9</f>
        <v>42.105778921489367</v>
      </c>
      <c r="U97" s="40">
        <f>T97/(IF(J97=1,'Specification &amp; Data'!H$7,IF(Simulation!J97=2,'Specification &amp; Data'!H$8,IF(Simulation!J97=3,'Specification &amp; Data'!H$9))))</f>
        <v>2.5261302098428042</v>
      </c>
      <c r="V97" s="40">
        <f t="shared" si="41"/>
        <v>7.5270851113729761E-3</v>
      </c>
      <c r="W97" s="40">
        <f t="shared" si="42"/>
        <v>1.8424217127958539E-2</v>
      </c>
      <c r="X97" s="40">
        <f t="shared" si="29"/>
        <v>1.4185401200355137</v>
      </c>
      <c r="Y97" s="40">
        <f t="shared" si="30"/>
        <v>1.9015283110395624</v>
      </c>
      <c r="Z97" s="40">
        <f t="shared" si="43"/>
        <v>5362.3761245119258</v>
      </c>
      <c r="AA97" s="40">
        <f t="shared" si="44"/>
        <v>3</v>
      </c>
      <c r="AB97" s="40">
        <f t="shared" si="45"/>
        <v>5500</v>
      </c>
      <c r="AC97" s="40">
        <f t="shared" si="31"/>
        <v>3.9403892223208712E-4</v>
      </c>
      <c r="AD97" s="40">
        <f t="shared" si="46"/>
        <v>7.1530812271181979E-2</v>
      </c>
      <c r="AE97" s="34">
        <f t="shared" si="47"/>
        <v>-120.98019413722872</v>
      </c>
      <c r="AF97" s="34">
        <f t="shared" si="48"/>
        <v>-1.4185401200355137</v>
      </c>
      <c r="AG97" s="34">
        <f t="shared" si="32"/>
        <v>-1.9015283110395624</v>
      </c>
      <c r="AH97" s="34">
        <f>INDEX('Specification &amp; Data'!E$24:R$46,MATCH(Simulation!AA97,'Specification &amp; Data'!D$24:D$46,0),MATCH(Simulation!AB97,'Specification &amp; Data'!E$47:R$47,0))</f>
        <v>724.095099</v>
      </c>
      <c r="AI97" s="34">
        <f t="shared" si="33"/>
        <v>-3.9403892223208712E-4</v>
      </c>
      <c r="AJ97" s="34">
        <f t="shared" si="25"/>
        <v>0.28532165240349644</v>
      </c>
      <c r="AK97" s="34">
        <f t="shared" si="49"/>
        <v>34.697579430176454</v>
      </c>
      <c r="AL97" s="34">
        <v>2.3289729133329802</v>
      </c>
    </row>
    <row r="98" spans="2:38" x14ac:dyDescent="0.25">
      <c r="C98" s="34">
        <f t="shared" si="34"/>
        <v>96</v>
      </c>
      <c r="D98" s="34">
        <v>19.8</v>
      </c>
      <c r="E98" s="34">
        <f t="shared" si="26"/>
        <v>31.864958380644989</v>
      </c>
      <c r="F98" s="34">
        <f t="shared" si="35"/>
        <v>8.851377327956941</v>
      </c>
      <c r="G98" s="37">
        <f t="shared" si="36"/>
        <v>771.41094530921669</v>
      </c>
      <c r="H98" s="34">
        <f t="shared" si="37"/>
        <v>8.8960812538557121</v>
      </c>
      <c r="I98" s="34">
        <f t="shared" si="38"/>
        <v>-8.9407851797545845E-2</v>
      </c>
      <c r="J98" s="34">
        <f t="shared" si="39"/>
        <v>2</v>
      </c>
      <c r="K98" s="34">
        <v>0</v>
      </c>
      <c r="L98" s="34">
        <f>('Specification &amp; Data'!B$22*'Specification &amp; Data'!B$10*'Specification &amp; Data'!B$20*(Simulation!F98^2-'Specification &amp; Data'!B$21^2))/2</f>
        <v>34.49501233573578</v>
      </c>
      <c r="M98" s="34">
        <f t="shared" si="40"/>
        <v>-50.866399108182755</v>
      </c>
      <c r="N98" s="34">
        <f>'Specification &amp; Data'!B$23*'Specification &amp; Data'!B$18*8.91</f>
        <v>60.4296693</v>
      </c>
      <c r="O98" s="34">
        <f t="shared" si="27"/>
        <v>44.058282527553025</v>
      </c>
      <c r="P98" s="40">
        <f t="shared" si="28"/>
        <v>44.058282527553025</v>
      </c>
      <c r="Q98" s="34">
        <f>IF(J98=1,'Specification &amp; Data'!B$52,IF(Simulation!J98=2,'Specification &amp; Data'!B$53,IF(Simulation!J98=3,'Specification &amp; Data'!B$54)))</f>
        <v>568.92541410528543</v>
      </c>
      <c r="R98" s="34">
        <f>(0.5*'Specification &amp; Data'!B$18*Simulation!F98^2)/1000</f>
        <v>20.43717553940084</v>
      </c>
      <c r="T98" s="40">
        <f>P98*'Specification &amp; Data'!B$14*0.9</f>
        <v>11.69239036308138</v>
      </c>
      <c r="U98" s="40">
        <f>T98/(IF(J98=1,'Specification &amp; Data'!H$7,IF(Simulation!J98=2,'Specification &amp; Data'!H$8,IF(Simulation!J98=3,'Specification &amp; Data'!H$9))))</f>
        <v>0.70148329464534176</v>
      </c>
      <c r="V98" s="40">
        <f t="shared" si="41"/>
        <v>7.6118985475163445E-3</v>
      </c>
      <c r="W98" s="40">
        <f t="shared" si="42"/>
        <v>1.8532543928812178E-2</v>
      </c>
      <c r="X98" s="40">
        <f t="shared" si="29"/>
        <v>0.38997648307310429</v>
      </c>
      <c r="Y98" s="40">
        <f t="shared" si="30"/>
        <v>0.52275667972265993</v>
      </c>
      <c r="Z98" s="40">
        <f t="shared" si="43"/>
        <v>5308.7523632668072</v>
      </c>
      <c r="AA98" s="40">
        <f t="shared" si="44"/>
        <v>1</v>
      </c>
      <c r="AB98" s="40">
        <f t="shared" si="45"/>
        <v>5500</v>
      </c>
      <c r="AC98" s="40">
        <f t="shared" si="31"/>
        <v>1.0832680085364008E-4</v>
      </c>
      <c r="AD98" s="40">
        <f t="shared" si="46"/>
        <v>7.1639139072035618E-2</v>
      </c>
      <c r="AE98" s="34">
        <f t="shared" si="47"/>
        <v>33.987041373280228</v>
      </c>
      <c r="AF98" s="34">
        <f t="shared" si="48"/>
        <v>0.38997648307310429</v>
      </c>
      <c r="AG98" s="34">
        <f t="shared" si="32"/>
        <v>0.52275667972265993</v>
      </c>
      <c r="AH98" s="34">
        <f>INDEX('Specification &amp; Data'!E$24:R$46,MATCH(Simulation!AA98,'Specification &amp; Data'!D$24:D$46,0),MATCH(Simulation!AB98,'Specification &amp; Data'!E$47:R$47,0))</f>
        <v>863.13181500000007</v>
      </c>
      <c r="AI98" s="34">
        <f t="shared" si="33"/>
        <v>1.0832680085364008E-4</v>
      </c>
      <c r="AJ98" s="34">
        <f t="shared" si="25"/>
        <v>9.3500308233945922E-2</v>
      </c>
      <c r="AK98" s="34">
        <f t="shared" si="49"/>
        <v>34.791079738410403</v>
      </c>
      <c r="AL98" s="34">
        <v>2.3289729133329802</v>
      </c>
    </row>
    <row r="99" spans="2:38" x14ac:dyDescent="0.25">
      <c r="C99" s="34">
        <f t="shared" si="34"/>
        <v>97</v>
      </c>
      <c r="D99" s="34">
        <v>19</v>
      </c>
      <c r="E99" s="34">
        <f t="shared" si="26"/>
        <v>30.577485314760342</v>
      </c>
      <c r="F99" s="34">
        <f t="shared" si="35"/>
        <v>8.4937459207667612</v>
      </c>
      <c r="G99" s="37">
        <f t="shared" si="36"/>
        <v>780.08350693357852</v>
      </c>
      <c r="H99" s="34">
        <f t="shared" si="37"/>
        <v>8.6725616243618511</v>
      </c>
      <c r="I99" s="34">
        <f t="shared" si="38"/>
        <v>-0.35763140719017983</v>
      </c>
      <c r="J99" s="34">
        <f t="shared" si="39"/>
        <v>2</v>
      </c>
      <c r="K99" s="34">
        <v>0</v>
      </c>
      <c r="L99" s="34">
        <f>('Specification &amp; Data'!B$22*'Specification &amp; Data'!B$10*'Specification &amp; Data'!B$20*(Simulation!F99^2-'Specification &amp; Data'!B$21^2))/2</f>
        <v>31.578745455024336</v>
      </c>
      <c r="M99" s="34">
        <f t="shared" si="40"/>
        <v>-203.465596432729</v>
      </c>
      <c r="N99" s="34">
        <f>'Specification &amp; Data'!B$23*'Specification &amp; Data'!B$18*8.91</f>
        <v>60.4296693</v>
      </c>
      <c r="O99" s="34">
        <f t="shared" si="27"/>
        <v>-111.45718167770465</v>
      </c>
      <c r="P99" s="40">
        <f t="shared" si="28"/>
        <v>111.45718167770465</v>
      </c>
      <c r="Q99" s="34">
        <f>IF(J99=1,'Specification &amp; Data'!B$52,IF(Simulation!J99=2,'Specification &amp; Data'!B$53,IF(Simulation!J99=3,'Specification &amp; Data'!B$54)))</f>
        <v>568.92541410528543</v>
      </c>
      <c r="R99" s="34">
        <f>(0.5*'Specification &amp; Data'!B$18*Simulation!F99^2)/1000</f>
        <v>18.819050019701315</v>
      </c>
      <c r="T99" s="40">
        <f>P99*'Specification &amp; Data'!B$14*0.9</f>
        <v>29.579021291390848</v>
      </c>
      <c r="U99" s="40">
        <f>T99/(IF(J99=1,'Specification &amp; Data'!H$7,IF(Simulation!J99=2,'Specification &amp; Data'!H$8,IF(Simulation!J99=3,'Specification &amp; Data'!H$9))))</f>
        <v>1.7745891698403218</v>
      </c>
      <c r="V99" s="40">
        <f t="shared" si="41"/>
        <v>7.6864046142917737E-3</v>
      </c>
      <c r="W99" s="40">
        <f t="shared" si="42"/>
        <v>1.8795513090538611E-2</v>
      </c>
      <c r="X99" s="40">
        <f t="shared" si="29"/>
        <v>0.94668898221516373</v>
      </c>
      <c r="Y99" s="40">
        <f t="shared" si="30"/>
        <v>1.2690200833983427</v>
      </c>
      <c r="Z99" s="40">
        <f t="shared" si="43"/>
        <v>5094.2573182863298</v>
      </c>
      <c r="AA99" s="40">
        <f t="shared" si="44"/>
        <v>2</v>
      </c>
      <c r="AB99" s="40">
        <f t="shared" si="45"/>
        <v>5000</v>
      </c>
      <c r="AC99" s="40">
        <f t="shared" si="31"/>
        <v>2.6296916172643438E-4</v>
      </c>
      <c r="AD99" s="40">
        <f t="shared" si="46"/>
        <v>7.1902108233762058E-2</v>
      </c>
      <c r="AE99" s="34">
        <f t="shared" si="47"/>
        <v>-86.945909156076837</v>
      </c>
      <c r="AF99" s="34">
        <f t="shared" si="48"/>
        <v>-0.94668898221516373</v>
      </c>
      <c r="AG99" s="34">
        <f t="shared" si="32"/>
        <v>-1.2690200833983427</v>
      </c>
      <c r="AH99" s="34">
        <f>INDEX('Specification &amp; Data'!E$24:R$46,MATCH(Simulation!AA99,'Specification &amp; Data'!D$24:D$46,0),MATCH(Simulation!AB99,'Specification &amp; Data'!E$47:R$47,0))</f>
        <v>810.95960400000001</v>
      </c>
      <c r="AI99" s="34">
        <f t="shared" si="33"/>
        <v>-2.6296916172643438E-4</v>
      </c>
      <c r="AJ99" s="34">
        <f t="shared" si="25"/>
        <v>0.21325736725788119</v>
      </c>
      <c r="AK99" s="34">
        <f t="shared" si="49"/>
        <v>35.004337105668284</v>
      </c>
      <c r="AL99" s="34">
        <v>2.3289729133329802</v>
      </c>
    </row>
    <row r="100" spans="2:38" x14ac:dyDescent="0.25">
      <c r="C100" s="34">
        <f t="shared" si="34"/>
        <v>98</v>
      </c>
      <c r="D100" s="34">
        <v>18</v>
      </c>
      <c r="E100" s="34">
        <f t="shared" si="26"/>
        <v>28.968143982404534</v>
      </c>
      <c r="F100" s="34">
        <f t="shared" si="35"/>
        <v>8.0467066617790373</v>
      </c>
      <c r="G100" s="37">
        <f t="shared" si="36"/>
        <v>788.35373322485145</v>
      </c>
      <c r="H100" s="34">
        <f t="shared" si="37"/>
        <v>8.2702262912728983</v>
      </c>
      <c r="I100" s="34">
        <f t="shared" si="38"/>
        <v>-0.44703925898772567</v>
      </c>
      <c r="J100" s="34">
        <f t="shared" si="39"/>
        <v>2</v>
      </c>
      <c r="K100" s="34">
        <v>0</v>
      </c>
      <c r="L100" s="34">
        <f>('Specification &amp; Data'!B$22*'Specification &amp; Data'!B$10*'Specification &amp; Data'!B$20*(Simulation!F100^2-'Specification &amp; Data'!B$21^2))/2</f>
        <v>28.102525268609277</v>
      </c>
      <c r="M100" s="34">
        <f t="shared" si="40"/>
        <v>-254.33199554091178</v>
      </c>
      <c r="N100" s="34">
        <f>'Specification &amp; Data'!B$23*'Specification &amp; Data'!B$18*8.91</f>
        <v>60.4296693</v>
      </c>
      <c r="O100" s="34">
        <f t="shared" si="27"/>
        <v>-165.79980097230251</v>
      </c>
      <c r="P100" s="40">
        <f t="shared" si="28"/>
        <v>165.79980097230251</v>
      </c>
      <c r="Q100" s="34">
        <f>IF(J100=1,'Specification &amp; Data'!B$52,IF(Simulation!J100=2,'Specification &amp; Data'!B$53,IF(Simulation!J100=3,'Specification &amp; Data'!B$54)))</f>
        <v>568.92541410528543</v>
      </c>
      <c r="R100" s="34">
        <f>(0.5*'Specification &amp; Data'!B$18*Simulation!F100^2)/1000</f>
        <v>16.890227718513092</v>
      </c>
      <c r="T100" s="40">
        <f>P100*'Specification &amp; Data'!B$14*0.9</f>
        <v>44.000716411880283</v>
      </c>
      <c r="U100" s="40">
        <f>T100/(IF(J100=1,'Specification &amp; Data'!H$7,IF(Simulation!J100=2,'Specification &amp; Data'!H$8,IF(Simulation!J100=3,'Specification &amp; Data'!H$9))))</f>
        <v>2.6398167147086995</v>
      </c>
      <c r="V100" s="40">
        <f t="shared" si="41"/>
        <v>7.7492192746505878E-3</v>
      </c>
      <c r="W100" s="40">
        <f t="shared" si="42"/>
        <v>1.9166108191373463E-2</v>
      </c>
      <c r="X100" s="40">
        <f t="shared" si="29"/>
        <v>1.3341423630054652</v>
      </c>
      <c r="Y100" s="40">
        <f t="shared" si="30"/>
        <v>1.7883945884791757</v>
      </c>
      <c r="Z100" s="40">
        <f t="shared" si="43"/>
        <v>4826.1385120607329</v>
      </c>
      <c r="AA100" s="40">
        <f t="shared" si="44"/>
        <v>3</v>
      </c>
      <c r="AB100" s="40">
        <f t="shared" si="45"/>
        <v>5000</v>
      </c>
      <c r="AC100" s="40">
        <f t="shared" si="31"/>
        <v>3.7059510083485141E-4</v>
      </c>
      <c r="AD100" s="40">
        <f t="shared" si="46"/>
        <v>7.2272703334596913E-2</v>
      </c>
      <c r="AE100" s="34">
        <f t="shared" si="47"/>
        <v>-130.70889206445204</v>
      </c>
      <c r="AF100" s="34">
        <f t="shared" si="48"/>
        <v>-1.3341423630054652</v>
      </c>
      <c r="AG100" s="34">
        <f t="shared" si="32"/>
        <v>-1.7883945884791757</v>
      </c>
      <c r="AH100" s="34">
        <f>INDEX('Specification &amp; Data'!E$24:R$46,MATCH(Simulation!AA100,'Specification &amp; Data'!D$24:D$46,0),MATCH(Simulation!AB100,'Specification &amp; Data'!E$47:R$47,0))</f>
        <v>731.71425599999998</v>
      </c>
      <c r="AI100" s="34">
        <f t="shared" si="33"/>
        <v>-3.7059510083485141E-4</v>
      </c>
      <c r="AJ100" s="34">
        <f t="shared" si="25"/>
        <v>0.27116971848461829</v>
      </c>
      <c r="AK100" s="34">
        <f t="shared" si="49"/>
        <v>35.275506824152906</v>
      </c>
      <c r="AL100" s="34">
        <v>2.3289729133329802</v>
      </c>
    </row>
    <row r="101" spans="2:38" x14ac:dyDescent="0.25">
      <c r="C101" s="34">
        <f t="shared" si="34"/>
        <v>99</v>
      </c>
      <c r="D101" s="34">
        <v>16.5</v>
      </c>
      <c r="E101" s="34">
        <f t="shared" si="26"/>
        <v>26.554131983870821</v>
      </c>
      <c r="F101" s="34">
        <f t="shared" si="35"/>
        <v>7.3761477732974505</v>
      </c>
      <c r="G101" s="37">
        <f t="shared" si="36"/>
        <v>796.0651604423897</v>
      </c>
      <c r="H101" s="34">
        <f t="shared" si="37"/>
        <v>7.7114272175382439</v>
      </c>
      <c r="I101" s="34">
        <f t="shared" si="38"/>
        <v>-0.67055888848158673</v>
      </c>
      <c r="J101" s="34">
        <f t="shared" si="39"/>
        <v>2</v>
      </c>
      <c r="K101" s="34">
        <v>0</v>
      </c>
      <c r="L101" s="34">
        <f>('Specification &amp; Data'!B$22*'Specification &amp; Data'!B$10*'Specification &amp; Data'!B$20*(Simulation!F101^2-'Specification &amp; Data'!B$21^2))/2</f>
        <v>23.240514602474704</v>
      </c>
      <c r="M101" s="34">
        <f t="shared" si="40"/>
        <v>-381.49799331136666</v>
      </c>
      <c r="N101" s="34">
        <f>'Specification &amp; Data'!B$23*'Specification &amp; Data'!B$18*8.91</f>
        <v>60.4296693</v>
      </c>
      <c r="O101" s="34">
        <f t="shared" si="27"/>
        <v>-297.82780940889194</v>
      </c>
      <c r="P101" s="40">
        <f t="shared" si="28"/>
        <v>297.82780940889194</v>
      </c>
      <c r="Q101" s="34">
        <f>IF(J101=1,'Specification &amp; Data'!B$52,IF(Simulation!J101=2,'Specification &amp; Data'!B$53,IF(Simulation!J101=3,'Specification &amp; Data'!B$54)))</f>
        <v>568.92541410528543</v>
      </c>
      <c r="R101" s="34">
        <f>(0.5*'Specification &amp; Data'!B$18*Simulation!F101^2)/1000</f>
        <v>14.192483013472806</v>
      </c>
      <c r="T101" s="40">
        <f>P101*'Specification &amp; Data'!B$14*0.9</f>
        <v>79.03891865082133</v>
      </c>
      <c r="U101" s="40">
        <f>T101/(IF(J101=1,'Specification &amp; Data'!H$7,IF(Simulation!J101=2,'Specification &amp; Data'!H$8,IF(Simulation!J101=3,'Specification &amp; Data'!H$9))))</f>
        <v>4.7419286680205923</v>
      </c>
      <c r="V101" s="40">
        <f t="shared" si="41"/>
        <v>7.796837460771513E-3</v>
      </c>
      <c r="W101" s="40">
        <f t="shared" si="42"/>
        <v>1.9776336506150533E-2</v>
      </c>
      <c r="X101" s="40">
        <f t="shared" si="29"/>
        <v>2.1968219331974557</v>
      </c>
      <c r="Y101" s="40">
        <f t="shared" si="30"/>
        <v>2.9448015190314418</v>
      </c>
      <c r="Z101" s="40">
        <f t="shared" si="43"/>
        <v>4423.9603027223384</v>
      </c>
      <c r="AA101" s="40">
        <f t="shared" si="44"/>
        <v>5</v>
      </c>
      <c r="AB101" s="40">
        <f t="shared" si="45"/>
        <v>4500</v>
      </c>
      <c r="AC101" s="40">
        <f t="shared" si="31"/>
        <v>6.1022831477707104E-4</v>
      </c>
      <c r="AD101" s="40">
        <f t="shared" si="46"/>
        <v>7.2882931649373983E-2</v>
      </c>
      <c r="AE101" s="34">
        <f t="shared" si="47"/>
        <v>-237.09034288129502</v>
      </c>
      <c r="AF101" s="34">
        <f t="shared" si="48"/>
        <v>-2.1968219331974557</v>
      </c>
      <c r="AG101" s="34">
        <f t="shared" si="32"/>
        <v>-2.9448015190314418</v>
      </c>
      <c r="AH101" s="34">
        <f>INDEX('Specification &amp; Data'!E$24:R$46,MATCH(Simulation!AA101,'Specification &amp; Data'!D$24:D$46,0),MATCH(Simulation!AB101,'Specification &amp; Data'!E$47:R$47,0))</f>
        <v>620.28480150000007</v>
      </c>
      <c r="AI101" s="34">
        <f t="shared" si="33"/>
        <v>-6.1022831477707104E-4</v>
      </c>
      <c r="AJ101" s="34">
        <f t="shared" si="25"/>
        <v>0.37851534910117507</v>
      </c>
      <c r="AK101" s="34">
        <f t="shared" si="49"/>
        <v>35.654022173254084</v>
      </c>
      <c r="AL101" s="34">
        <v>2.3289729133329802</v>
      </c>
    </row>
    <row r="102" spans="2:38" x14ac:dyDescent="0.25">
      <c r="C102" s="34">
        <f t="shared" si="34"/>
        <v>100</v>
      </c>
      <c r="D102" s="34">
        <v>15</v>
      </c>
      <c r="E102" s="34">
        <f t="shared" si="26"/>
        <v>24.140119985337112</v>
      </c>
      <c r="F102" s="34">
        <f t="shared" si="35"/>
        <v>6.7055888848158638</v>
      </c>
      <c r="G102" s="37">
        <f t="shared" si="36"/>
        <v>803.1060287714464</v>
      </c>
      <c r="H102" s="34">
        <f t="shared" si="37"/>
        <v>7.0408683290566572</v>
      </c>
      <c r="I102" s="34">
        <f t="shared" si="38"/>
        <v>-0.67055888848158673</v>
      </c>
      <c r="J102" s="34">
        <f t="shared" si="39"/>
        <v>2</v>
      </c>
      <c r="K102" s="34">
        <v>0</v>
      </c>
      <c r="L102" s="34">
        <f>('Specification &amp; Data'!B$22*'Specification &amp; Data'!B$10*'Specification &amp; Data'!B$20*(Simulation!F102^2-'Specification &amp; Data'!B$21^2))/2</f>
        <v>18.801287472525743</v>
      </c>
      <c r="M102" s="34">
        <f t="shared" si="40"/>
        <v>-381.49799331136666</v>
      </c>
      <c r="N102" s="34">
        <f>'Specification &amp; Data'!B$23*'Specification &amp; Data'!B$18*8.91</f>
        <v>60.4296693</v>
      </c>
      <c r="O102" s="34">
        <f t="shared" si="27"/>
        <v>-302.2670365388409</v>
      </c>
      <c r="P102" s="40">
        <f t="shared" si="28"/>
        <v>302.2670365388409</v>
      </c>
      <c r="Q102" s="34">
        <f>IF(J102=1,'Specification &amp; Data'!B$52,IF(Simulation!J102=2,'Specification &amp; Data'!B$53,IF(Simulation!J102=3,'Specification &amp; Data'!B$54)))</f>
        <v>568.92541410528543</v>
      </c>
      <c r="R102" s="34">
        <f>(0.5*'Specification &amp; Data'!B$18*Simulation!F102^2)/1000</f>
        <v>11.729324804522978</v>
      </c>
      <c r="T102" s="40">
        <f>P102*'Specification &amp; Data'!B$14*0.9</f>
        <v>80.217021235307783</v>
      </c>
      <c r="U102" s="40">
        <f>T102/(IF(J102=1,'Specification &amp; Data'!H$7,IF(Simulation!J102=2,'Specification &amp; Data'!H$8,IF(Simulation!J102=3,'Specification &amp; Data'!H$9))))</f>
        <v>4.8126087647957707</v>
      </c>
      <c r="V102" s="40">
        <f t="shared" si="41"/>
        <v>7.8318579341870673E-3</v>
      </c>
      <c r="W102" s="40">
        <f t="shared" si="42"/>
        <v>2.0339358306278612E-2</v>
      </c>
      <c r="X102" s="40">
        <f t="shared" si="29"/>
        <v>2.026878480461082</v>
      </c>
      <c r="Y102" s="40">
        <f t="shared" si="30"/>
        <v>2.716995282119413</v>
      </c>
      <c r="Z102" s="40">
        <f t="shared" si="43"/>
        <v>4021.7820933839434</v>
      </c>
      <c r="AA102" s="40">
        <f t="shared" si="44"/>
        <v>5</v>
      </c>
      <c r="AB102" s="40">
        <f t="shared" si="45"/>
        <v>4000</v>
      </c>
      <c r="AC102" s="40">
        <f t="shared" si="31"/>
        <v>5.630218001280783E-4</v>
      </c>
      <c r="AD102" s="40">
        <f t="shared" si="46"/>
        <v>7.3445953449502055E-2</v>
      </c>
      <c r="AE102" s="34">
        <f t="shared" si="47"/>
        <v>-242.75247934322221</v>
      </c>
      <c r="AF102" s="34">
        <f t="shared" si="48"/>
        <v>-2.026878480461082</v>
      </c>
      <c r="AG102" s="34">
        <f t="shared" si="32"/>
        <v>-2.716995282119413</v>
      </c>
      <c r="AH102" s="34">
        <f>INDEX('Specification &amp; Data'!E$24:R$46,MATCH(Simulation!AA102,'Specification &amp; Data'!D$24:D$46,0),MATCH(Simulation!AB102,'Specification &amp; Data'!E$47:R$47,0))</f>
        <v>651.64144500000009</v>
      </c>
      <c r="AI102" s="34">
        <f t="shared" si="33"/>
        <v>-5.630218001280783E-4</v>
      </c>
      <c r="AJ102" s="34">
        <f t="shared" si="25"/>
        <v>0.36688833940196219</v>
      </c>
      <c r="AK102" s="34">
        <f t="shared" si="49"/>
        <v>36.020910512656044</v>
      </c>
      <c r="AL102" s="34">
        <v>2.3289729133329802</v>
      </c>
    </row>
    <row r="103" spans="2:38" x14ac:dyDescent="0.25">
      <c r="B103" s="36" t="s">
        <v>119</v>
      </c>
      <c r="C103" s="34">
        <f t="shared" si="34"/>
        <v>101</v>
      </c>
      <c r="D103" s="34">
        <v>14.5</v>
      </c>
      <c r="E103" s="34">
        <f t="shared" si="26"/>
        <v>23.335449319159206</v>
      </c>
      <c r="F103" s="34">
        <f t="shared" si="35"/>
        <v>6.4820692553220018</v>
      </c>
      <c r="G103" s="37">
        <f t="shared" si="36"/>
        <v>809.69985784151538</v>
      </c>
      <c r="H103" s="34">
        <f t="shared" si="37"/>
        <v>6.5938290700689333</v>
      </c>
      <c r="I103" s="34">
        <f t="shared" si="38"/>
        <v>-0.22351962949386106</v>
      </c>
      <c r="J103" s="34">
        <f t="shared" si="39"/>
        <v>2</v>
      </c>
      <c r="K103" s="34">
        <v>0</v>
      </c>
      <c r="L103" s="34">
        <f>('Specification &amp; Data'!B$22*'Specification &amp; Data'!B$10*'Specification &amp; Data'!B$20*(Simulation!F103^2-'Specification &amp; Data'!B$21^2))/2</f>
        <v>17.415496992806233</v>
      </c>
      <c r="M103" s="34">
        <f t="shared" si="40"/>
        <v>-127.16599777045488</v>
      </c>
      <c r="N103" s="34">
        <f>'Specification &amp; Data'!B$23*'Specification &amp; Data'!B$18*8.91</f>
        <v>60.4296693</v>
      </c>
      <c r="O103" s="34">
        <f t="shared" si="27"/>
        <v>-49.320831477648653</v>
      </c>
      <c r="P103" s="40">
        <f t="shared" si="28"/>
        <v>49.320831477648653</v>
      </c>
      <c r="Q103" s="34">
        <f>IF(J103=1,'Specification &amp; Data'!B$52,IF(Simulation!J103=2,'Specification &amp; Data'!B$53,IF(Simulation!J103=3,'Specification &amp; Data'!B$54)))</f>
        <v>568.92541410528543</v>
      </c>
      <c r="R103" s="34">
        <f>(0.5*'Specification &amp; Data'!B$18*Simulation!F103^2)/1000</f>
        <v>10.960402400670917</v>
      </c>
      <c r="T103" s="40">
        <f>P103*'Specification &amp; Data'!B$14*0.9</f>
        <v>13.08898989214522</v>
      </c>
      <c r="U103" s="40">
        <f>T103/(IF(J103=1,'Specification &amp; Data'!H$7,IF(Simulation!J103=2,'Specification &amp; Data'!H$8,IF(Simulation!J103=3,'Specification &amp; Data'!H$9))))</f>
        <v>0.78527208449289954</v>
      </c>
      <c r="V103" s="40">
        <f t="shared" si="41"/>
        <v>7.8632158390824075E-3</v>
      </c>
      <c r="W103" s="40">
        <f t="shared" si="42"/>
        <v>2.0428164152214219E-2</v>
      </c>
      <c r="X103" s="40">
        <f t="shared" si="29"/>
        <v>0.31970104536818394</v>
      </c>
      <c r="Y103" s="40">
        <f t="shared" si="30"/>
        <v>0.42855368011820905</v>
      </c>
      <c r="Z103" s="40">
        <f t="shared" si="43"/>
        <v>3887.7226902711454</v>
      </c>
      <c r="AA103" s="40">
        <f t="shared" si="44"/>
        <v>1</v>
      </c>
      <c r="AB103" s="40">
        <f t="shared" si="45"/>
        <v>4000</v>
      </c>
      <c r="AC103" s="40">
        <f t="shared" si="31"/>
        <v>8.8805845935606653E-5</v>
      </c>
      <c r="AD103" s="40">
        <f t="shared" si="46"/>
        <v>7.3534759295437666E-2</v>
      </c>
      <c r="AE103" s="34">
        <f t="shared" si="47"/>
        <v>-39.935070236077451</v>
      </c>
      <c r="AF103" s="34">
        <f t="shared" si="48"/>
        <v>-0.31970104536818394</v>
      </c>
      <c r="AG103" s="34">
        <f t="shared" si="32"/>
        <v>-0.42855368011820905</v>
      </c>
      <c r="AH103" s="34">
        <f>INDEX('Specification &amp; Data'!E$24:R$46,MATCH(Simulation!AA103,'Specification &amp; Data'!D$24:D$46,0),MATCH(Simulation!AB103,'Specification &amp; Data'!E$47:R$47,0))</f>
        <v>944.35122599999977</v>
      </c>
      <c r="AI103" s="34">
        <f t="shared" si="33"/>
        <v>-8.8805845935606653E-5</v>
      </c>
      <c r="AJ103" s="34">
        <f t="shared" si="25"/>
        <v>8.3863909485257238E-2</v>
      </c>
      <c r="AK103" s="34">
        <f t="shared" si="49"/>
        <v>36.104774422141304</v>
      </c>
      <c r="AL103" s="34">
        <v>2.3289729133329802</v>
      </c>
    </row>
    <row r="104" spans="2:38" x14ac:dyDescent="0.25">
      <c r="C104" s="34">
        <f t="shared" si="34"/>
        <v>102</v>
      </c>
      <c r="D104" s="34">
        <v>14.5</v>
      </c>
      <c r="E104" s="34">
        <f t="shared" si="26"/>
        <v>23.335449319159206</v>
      </c>
      <c r="F104" s="34">
        <f t="shared" si="35"/>
        <v>6.4820692553220018</v>
      </c>
      <c r="G104" s="37">
        <f t="shared" si="36"/>
        <v>816.1819270968374</v>
      </c>
      <c r="H104" s="34">
        <f t="shared" si="37"/>
        <v>6.4820692553220018</v>
      </c>
      <c r="I104" s="34">
        <f t="shared" si="38"/>
        <v>0</v>
      </c>
      <c r="J104" s="34">
        <f t="shared" si="39"/>
        <v>2</v>
      </c>
      <c r="K104" s="34">
        <v>0</v>
      </c>
      <c r="L104" s="34">
        <f>('Specification &amp; Data'!B$22*'Specification &amp; Data'!B$10*'Specification &amp; Data'!B$20*(Simulation!F104^2-'Specification &amp; Data'!B$21^2))/2</f>
        <v>17.415496992806233</v>
      </c>
      <c r="M104" s="34">
        <f t="shared" si="40"/>
        <v>0</v>
      </c>
      <c r="N104" s="34">
        <f>'Specification &amp; Data'!B$23*'Specification &amp; Data'!B$18*8.91</f>
        <v>60.4296693</v>
      </c>
      <c r="O104" s="34">
        <f t="shared" si="27"/>
        <v>77.845166292806226</v>
      </c>
      <c r="P104" s="40">
        <f t="shared" si="28"/>
        <v>77.845166292806226</v>
      </c>
      <c r="Q104" s="34">
        <f>IF(J104=1,'Specification &amp; Data'!B$52,IF(Simulation!J104=2,'Specification &amp; Data'!B$53,IF(Simulation!J104=3,'Specification &amp; Data'!B$54)))</f>
        <v>568.92541410528543</v>
      </c>
      <c r="R104" s="34">
        <f>(0.5*'Specification &amp; Data'!B$18*Simulation!F104^2)/1000</f>
        <v>10.960402400670917</v>
      </c>
      <c r="T104" s="40">
        <f>P104*'Specification &amp; Data'!B$14*0.9</f>
        <v>20.658909516167807</v>
      </c>
      <c r="U104" s="40">
        <f>T104/(IF(J104=1,'Specification &amp; Data'!H$7,IF(Simulation!J104=2,'Specification &amp; Data'!H$8,IF(Simulation!J104=3,'Specification &amp; Data'!H$9))))</f>
        <v>1.2394283342557038</v>
      </c>
      <c r="V104" s="40">
        <f t="shared" si="41"/>
        <v>7.8945737439777477E-3</v>
      </c>
      <c r="W104" s="40">
        <f t="shared" si="42"/>
        <v>2.0428164152214219E-2</v>
      </c>
      <c r="X104" s="40">
        <f t="shared" si="29"/>
        <v>0.50459775910202787</v>
      </c>
      <c r="Y104" s="40">
        <f t="shared" si="30"/>
        <v>0.67640450281773168</v>
      </c>
      <c r="Z104" s="40">
        <f t="shared" si="43"/>
        <v>3887.7226902711459</v>
      </c>
      <c r="AA104" s="40">
        <f t="shared" si="44"/>
        <v>1</v>
      </c>
      <c r="AB104" s="40">
        <f t="shared" si="45"/>
        <v>4000</v>
      </c>
      <c r="AC104" s="40">
        <f t="shared" si="31"/>
        <v>1.4016604419500773E-4</v>
      </c>
      <c r="AD104" s="40">
        <f t="shared" si="46"/>
        <v>7.3674925339632671E-2</v>
      </c>
      <c r="AE104" s="34">
        <f t="shared" si="47"/>
        <v>63.535817840036351</v>
      </c>
      <c r="AF104" s="34">
        <f t="shared" si="48"/>
        <v>0.50459775910202787</v>
      </c>
      <c r="AG104" s="34">
        <f t="shared" si="32"/>
        <v>0.67640450281773168</v>
      </c>
      <c r="AH104" s="34">
        <f>INDEX('Specification &amp; Data'!E$24:R$46,MATCH(Simulation!AA104,'Specification &amp; Data'!D$24:D$46,0),MATCH(Simulation!AB104,'Specification &amp; Data'!E$47:R$47,0))</f>
        <v>944.35122599999977</v>
      </c>
      <c r="AI104" s="34">
        <f t="shared" si="33"/>
        <v>1.4016604419500773E-4</v>
      </c>
      <c r="AJ104" s="34">
        <f t="shared" si="25"/>
        <v>0.1323659756791257</v>
      </c>
      <c r="AK104" s="34">
        <f t="shared" si="49"/>
        <v>36.237140397820433</v>
      </c>
      <c r="AL104" s="34">
        <v>2.3289729133329802</v>
      </c>
    </row>
    <row r="105" spans="2:38" x14ac:dyDescent="0.25">
      <c r="C105" s="34">
        <f t="shared" si="34"/>
        <v>103</v>
      </c>
      <c r="D105" s="34">
        <v>14.5</v>
      </c>
      <c r="E105" s="34">
        <f t="shared" si="26"/>
        <v>23.335449319159206</v>
      </c>
      <c r="F105" s="34">
        <f t="shared" si="35"/>
        <v>6.4820692553220018</v>
      </c>
      <c r="G105" s="37">
        <f t="shared" si="36"/>
        <v>822.66399635215942</v>
      </c>
      <c r="H105" s="34">
        <f t="shared" si="37"/>
        <v>6.4820692553220018</v>
      </c>
      <c r="I105" s="34">
        <f t="shared" si="38"/>
        <v>0</v>
      </c>
      <c r="J105" s="34">
        <f t="shared" si="39"/>
        <v>2</v>
      </c>
      <c r="K105" s="34">
        <v>0</v>
      </c>
      <c r="L105" s="34">
        <f>('Specification &amp; Data'!B$22*'Specification &amp; Data'!B$10*'Specification &amp; Data'!B$20*(Simulation!F105^2-'Specification &amp; Data'!B$21^2))/2</f>
        <v>17.415496992806233</v>
      </c>
      <c r="M105" s="34">
        <f t="shared" si="40"/>
        <v>0</v>
      </c>
      <c r="N105" s="34">
        <f>'Specification &amp; Data'!B$23*'Specification &amp; Data'!B$18*8.91</f>
        <v>60.4296693</v>
      </c>
      <c r="O105" s="34">
        <f t="shared" si="27"/>
        <v>77.845166292806226</v>
      </c>
      <c r="P105" s="40">
        <f t="shared" si="28"/>
        <v>77.845166292806226</v>
      </c>
      <c r="Q105" s="34">
        <f>IF(J105=1,'Specification &amp; Data'!B$52,IF(Simulation!J105=2,'Specification &amp; Data'!B$53,IF(Simulation!J105=3,'Specification &amp; Data'!B$54)))</f>
        <v>568.92541410528543</v>
      </c>
      <c r="R105" s="34">
        <f>(0.5*'Specification &amp; Data'!B$18*Simulation!F105^2)/1000</f>
        <v>10.960402400670917</v>
      </c>
      <c r="T105" s="40">
        <f>P105*'Specification &amp; Data'!B$14*0.9</f>
        <v>20.658909516167807</v>
      </c>
      <c r="U105" s="40">
        <f>T105/(IF(J105=1,'Specification &amp; Data'!H$7,IF(Simulation!J105=2,'Specification &amp; Data'!H$8,IF(Simulation!J105=3,'Specification &amp; Data'!H$9))))</f>
        <v>1.2394283342557038</v>
      </c>
      <c r="V105" s="40">
        <f t="shared" si="41"/>
        <v>7.9259316488730878E-3</v>
      </c>
      <c r="W105" s="40">
        <f t="shared" si="42"/>
        <v>2.0428164152214219E-2</v>
      </c>
      <c r="X105" s="40">
        <f t="shared" si="29"/>
        <v>0.50459775910202787</v>
      </c>
      <c r="Y105" s="40">
        <f t="shared" si="30"/>
        <v>0.67640450281773168</v>
      </c>
      <c r="Z105" s="40">
        <f t="shared" si="43"/>
        <v>3887.7226902711459</v>
      </c>
      <c r="AA105" s="40">
        <f t="shared" si="44"/>
        <v>1</v>
      </c>
      <c r="AB105" s="40">
        <f t="shared" si="45"/>
        <v>4000</v>
      </c>
      <c r="AC105" s="40">
        <f t="shared" si="31"/>
        <v>1.4016604419500773E-4</v>
      </c>
      <c r="AD105" s="40">
        <f t="shared" si="46"/>
        <v>7.3815091383827677E-2</v>
      </c>
      <c r="AE105" s="34">
        <f t="shared" si="47"/>
        <v>64.040415599138385</v>
      </c>
      <c r="AF105" s="34">
        <f t="shared" si="48"/>
        <v>0.50459775910202787</v>
      </c>
      <c r="AG105" s="34">
        <f t="shared" si="32"/>
        <v>0.67640450281773168</v>
      </c>
      <c r="AH105" s="34">
        <f>INDEX('Specification &amp; Data'!E$24:R$46,MATCH(Simulation!AA105,'Specification &amp; Data'!D$24:D$46,0),MATCH(Simulation!AB105,'Specification &amp; Data'!E$47:R$47,0))</f>
        <v>944.35122599999977</v>
      </c>
      <c r="AI105" s="34">
        <f t="shared" si="33"/>
        <v>1.4016604419500773E-4</v>
      </c>
      <c r="AJ105" s="34">
        <f t="shared" si="25"/>
        <v>0.1323659756791257</v>
      </c>
      <c r="AK105" s="34">
        <f t="shared" si="49"/>
        <v>36.369506373499561</v>
      </c>
      <c r="AL105" s="34">
        <v>2.3289729133329802</v>
      </c>
    </row>
    <row r="106" spans="2:38" x14ac:dyDescent="0.25">
      <c r="C106" s="34">
        <f t="shared" si="34"/>
        <v>104</v>
      </c>
      <c r="D106" s="34">
        <v>14.5</v>
      </c>
      <c r="E106" s="34">
        <f t="shared" si="26"/>
        <v>23.335449319159206</v>
      </c>
      <c r="F106" s="34">
        <f t="shared" si="35"/>
        <v>6.4820692553220018</v>
      </c>
      <c r="G106" s="37">
        <f t="shared" si="36"/>
        <v>829.14606560748143</v>
      </c>
      <c r="H106" s="34">
        <f t="shared" si="37"/>
        <v>6.4820692553220018</v>
      </c>
      <c r="I106" s="34">
        <f t="shared" si="38"/>
        <v>0</v>
      </c>
      <c r="J106" s="34">
        <f t="shared" si="39"/>
        <v>2</v>
      </c>
      <c r="K106" s="34">
        <v>0</v>
      </c>
      <c r="L106" s="34">
        <f>('Specification &amp; Data'!B$22*'Specification &amp; Data'!B$10*'Specification &amp; Data'!B$20*(Simulation!F106^2-'Specification &amp; Data'!B$21^2))/2</f>
        <v>17.415496992806233</v>
      </c>
      <c r="M106" s="34">
        <f t="shared" si="40"/>
        <v>0</v>
      </c>
      <c r="N106" s="34">
        <f>'Specification &amp; Data'!B$23*'Specification &amp; Data'!B$18*8.91</f>
        <v>60.4296693</v>
      </c>
      <c r="O106" s="34">
        <f t="shared" si="27"/>
        <v>77.845166292806226</v>
      </c>
      <c r="P106" s="40">
        <f t="shared" si="28"/>
        <v>77.845166292806226</v>
      </c>
      <c r="Q106" s="34">
        <f>IF(J106=1,'Specification &amp; Data'!B$52,IF(Simulation!J106=2,'Specification &amp; Data'!B$53,IF(Simulation!J106=3,'Specification &amp; Data'!B$54)))</f>
        <v>568.92541410528543</v>
      </c>
      <c r="R106" s="34">
        <f>(0.5*'Specification &amp; Data'!B$18*Simulation!F106^2)/1000</f>
        <v>10.960402400670917</v>
      </c>
      <c r="T106" s="40">
        <f>P106*'Specification &amp; Data'!B$14*0.9</f>
        <v>20.658909516167807</v>
      </c>
      <c r="U106" s="40">
        <f>T106/(IF(J106=1,'Specification &amp; Data'!H$7,IF(Simulation!J106=2,'Specification &amp; Data'!H$8,IF(Simulation!J106=3,'Specification &amp; Data'!H$9))))</f>
        <v>1.2394283342557038</v>
      </c>
      <c r="V106" s="40">
        <f t="shared" si="41"/>
        <v>7.957289553768428E-3</v>
      </c>
      <c r="W106" s="40">
        <f t="shared" si="42"/>
        <v>2.0428164152214219E-2</v>
      </c>
      <c r="X106" s="40">
        <f t="shared" si="29"/>
        <v>0.50459775910202787</v>
      </c>
      <c r="Y106" s="40">
        <f t="shared" si="30"/>
        <v>0.67640450281773168</v>
      </c>
      <c r="Z106" s="40">
        <f t="shared" si="43"/>
        <v>3887.7226902711459</v>
      </c>
      <c r="AA106" s="40">
        <f t="shared" si="44"/>
        <v>1</v>
      </c>
      <c r="AB106" s="40">
        <f t="shared" si="45"/>
        <v>4000</v>
      </c>
      <c r="AC106" s="40">
        <f t="shared" si="31"/>
        <v>1.4016604419500773E-4</v>
      </c>
      <c r="AD106" s="40">
        <f t="shared" si="46"/>
        <v>7.3955257428022683E-2</v>
      </c>
      <c r="AE106" s="34">
        <f t="shared" si="47"/>
        <v>64.545013358240411</v>
      </c>
      <c r="AF106" s="34">
        <f t="shared" si="48"/>
        <v>0.50459775910202787</v>
      </c>
      <c r="AG106" s="34">
        <f t="shared" si="32"/>
        <v>0.67640450281773168</v>
      </c>
      <c r="AH106" s="34">
        <f>INDEX('Specification &amp; Data'!E$24:R$46,MATCH(Simulation!AA106,'Specification &amp; Data'!D$24:D$46,0),MATCH(Simulation!AB106,'Specification &amp; Data'!E$47:R$47,0))</f>
        <v>944.35122599999977</v>
      </c>
      <c r="AI106" s="34">
        <f t="shared" si="33"/>
        <v>1.4016604419500773E-4</v>
      </c>
      <c r="AJ106" s="34">
        <f t="shared" si="25"/>
        <v>0.1323659756791257</v>
      </c>
      <c r="AK106" s="34">
        <f t="shared" si="49"/>
        <v>36.50187234917869</v>
      </c>
      <c r="AL106" s="34">
        <v>2.3289729133329802</v>
      </c>
    </row>
    <row r="107" spans="2:38" x14ac:dyDescent="0.25">
      <c r="C107" s="34">
        <f t="shared" si="34"/>
        <v>105</v>
      </c>
      <c r="D107" s="34">
        <v>14.5</v>
      </c>
      <c r="E107" s="34">
        <f t="shared" si="26"/>
        <v>23.335449319159206</v>
      </c>
      <c r="F107" s="34">
        <f t="shared" si="35"/>
        <v>6.4820692553220018</v>
      </c>
      <c r="G107" s="37">
        <f t="shared" si="36"/>
        <v>835.62813486280345</v>
      </c>
      <c r="H107" s="34">
        <f t="shared" si="37"/>
        <v>6.4820692553220018</v>
      </c>
      <c r="I107" s="34">
        <f t="shared" si="38"/>
        <v>0</v>
      </c>
      <c r="J107" s="34">
        <f t="shared" si="39"/>
        <v>2</v>
      </c>
      <c r="K107" s="34">
        <v>0</v>
      </c>
      <c r="L107" s="34">
        <f>('Specification &amp; Data'!B$22*'Specification &amp; Data'!B$10*'Specification &amp; Data'!B$20*(Simulation!F107^2-'Specification &amp; Data'!B$21^2))/2</f>
        <v>17.415496992806233</v>
      </c>
      <c r="M107" s="34">
        <f t="shared" si="40"/>
        <v>0</v>
      </c>
      <c r="N107" s="34">
        <f>'Specification &amp; Data'!B$23*'Specification &amp; Data'!B$18*8.91</f>
        <v>60.4296693</v>
      </c>
      <c r="O107" s="34">
        <f t="shared" si="27"/>
        <v>77.845166292806226</v>
      </c>
      <c r="P107" s="40">
        <f t="shared" si="28"/>
        <v>77.845166292806226</v>
      </c>
      <c r="Q107" s="34">
        <f>IF(J107=1,'Specification &amp; Data'!B$52,IF(Simulation!J107=2,'Specification &amp; Data'!B$53,IF(Simulation!J107=3,'Specification &amp; Data'!B$54)))</f>
        <v>568.92541410528543</v>
      </c>
      <c r="R107" s="34">
        <f>(0.5*'Specification &amp; Data'!B$18*Simulation!F107^2)/1000</f>
        <v>10.960402400670917</v>
      </c>
      <c r="T107" s="40">
        <f>P107*'Specification &amp; Data'!B$14*0.9</f>
        <v>20.658909516167807</v>
      </c>
      <c r="U107" s="40">
        <f>T107/(IF(J107=1,'Specification &amp; Data'!H$7,IF(Simulation!J107=2,'Specification &amp; Data'!H$8,IF(Simulation!J107=3,'Specification &amp; Data'!H$9))))</f>
        <v>1.2394283342557038</v>
      </c>
      <c r="V107" s="40">
        <f t="shared" si="41"/>
        <v>7.9886474586637682E-3</v>
      </c>
      <c r="W107" s="40">
        <f t="shared" si="42"/>
        <v>2.0428164152214219E-2</v>
      </c>
      <c r="X107" s="40">
        <f t="shared" si="29"/>
        <v>0.50459775910202787</v>
      </c>
      <c r="Y107" s="40">
        <f t="shared" si="30"/>
        <v>0.67640450281773168</v>
      </c>
      <c r="Z107" s="40">
        <f t="shared" si="43"/>
        <v>3887.7226902711459</v>
      </c>
      <c r="AA107" s="40">
        <f t="shared" si="44"/>
        <v>1</v>
      </c>
      <c r="AB107" s="40">
        <f t="shared" si="45"/>
        <v>4000</v>
      </c>
      <c r="AC107" s="40">
        <f t="shared" si="31"/>
        <v>1.4016604419500773E-4</v>
      </c>
      <c r="AD107" s="40">
        <f t="shared" si="46"/>
        <v>7.4095423472217689E-2</v>
      </c>
      <c r="AE107" s="34">
        <f t="shared" si="47"/>
        <v>65.049611117342437</v>
      </c>
      <c r="AF107" s="34">
        <f t="shared" si="48"/>
        <v>0.50459775910202787</v>
      </c>
      <c r="AG107" s="34">
        <f t="shared" si="32"/>
        <v>0.67640450281773168</v>
      </c>
      <c r="AH107" s="34">
        <f>INDEX('Specification &amp; Data'!E$24:R$46,MATCH(Simulation!AA107,'Specification &amp; Data'!D$24:D$46,0),MATCH(Simulation!AB107,'Specification &amp; Data'!E$47:R$47,0))</f>
        <v>944.35122599999977</v>
      </c>
      <c r="AI107" s="34">
        <f t="shared" si="33"/>
        <v>1.4016604419500773E-4</v>
      </c>
      <c r="AJ107" s="34">
        <f t="shared" si="25"/>
        <v>0.1323659756791257</v>
      </c>
      <c r="AK107" s="34">
        <f t="shared" si="49"/>
        <v>36.634238324857819</v>
      </c>
      <c r="AL107" s="34">
        <v>2.3289729133329802</v>
      </c>
    </row>
    <row r="108" spans="2:38" x14ac:dyDescent="0.25">
      <c r="C108" s="34">
        <f t="shared" si="34"/>
        <v>106</v>
      </c>
      <c r="D108" s="34">
        <v>14.5</v>
      </c>
      <c r="E108" s="34">
        <f t="shared" si="26"/>
        <v>23.335449319159206</v>
      </c>
      <c r="F108" s="34">
        <f t="shared" si="35"/>
        <v>6.4820692553220018</v>
      </c>
      <c r="G108" s="37">
        <f t="shared" si="36"/>
        <v>842.11020411812547</v>
      </c>
      <c r="H108" s="34">
        <f t="shared" si="37"/>
        <v>6.4820692553220018</v>
      </c>
      <c r="I108" s="34">
        <f t="shared" si="38"/>
        <v>0</v>
      </c>
      <c r="J108" s="34">
        <f t="shared" si="39"/>
        <v>2</v>
      </c>
      <c r="K108" s="34">
        <v>0</v>
      </c>
      <c r="L108" s="34">
        <f>('Specification &amp; Data'!B$22*'Specification &amp; Data'!B$10*'Specification &amp; Data'!B$20*(Simulation!F108^2-'Specification &amp; Data'!B$21^2))/2</f>
        <v>17.415496992806233</v>
      </c>
      <c r="M108" s="34">
        <f t="shared" si="40"/>
        <v>0</v>
      </c>
      <c r="N108" s="34">
        <f>'Specification &amp; Data'!B$23*'Specification &amp; Data'!B$18*8.91</f>
        <v>60.4296693</v>
      </c>
      <c r="O108" s="34">
        <f t="shared" si="27"/>
        <v>77.845166292806226</v>
      </c>
      <c r="P108" s="40">
        <f t="shared" si="28"/>
        <v>77.845166292806226</v>
      </c>
      <c r="Q108" s="34">
        <f>IF(J108=1,'Specification &amp; Data'!B$52,IF(Simulation!J108=2,'Specification &amp; Data'!B$53,IF(Simulation!J108=3,'Specification &amp; Data'!B$54)))</f>
        <v>568.92541410528543</v>
      </c>
      <c r="R108" s="34">
        <f>(0.5*'Specification &amp; Data'!B$18*Simulation!F108^2)/1000</f>
        <v>10.960402400670917</v>
      </c>
      <c r="T108" s="40">
        <f>P108*'Specification &amp; Data'!B$14*0.9</f>
        <v>20.658909516167807</v>
      </c>
      <c r="U108" s="40">
        <f>T108/(IF(J108=1,'Specification &amp; Data'!H$7,IF(Simulation!J108=2,'Specification &amp; Data'!H$8,IF(Simulation!J108=3,'Specification &amp; Data'!H$9))))</f>
        <v>1.2394283342557038</v>
      </c>
      <c r="V108" s="40">
        <f t="shared" si="41"/>
        <v>8.0200053635591084E-3</v>
      </c>
      <c r="W108" s="40">
        <f t="shared" si="42"/>
        <v>2.0428164152214219E-2</v>
      </c>
      <c r="X108" s="40">
        <f t="shared" si="29"/>
        <v>0.50459775910202787</v>
      </c>
      <c r="Y108" s="40">
        <f t="shared" si="30"/>
        <v>0.67640450281773168</v>
      </c>
      <c r="Z108" s="40">
        <f t="shared" si="43"/>
        <v>3887.7226902711459</v>
      </c>
      <c r="AA108" s="40">
        <f t="shared" si="44"/>
        <v>1</v>
      </c>
      <c r="AB108" s="40">
        <f t="shared" si="45"/>
        <v>4000</v>
      </c>
      <c r="AC108" s="40">
        <f t="shared" si="31"/>
        <v>1.4016604419500773E-4</v>
      </c>
      <c r="AD108" s="40">
        <f t="shared" si="46"/>
        <v>7.4235589516412695E-2</v>
      </c>
      <c r="AE108" s="34">
        <f t="shared" si="47"/>
        <v>65.554208876444477</v>
      </c>
      <c r="AF108" s="34">
        <f t="shared" si="48"/>
        <v>0.50459775910202787</v>
      </c>
      <c r="AG108" s="34">
        <f t="shared" si="32"/>
        <v>0.67640450281773168</v>
      </c>
      <c r="AH108" s="34">
        <f>INDEX('Specification &amp; Data'!E$24:R$46,MATCH(Simulation!AA108,'Specification &amp; Data'!D$24:D$46,0),MATCH(Simulation!AB108,'Specification &amp; Data'!E$47:R$47,0))</f>
        <v>944.35122599999977</v>
      </c>
      <c r="AI108" s="34">
        <f t="shared" si="33"/>
        <v>1.4016604419500773E-4</v>
      </c>
      <c r="AJ108" s="34">
        <f t="shared" si="25"/>
        <v>0.1323659756791257</v>
      </c>
      <c r="AK108" s="34">
        <f t="shared" si="49"/>
        <v>36.766604300536947</v>
      </c>
      <c r="AL108" s="34">
        <v>2.3289729133329802</v>
      </c>
    </row>
    <row r="109" spans="2:38" x14ac:dyDescent="0.25">
      <c r="C109" s="34">
        <f t="shared" si="34"/>
        <v>107</v>
      </c>
      <c r="D109" s="34">
        <v>14.5</v>
      </c>
      <c r="E109" s="34">
        <f t="shared" si="26"/>
        <v>23.335449319159206</v>
      </c>
      <c r="F109" s="34">
        <f t="shared" si="35"/>
        <v>6.4820692553220018</v>
      </c>
      <c r="G109" s="37">
        <f t="shared" si="36"/>
        <v>848.59227337344748</v>
      </c>
      <c r="H109" s="34">
        <f t="shared" si="37"/>
        <v>6.4820692553220018</v>
      </c>
      <c r="I109" s="34">
        <f t="shared" si="38"/>
        <v>0</v>
      </c>
      <c r="J109" s="34">
        <f t="shared" si="39"/>
        <v>2</v>
      </c>
      <c r="K109" s="34">
        <v>0</v>
      </c>
      <c r="L109" s="34">
        <f>('Specification &amp; Data'!B$22*'Specification &amp; Data'!B$10*'Specification &amp; Data'!B$20*(Simulation!F109^2-'Specification &amp; Data'!B$21^2))/2</f>
        <v>17.415496992806233</v>
      </c>
      <c r="M109" s="34">
        <f t="shared" si="40"/>
        <v>0</v>
      </c>
      <c r="N109" s="34">
        <f>'Specification &amp; Data'!B$23*'Specification &amp; Data'!B$18*8.91</f>
        <v>60.4296693</v>
      </c>
      <c r="O109" s="34">
        <f t="shared" si="27"/>
        <v>77.845166292806226</v>
      </c>
      <c r="P109" s="40">
        <f t="shared" si="28"/>
        <v>77.845166292806226</v>
      </c>
      <c r="Q109" s="34">
        <f>IF(J109=1,'Specification &amp; Data'!B$52,IF(Simulation!J109=2,'Specification &amp; Data'!B$53,IF(Simulation!J109=3,'Specification &amp; Data'!B$54)))</f>
        <v>568.92541410528543</v>
      </c>
      <c r="R109" s="34">
        <f>(0.5*'Specification &amp; Data'!B$18*Simulation!F109^2)/1000</f>
        <v>10.960402400670917</v>
      </c>
      <c r="T109" s="40">
        <f>P109*'Specification &amp; Data'!B$14*0.9</f>
        <v>20.658909516167807</v>
      </c>
      <c r="U109" s="40">
        <f>T109/(IF(J109=1,'Specification &amp; Data'!H$7,IF(Simulation!J109=2,'Specification &amp; Data'!H$8,IF(Simulation!J109=3,'Specification &amp; Data'!H$9))))</f>
        <v>1.2394283342557038</v>
      </c>
      <c r="V109" s="40">
        <f t="shared" si="41"/>
        <v>8.0513632684544485E-3</v>
      </c>
      <c r="W109" s="40">
        <f t="shared" si="42"/>
        <v>2.0428164152214219E-2</v>
      </c>
      <c r="X109" s="40">
        <f t="shared" si="29"/>
        <v>0.50459775910202787</v>
      </c>
      <c r="Y109" s="40">
        <f t="shared" si="30"/>
        <v>0.67640450281773168</v>
      </c>
      <c r="Z109" s="40">
        <f t="shared" si="43"/>
        <v>3887.7226902711459</v>
      </c>
      <c r="AA109" s="40">
        <f t="shared" si="44"/>
        <v>1</v>
      </c>
      <c r="AB109" s="40">
        <f t="shared" si="45"/>
        <v>4000</v>
      </c>
      <c r="AC109" s="40">
        <f t="shared" si="31"/>
        <v>1.4016604419500773E-4</v>
      </c>
      <c r="AD109" s="40">
        <f t="shared" si="46"/>
        <v>7.4375755560607701E-2</v>
      </c>
      <c r="AE109" s="34">
        <f t="shared" si="47"/>
        <v>66.058806635546503</v>
      </c>
      <c r="AF109" s="34">
        <f t="shared" si="48"/>
        <v>0.50459775910202787</v>
      </c>
      <c r="AG109" s="34">
        <f t="shared" si="32"/>
        <v>0.67640450281773168</v>
      </c>
      <c r="AH109" s="34">
        <f>INDEX('Specification &amp; Data'!E$24:R$46,MATCH(Simulation!AA109,'Specification &amp; Data'!D$24:D$46,0),MATCH(Simulation!AB109,'Specification &amp; Data'!E$47:R$47,0))</f>
        <v>944.35122599999977</v>
      </c>
      <c r="AI109" s="34">
        <f t="shared" si="33"/>
        <v>1.4016604419500773E-4</v>
      </c>
      <c r="AJ109" s="34">
        <f t="shared" si="25"/>
        <v>0.1323659756791257</v>
      </c>
      <c r="AK109" s="34">
        <f t="shared" si="49"/>
        <v>36.898970276216076</v>
      </c>
      <c r="AL109" s="34">
        <v>2.3289729133329802</v>
      </c>
    </row>
    <row r="110" spans="2:38" x14ac:dyDescent="0.25">
      <c r="C110" s="34">
        <f t="shared" si="34"/>
        <v>108</v>
      </c>
      <c r="D110" s="34">
        <v>14.5</v>
      </c>
      <c r="E110" s="34">
        <f t="shared" si="26"/>
        <v>23.335449319159206</v>
      </c>
      <c r="F110" s="34">
        <f t="shared" si="35"/>
        <v>6.4820692553220018</v>
      </c>
      <c r="G110" s="37">
        <f t="shared" si="36"/>
        <v>855.0743426287695</v>
      </c>
      <c r="H110" s="34">
        <f t="shared" si="37"/>
        <v>6.4820692553220018</v>
      </c>
      <c r="I110" s="34">
        <f t="shared" si="38"/>
        <v>0</v>
      </c>
      <c r="J110" s="34">
        <f t="shared" si="39"/>
        <v>2</v>
      </c>
      <c r="K110" s="34">
        <v>0</v>
      </c>
      <c r="L110" s="34">
        <f>('Specification &amp; Data'!B$22*'Specification &amp; Data'!B$10*'Specification &amp; Data'!B$20*(Simulation!F110^2-'Specification &amp; Data'!B$21^2))/2</f>
        <v>17.415496992806233</v>
      </c>
      <c r="M110" s="34">
        <f t="shared" si="40"/>
        <v>0</v>
      </c>
      <c r="N110" s="34">
        <f>'Specification &amp; Data'!B$23*'Specification &amp; Data'!B$18*8.91</f>
        <v>60.4296693</v>
      </c>
      <c r="O110" s="34">
        <f t="shared" si="27"/>
        <v>77.845166292806226</v>
      </c>
      <c r="P110" s="40">
        <f t="shared" si="28"/>
        <v>77.845166292806226</v>
      </c>
      <c r="Q110" s="34">
        <f>IF(J110=1,'Specification &amp; Data'!B$52,IF(Simulation!J110=2,'Specification &amp; Data'!B$53,IF(Simulation!J110=3,'Specification &amp; Data'!B$54)))</f>
        <v>568.92541410528543</v>
      </c>
      <c r="R110" s="34">
        <f>(0.5*'Specification &amp; Data'!B$18*Simulation!F110^2)/1000</f>
        <v>10.960402400670917</v>
      </c>
      <c r="T110" s="40">
        <f>P110*'Specification &amp; Data'!B$14*0.9</f>
        <v>20.658909516167807</v>
      </c>
      <c r="U110" s="40">
        <f>T110/(IF(J110=1,'Specification &amp; Data'!H$7,IF(Simulation!J110=2,'Specification &amp; Data'!H$8,IF(Simulation!J110=3,'Specification &amp; Data'!H$9))))</f>
        <v>1.2394283342557038</v>
      </c>
      <c r="V110" s="40">
        <f t="shared" si="41"/>
        <v>8.0827211733497887E-3</v>
      </c>
      <c r="W110" s="40">
        <f t="shared" si="42"/>
        <v>2.0428164152214219E-2</v>
      </c>
      <c r="X110" s="40">
        <f t="shared" si="29"/>
        <v>0.50459775910202787</v>
      </c>
      <c r="Y110" s="40">
        <f t="shared" si="30"/>
        <v>0.67640450281773168</v>
      </c>
      <c r="Z110" s="40">
        <f t="shared" si="43"/>
        <v>3887.7226902711459</v>
      </c>
      <c r="AA110" s="40">
        <f t="shared" si="44"/>
        <v>1</v>
      </c>
      <c r="AB110" s="40">
        <f t="shared" si="45"/>
        <v>4000</v>
      </c>
      <c r="AC110" s="40">
        <f t="shared" si="31"/>
        <v>1.4016604419500773E-4</v>
      </c>
      <c r="AD110" s="40">
        <f t="shared" si="46"/>
        <v>7.4515921604802707E-2</v>
      </c>
      <c r="AE110" s="34">
        <f t="shared" si="47"/>
        <v>66.563404394648529</v>
      </c>
      <c r="AF110" s="34">
        <f t="shared" si="48"/>
        <v>0.50459775910202787</v>
      </c>
      <c r="AG110" s="34">
        <f t="shared" si="32"/>
        <v>0.67640450281773168</v>
      </c>
      <c r="AH110" s="34">
        <f>INDEX('Specification &amp; Data'!E$24:R$46,MATCH(Simulation!AA110,'Specification &amp; Data'!D$24:D$46,0),MATCH(Simulation!AB110,'Specification &amp; Data'!E$47:R$47,0))</f>
        <v>944.35122599999977</v>
      </c>
      <c r="AI110" s="34">
        <f t="shared" si="33"/>
        <v>1.4016604419500773E-4</v>
      </c>
      <c r="AJ110" s="34">
        <f t="shared" si="25"/>
        <v>0.1323659756791257</v>
      </c>
      <c r="AK110" s="34">
        <f t="shared" si="49"/>
        <v>37.031336251895205</v>
      </c>
      <c r="AL110" s="34">
        <v>2.3289729133329802</v>
      </c>
    </row>
    <row r="111" spans="2:38" x14ac:dyDescent="0.25">
      <c r="C111" s="34">
        <f t="shared" si="34"/>
        <v>109</v>
      </c>
      <c r="D111" s="34">
        <v>14.5</v>
      </c>
      <c r="E111" s="34">
        <f t="shared" si="26"/>
        <v>23.335449319159206</v>
      </c>
      <c r="F111" s="34">
        <f t="shared" si="35"/>
        <v>6.4820692553220018</v>
      </c>
      <c r="G111" s="37">
        <f t="shared" si="36"/>
        <v>861.55641188409152</v>
      </c>
      <c r="H111" s="34">
        <f t="shared" si="37"/>
        <v>6.4820692553220018</v>
      </c>
      <c r="I111" s="34">
        <f t="shared" si="38"/>
        <v>0</v>
      </c>
      <c r="J111" s="34">
        <f t="shared" si="39"/>
        <v>2</v>
      </c>
      <c r="K111" s="34">
        <v>0</v>
      </c>
      <c r="L111" s="34">
        <f>('Specification &amp; Data'!B$22*'Specification &amp; Data'!B$10*'Specification &amp; Data'!B$20*(Simulation!F111^2-'Specification &amp; Data'!B$21^2))/2</f>
        <v>17.415496992806233</v>
      </c>
      <c r="M111" s="34">
        <f t="shared" si="40"/>
        <v>0</v>
      </c>
      <c r="N111" s="34">
        <f>'Specification &amp; Data'!B$23*'Specification &amp; Data'!B$18*8.91</f>
        <v>60.4296693</v>
      </c>
      <c r="O111" s="34">
        <f t="shared" si="27"/>
        <v>77.845166292806226</v>
      </c>
      <c r="P111" s="40">
        <f t="shared" si="28"/>
        <v>77.845166292806226</v>
      </c>
      <c r="Q111" s="34">
        <f>IF(J111=1,'Specification &amp; Data'!B$52,IF(Simulation!J111=2,'Specification &amp; Data'!B$53,IF(Simulation!J111=3,'Specification &amp; Data'!B$54)))</f>
        <v>568.92541410528543</v>
      </c>
      <c r="R111" s="34">
        <f>(0.5*'Specification &amp; Data'!B$18*Simulation!F111^2)/1000</f>
        <v>10.960402400670917</v>
      </c>
      <c r="T111" s="40">
        <f>P111*'Specification &amp; Data'!B$14*0.9</f>
        <v>20.658909516167807</v>
      </c>
      <c r="U111" s="40">
        <f>T111/(IF(J111=1,'Specification &amp; Data'!H$7,IF(Simulation!J111=2,'Specification &amp; Data'!H$8,IF(Simulation!J111=3,'Specification &amp; Data'!H$9))))</f>
        <v>1.2394283342557038</v>
      </c>
      <c r="V111" s="40">
        <f t="shared" si="41"/>
        <v>8.1140790782451289E-3</v>
      </c>
      <c r="W111" s="40">
        <f t="shared" si="42"/>
        <v>2.0428164152214219E-2</v>
      </c>
      <c r="X111" s="40">
        <f t="shared" si="29"/>
        <v>0.50459775910202787</v>
      </c>
      <c r="Y111" s="40">
        <f t="shared" si="30"/>
        <v>0.67640450281773168</v>
      </c>
      <c r="Z111" s="40">
        <f t="shared" si="43"/>
        <v>3887.7226902711459</v>
      </c>
      <c r="AA111" s="40">
        <f t="shared" si="44"/>
        <v>1</v>
      </c>
      <c r="AB111" s="40">
        <f t="shared" si="45"/>
        <v>4000</v>
      </c>
      <c r="AC111" s="40">
        <f t="shared" si="31"/>
        <v>1.4016604419500773E-4</v>
      </c>
      <c r="AD111" s="40">
        <f t="shared" si="46"/>
        <v>7.4656087648997713E-2</v>
      </c>
      <c r="AE111" s="34">
        <f t="shared" si="47"/>
        <v>67.068002153750555</v>
      </c>
      <c r="AF111" s="34">
        <f t="shared" si="48"/>
        <v>0.50459775910202787</v>
      </c>
      <c r="AG111" s="34">
        <f t="shared" si="32"/>
        <v>0.67640450281773168</v>
      </c>
      <c r="AH111" s="34">
        <f>INDEX('Specification &amp; Data'!E$24:R$46,MATCH(Simulation!AA111,'Specification &amp; Data'!D$24:D$46,0),MATCH(Simulation!AB111,'Specification &amp; Data'!E$47:R$47,0))</f>
        <v>944.35122599999977</v>
      </c>
      <c r="AI111" s="34">
        <f t="shared" si="33"/>
        <v>1.4016604419500773E-4</v>
      </c>
      <c r="AJ111" s="34">
        <f t="shared" si="25"/>
        <v>0.1323659756791257</v>
      </c>
      <c r="AK111" s="34">
        <f t="shared" si="49"/>
        <v>37.163702227574333</v>
      </c>
      <c r="AL111" s="34">
        <v>2.3289729133329802</v>
      </c>
    </row>
    <row r="112" spans="2:38" x14ac:dyDescent="0.25">
      <c r="B112" s="36" t="s">
        <v>120</v>
      </c>
      <c r="C112" s="34">
        <f t="shared" si="34"/>
        <v>110</v>
      </c>
      <c r="D112" s="34">
        <v>14.5</v>
      </c>
      <c r="E112" s="34">
        <f t="shared" si="26"/>
        <v>23.335449319159206</v>
      </c>
      <c r="F112" s="34">
        <f t="shared" si="35"/>
        <v>6.4820692553220018</v>
      </c>
      <c r="G112" s="37">
        <f t="shared" si="36"/>
        <v>868.03848113941353</v>
      </c>
      <c r="H112" s="34">
        <f t="shared" si="37"/>
        <v>6.4820692553220018</v>
      </c>
      <c r="I112" s="34">
        <f t="shared" si="38"/>
        <v>0</v>
      </c>
      <c r="J112" s="34">
        <f t="shared" si="39"/>
        <v>2</v>
      </c>
      <c r="K112" s="34">
        <v>0</v>
      </c>
      <c r="L112" s="34">
        <f>('Specification &amp; Data'!B$22*'Specification &amp; Data'!B$10*'Specification &amp; Data'!B$20*(Simulation!F112^2-'Specification &amp; Data'!B$21^2))/2</f>
        <v>17.415496992806233</v>
      </c>
      <c r="M112" s="34">
        <f t="shared" si="40"/>
        <v>0</v>
      </c>
      <c r="N112" s="34">
        <f>'Specification &amp; Data'!B$23*'Specification &amp; Data'!B$18*8.91</f>
        <v>60.4296693</v>
      </c>
      <c r="O112" s="34">
        <f t="shared" si="27"/>
        <v>77.845166292806226</v>
      </c>
      <c r="P112" s="40">
        <f t="shared" si="28"/>
        <v>77.845166292806226</v>
      </c>
      <c r="Q112" s="34">
        <f>IF(J112=1,'Specification &amp; Data'!B$52,IF(Simulation!J112=2,'Specification &amp; Data'!B$53,IF(Simulation!J112=3,'Specification &amp; Data'!B$54)))</f>
        <v>568.92541410528543</v>
      </c>
      <c r="R112" s="34">
        <f>(0.5*'Specification &amp; Data'!B$18*Simulation!F112^2)/1000</f>
        <v>10.960402400670917</v>
      </c>
      <c r="T112" s="40">
        <f>P112*'Specification &amp; Data'!B$14*0.9</f>
        <v>20.658909516167807</v>
      </c>
      <c r="U112" s="40">
        <f>T112/(IF(J112=1,'Specification &amp; Data'!H$7,IF(Simulation!J112=2,'Specification &amp; Data'!H$8,IF(Simulation!J112=3,'Specification &amp; Data'!H$9))))</f>
        <v>1.2394283342557038</v>
      </c>
      <c r="V112" s="40">
        <f t="shared" si="41"/>
        <v>8.145436983140469E-3</v>
      </c>
      <c r="W112" s="40">
        <f t="shared" si="42"/>
        <v>2.0428164152214219E-2</v>
      </c>
      <c r="X112" s="40">
        <f t="shared" si="29"/>
        <v>0.50459775910202787</v>
      </c>
      <c r="Y112" s="40">
        <f t="shared" si="30"/>
        <v>0.67640450281773168</v>
      </c>
      <c r="Z112" s="40">
        <f t="shared" si="43"/>
        <v>3887.7226902711459</v>
      </c>
      <c r="AA112" s="40">
        <f t="shared" si="44"/>
        <v>1</v>
      </c>
      <c r="AB112" s="40">
        <f t="shared" si="45"/>
        <v>4000</v>
      </c>
      <c r="AC112" s="40">
        <f t="shared" si="31"/>
        <v>1.4016604419500773E-4</v>
      </c>
      <c r="AD112" s="40">
        <f t="shared" si="46"/>
        <v>7.4796253693192719E-2</v>
      </c>
      <c r="AE112" s="34">
        <f t="shared" si="47"/>
        <v>67.572599912852581</v>
      </c>
      <c r="AF112" s="34">
        <f t="shared" si="48"/>
        <v>0.50459775910202787</v>
      </c>
      <c r="AG112" s="34">
        <f t="shared" si="32"/>
        <v>0.67640450281773168</v>
      </c>
      <c r="AH112" s="34">
        <f>INDEX('Specification &amp; Data'!E$24:R$46,MATCH(Simulation!AA112,'Specification &amp; Data'!D$24:D$46,0),MATCH(Simulation!AB112,'Specification &amp; Data'!E$47:R$47,0))</f>
        <v>944.35122599999977</v>
      </c>
      <c r="AI112" s="34">
        <f t="shared" si="33"/>
        <v>1.4016604419500773E-4</v>
      </c>
      <c r="AJ112" s="34">
        <f t="shared" si="25"/>
        <v>0.1323659756791257</v>
      </c>
      <c r="AK112" s="34">
        <f t="shared" si="49"/>
        <v>37.296068203253462</v>
      </c>
      <c r="AL112" s="34">
        <v>2.3289729133329802</v>
      </c>
    </row>
    <row r="113" spans="1:38" x14ac:dyDescent="0.25">
      <c r="C113" s="34">
        <f t="shared" si="34"/>
        <v>111</v>
      </c>
      <c r="D113" s="34">
        <v>15.5</v>
      </c>
      <c r="E113" s="34">
        <f t="shared" si="26"/>
        <v>24.944790651515017</v>
      </c>
      <c r="F113" s="34">
        <f t="shared" si="35"/>
        <v>6.9291085143097266</v>
      </c>
      <c r="G113" s="37">
        <f t="shared" si="36"/>
        <v>874.74407002422936</v>
      </c>
      <c r="H113" s="34">
        <f t="shared" si="37"/>
        <v>6.7055888848158638</v>
      </c>
      <c r="I113" s="34">
        <f t="shared" si="38"/>
        <v>0.4470392589877239</v>
      </c>
      <c r="J113" s="34">
        <f t="shared" si="39"/>
        <v>2</v>
      </c>
      <c r="K113" s="34">
        <v>0</v>
      </c>
      <c r="L113" s="34">
        <f>('Specification &amp; Data'!B$22*'Specification &amp; Data'!B$10*'Specification &amp; Data'!B$20*(Simulation!F113^2-'Specification &amp; Data'!B$21^2))/2</f>
        <v>20.234053900710336</v>
      </c>
      <c r="M113" s="34">
        <f t="shared" si="40"/>
        <v>254.33199554091075</v>
      </c>
      <c r="N113" s="34">
        <f>'Specification &amp; Data'!B$23*'Specification &amp; Data'!B$18*8.91</f>
        <v>60.4296693</v>
      </c>
      <c r="O113" s="34">
        <f t="shared" si="27"/>
        <v>334.99571874162109</v>
      </c>
      <c r="P113" s="40">
        <f t="shared" si="28"/>
        <v>334.99571874162109</v>
      </c>
      <c r="Q113" s="34">
        <f>IF(J113=1,'Specification &amp; Data'!B$52,IF(Simulation!J113=2,'Specification &amp; Data'!B$53,IF(Simulation!J113=3,'Specification &amp; Data'!B$54)))</f>
        <v>568.92541410528543</v>
      </c>
      <c r="R113" s="34">
        <f>(0.5*'Specification &amp; Data'!B$18*Simulation!F113^2)/1000</f>
        <v>12.524312374607316</v>
      </c>
      <c r="T113" s="40">
        <f>P113*'Specification &amp; Data'!B$14*0.9</f>
        <v>88.902709973737913</v>
      </c>
      <c r="U113" s="40">
        <f>T113/(IF(J113=1,'Specification &amp; Data'!H$7,IF(Simulation!J113=2,'Specification &amp; Data'!H$8,IF(Simulation!J113=3,'Specification &amp; Data'!H$9))))</f>
        <v>5.333705423673675</v>
      </c>
      <c r="V113" s="40">
        <f t="shared" si="41"/>
        <v>8.1843825262411397E-3</v>
      </c>
      <c r="W113" s="40">
        <f t="shared" si="42"/>
        <v>2.0428164152214219E-2</v>
      </c>
      <c r="X113" s="40">
        <f t="shared" si="29"/>
        <v>2.321221686989873</v>
      </c>
      <c r="Y113" s="40">
        <f t="shared" si="30"/>
        <v>3.1115572211660494</v>
      </c>
      <c r="Z113" s="40">
        <f t="shared" si="43"/>
        <v>4155.8414964967405</v>
      </c>
      <c r="AA113" s="40">
        <f t="shared" si="44"/>
        <v>5</v>
      </c>
      <c r="AB113" s="40">
        <f t="shared" si="45"/>
        <v>4000</v>
      </c>
      <c r="AC113" s="40">
        <f t="shared" si="31"/>
        <v>6.4478380194163138E-4</v>
      </c>
      <c r="AD113" s="40">
        <f t="shared" si="46"/>
        <v>7.5441037495134353E-2</v>
      </c>
      <c r="AE113" s="34">
        <f t="shared" si="47"/>
        <v>293.03551845273768</v>
      </c>
      <c r="AF113" s="34">
        <f t="shared" si="48"/>
        <v>2.321221686989873</v>
      </c>
      <c r="AG113" s="34">
        <f t="shared" si="32"/>
        <v>3.1115572211660494</v>
      </c>
      <c r="AH113" s="34">
        <f>INDEX('Specification &amp; Data'!E$24:R$46,MATCH(Simulation!AA113,'Specification &amp; Data'!D$24:D$46,0),MATCH(Simulation!AB113,'Specification &amp; Data'!E$47:R$47,0))</f>
        <v>651.64144500000009</v>
      </c>
      <c r="AI113" s="34">
        <f t="shared" si="33"/>
        <v>6.4478380194163138E-4</v>
      </c>
      <c r="AJ113" s="34">
        <f t="shared" si="25"/>
        <v>0.42016784840983856</v>
      </c>
      <c r="AK113" s="34">
        <f t="shared" si="49"/>
        <v>37.716236051663302</v>
      </c>
      <c r="AL113" s="34">
        <v>2.3289729133329802</v>
      </c>
    </row>
    <row r="114" spans="1:38" x14ac:dyDescent="0.25">
      <c r="C114" s="34">
        <f t="shared" si="34"/>
        <v>112</v>
      </c>
      <c r="D114" s="34">
        <v>17</v>
      </c>
      <c r="E114" s="34">
        <f t="shared" si="26"/>
        <v>27.358802650048727</v>
      </c>
      <c r="F114" s="34">
        <f t="shared" si="35"/>
        <v>7.5996674027913125</v>
      </c>
      <c r="G114" s="37">
        <f t="shared" si="36"/>
        <v>882.00845798277987</v>
      </c>
      <c r="H114" s="34">
        <f t="shared" si="37"/>
        <v>7.26438795855052</v>
      </c>
      <c r="I114" s="34">
        <f t="shared" si="38"/>
        <v>0.67055888848158673</v>
      </c>
      <c r="J114" s="34">
        <f t="shared" si="39"/>
        <v>2</v>
      </c>
      <c r="K114" s="34">
        <v>0</v>
      </c>
      <c r="L114" s="34">
        <f>('Specification &amp; Data'!B$22*'Specification &amp; Data'!B$10*'Specification &amp; Data'!B$20*(Simulation!F114^2-'Specification &amp; Data'!B$21^2))/2</f>
        <v>24.81420887605449</v>
      </c>
      <c r="M114" s="34">
        <f t="shared" si="40"/>
        <v>381.49799331136666</v>
      </c>
      <c r="N114" s="34">
        <f>'Specification &amp; Data'!B$23*'Specification &amp; Data'!B$18*8.91</f>
        <v>60.4296693</v>
      </c>
      <c r="O114" s="34">
        <f t="shared" si="27"/>
        <v>466.74187148742112</v>
      </c>
      <c r="P114" s="40">
        <f t="shared" si="28"/>
        <v>466.74187148742112</v>
      </c>
      <c r="Q114" s="34">
        <f>IF(J114=1,'Specification &amp; Data'!B$52,IF(Simulation!J114=2,'Specification &amp; Data'!B$53,IF(Simulation!J114=3,'Specification &amp; Data'!B$54)))</f>
        <v>568.92541410528543</v>
      </c>
      <c r="R114" s="34">
        <f>(0.5*'Specification &amp; Data'!B$18*Simulation!F114^2)/1000</f>
        <v>15.06566608225396</v>
      </c>
      <c r="T114" s="40">
        <f>P114*'Specification &amp; Data'!B$14*0.9</f>
        <v>123.86611204858484</v>
      </c>
      <c r="U114" s="40">
        <f>T114/(IF(J114=1,'Specification &amp; Data'!H$7,IF(Simulation!J114=2,'Specification &amp; Data'!H$8,IF(Simulation!J114=3,'Specification &amp; Data'!H$9))))</f>
        <v>7.4313297517935082</v>
      </c>
      <c r="V114" s="40">
        <f t="shared" si="41"/>
        <v>8.2367657857748636E-3</v>
      </c>
      <c r="W114" s="40">
        <f t="shared" si="42"/>
        <v>2.0428164152214219E-2</v>
      </c>
      <c r="X114" s="40">
        <f t="shared" si="29"/>
        <v>3.547082986260766</v>
      </c>
      <c r="Y114" s="40">
        <f t="shared" si="30"/>
        <v>4.754802930644459</v>
      </c>
      <c r="Z114" s="40">
        <f t="shared" si="43"/>
        <v>4558.0197058351368</v>
      </c>
      <c r="AA114" s="40">
        <f t="shared" si="44"/>
        <v>7</v>
      </c>
      <c r="AB114" s="40">
        <f t="shared" si="45"/>
        <v>4500</v>
      </c>
      <c r="AC114" s="40">
        <f t="shared" si="31"/>
        <v>9.8530082951687938E-4</v>
      </c>
      <c r="AD114" s="40">
        <f t="shared" si="46"/>
        <v>7.6426338324651233E-2</v>
      </c>
      <c r="AE114" s="34">
        <f t="shared" si="47"/>
        <v>411.67027834661712</v>
      </c>
      <c r="AF114" s="34">
        <f t="shared" si="48"/>
        <v>3.547082986260766</v>
      </c>
      <c r="AG114" s="34">
        <f t="shared" si="32"/>
        <v>4.754802930644459</v>
      </c>
      <c r="AH114" s="34">
        <f>INDEX('Specification &amp; Data'!E$24:R$46,MATCH(Simulation!AA114,'Specification &amp; Data'!D$24:D$46,0),MATCH(Simulation!AB114,'Specification &amp; Data'!E$47:R$47,0))</f>
        <v>525.11244421289075</v>
      </c>
      <c r="AI114" s="34">
        <f t="shared" si="33"/>
        <v>9.8530082951687938E-4</v>
      </c>
      <c r="AJ114" s="34">
        <f t="shared" si="25"/>
        <v>0.51739372687259733</v>
      </c>
      <c r="AK114" s="34">
        <f t="shared" si="49"/>
        <v>38.233629778535899</v>
      </c>
      <c r="AL114" s="34">
        <v>2.3289729133329802</v>
      </c>
    </row>
    <row r="115" spans="1:38" x14ac:dyDescent="0.25">
      <c r="C115" s="34">
        <f t="shared" si="34"/>
        <v>113</v>
      </c>
      <c r="D115" s="34">
        <v>17.5</v>
      </c>
      <c r="E115" s="34">
        <f t="shared" si="26"/>
        <v>28.163473316226629</v>
      </c>
      <c r="F115" s="34">
        <f t="shared" si="35"/>
        <v>7.8231870322851744</v>
      </c>
      <c r="G115" s="37">
        <f t="shared" si="36"/>
        <v>889.71988520031812</v>
      </c>
      <c r="H115" s="34">
        <f t="shared" si="37"/>
        <v>7.7114272175382439</v>
      </c>
      <c r="I115" s="34">
        <f t="shared" si="38"/>
        <v>0.22351962949386284</v>
      </c>
      <c r="J115" s="34">
        <f t="shared" si="39"/>
        <v>2</v>
      </c>
      <c r="K115" s="34">
        <v>0</v>
      </c>
      <c r="L115" s="34">
        <f>('Specification &amp; Data'!B$22*'Specification &amp; Data'!B$10*'Specification &amp; Data'!B$20*(Simulation!F115^2-'Specification &amp; Data'!B$21^2))/2</f>
        <v>26.434879098099351</v>
      </c>
      <c r="M115" s="34">
        <f t="shared" si="40"/>
        <v>127.16599777045589</v>
      </c>
      <c r="N115" s="34">
        <f>'Specification &amp; Data'!B$23*'Specification &amp; Data'!B$18*8.91</f>
        <v>60.4296693</v>
      </c>
      <c r="O115" s="34">
        <f t="shared" si="27"/>
        <v>214.03054616855525</v>
      </c>
      <c r="P115" s="40">
        <f t="shared" si="28"/>
        <v>214.03054616855525</v>
      </c>
      <c r="Q115" s="34">
        <f>IF(J115=1,'Specification &amp; Data'!B$52,IF(Simulation!J115=2,'Specification &amp; Data'!B$53,IF(Simulation!J115=3,'Specification &amp; Data'!B$54)))</f>
        <v>568.92541410528543</v>
      </c>
      <c r="R115" s="34">
        <f>(0.5*'Specification &amp; Data'!B$18*Simulation!F115^2)/1000</f>
        <v>15.964914317267388</v>
      </c>
      <c r="T115" s="40">
        <f>P115*'Specification &amp; Data'!B$14*0.9</f>
        <v>56.800414175501203</v>
      </c>
      <c r="U115" s="40">
        <f>T115/(IF(J115=1,'Specification &amp; Data'!H$7,IF(Simulation!J115=2,'Specification &amp; Data'!H$8,IF(Simulation!J115=3,'Specification &amp; Data'!H$9))))</f>
        <v>3.4077327591507167</v>
      </c>
      <c r="V115" s="40">
        <f t="shared" si="41"/>
        <v>8.2942116200416076E-3</v>
      </c>
      <c r="W115" s="40">
        <f t="shared" si="42"/>
        <v>2.0428164152214219E-2</v>
      </c>
      <c r="X115" s="40">
        <f t="shared" si="29"/>
        <v>1.6744009932987547</v>
      </c>
      <c r="Y115" s="40">
        <f t="shared" si="30"/>
        <v>2.2445053529473924</v>
      </c>
      <c r="Z115" s="40">
        <f t="shared" si="43"/>
        <v>4692.0791089479344</v>
      </c>
      <c r="AA115" s="40">
        <f t="shared" si="44"/>
        <v>3</v>
      </c>
      <c r="AB115" s="40">
        <f t="shared" si="45"/>
        <v>4500</v>
      </c>
      <c r="AC115" s="40">
        <f t="shared" si="31"/>
        <v>4.6511138702743184E-4</v>
      </c>
      <c r="AD115" s="40">
        <f t="shared" si="46"/>
        <v>7.6891449711678661E-2</v>
      </c>
      <c r="AE115" s="34">
        <f t="shared" si="47"/>
        <v>190.42723296644834</v>
      </c>
      <c r="AF115" s="34">
        <f t="shared" si="48"/>
        <v>1.6744009932987547</v>
      </c>
      <c r="AG115" s="34">
        <f t="shared" si="32"/>
        <v>2.2445053529473924</v>
      </c>
      <c r="AH115" s="34">
        <f>INDEX('Specification &amp; Data'!E$24:R$46,MATCH(Simulation!AA115,'Specification &amp; Data'!D$24:D$46,0),MATCH(Simulation!AB115,'Specification &amp; Data'!E$47:R$47,0))</f>
        <v>739.33341300000006</v>
      </c>
      <c r="AI115" s="34">
        <f t="shared" si="33"/>
        <v>4.6511138702743184E-4</v>
      </c>
      <c r="AJ115" s="34">
        <f t="shared" si="25"/>
        <v>0.34387238919615515</v>
      </c>
      <c r="AK115" s="34">
        <f t="shared" si="49"/>
        <v>38.577502167732057</v>
      </c>
      <c r="AL115" s="34">
        <v>2.3289729133329802</v>
      </c>
    </row>
    <row r="116" spans="1:38" x14ac:dyDescent="0.25">
      <c r="B116" s="36" t="s">
        <v>121</v>
      </c>
      <c r="C116" s="34">
        <f t="shared" si="34"/>
        <v>114</v>
      </c>
      <c r="D116" s="34">
        <v>17.5</v>
      </c>
      <c r="E116" s="34">
        <f t="shared" si="26"/>
        <v>28.163473316226629</v>
      </c>
      <c r="F116" s="34">
        <f t="shared" si="35"/>
        <v>7.8231870322851744</v>
      </c>
      <c r="G116" s="37">
        <f t="shared" si="36"/>
        <v>897.54307223260332</v>
      </c>
      <c r="H116" s="34">
        <f t="shared" si="37"/>
        <v>7.8231870322851744</v>
      </c>
      <c r="I116" s="34">
        <f t="shared" si="38"/>
        <v>0</v>
      </c>
      <c r="J116" s="34">
        <f t="shared" si="39"/>
        <v>2</v>
      </c>
      <c r="K116" s="34">
        <v>0</v>
      </c>
      <c r="L116" s="34">
        <f>('Specification &amp; Data'!B$22*'Specification &amp; Data'!B$10*'Specification &amp; Data'!B$20*(Simulation!F116^2-'Specification &amp; Data'!B$21^2))/2</f>
        <v>26.434879098099351</v>
      </c>
      <c r="M116" s="34">
        <f t="shared" si="40"/>
        <v>0</v>
      </c>
      <c r="N116" s="34">
        <f>'Specification &amp; Data'!B$23*'Specification &amp; Data'!B$18*8.91</f>
        <v>60.4296693</v>
      </c>
      <c r="O116" s="34">
        <f t="shared" si="27"/>
        <v>86.864548398099345</v>
      </c>
      <c r="P116" s="40">
        <f t="shared" si="28"/>
        <v>86.864548398099345</v>
      </c>
      <c r="Q116" s="34">
        <f>IF(J116=1,'Specification &amp; Data'!B$52,IF(Simulation!J116=2,'Specification &amp; Data'!B$53,IF(Simulation!J116=3,'Specification &amp; Data'!B$54)))</f>
        <v>568.92541410528543</v>
      </c>
      <c r="R116" s="34">
        <f>(0.5*'Specification &amp; Data'!B$18*Simulation!F116^2)/1000</f>
        <v>15.964914317267388</v>
      </c>
      <c r="T116" s="40">
        <f>P116*'Specification &amp; Data'!B$14*0.9</f>
        <v>23.052514767187905</v>
      </c>
      <c r="U116" s="40">
        <f>T116/(IF(J116=1,'Specification &amp; Data'!H$7,IF(Simulation!J116=2,'Specification &amp; Data'!H$8,IF(Simulation!J116=3,'Specification &amp; Data'!H$9))))</f>
        <v>1.383032340402097</v>
      </c>
      <c r="V116" s="40">
        <f t="shared" si="41"/>
        <v>8.3516574543083515E-3</v>
      </c>
      <c r="W116" s="40">
        <f t="shared" si="42"/>
        <v>2.0428164152214219E-2</v>
      </c>
      <c r="X116" s="40">
        <f t="shared" si="29"/>
        <v>0.67955760859331871</v>
      </c>
      <c r="Y116" s="40">
        <f t="shared" si="30"/>
        <v>0.91093513216262567</v>
      </c>
      <c r="Z116" s="40">
        <f t="shared" si="43"/>
        <v>4692.0791089479353</v>
      </c>
      <c r="AA116" s="40">
        <f t="shared" si="44"/>
        <v>1</v>
      </c>
      <c r="AB116" s="40">
        <f t="shared" si="45"/>
        <v>4500</v>
      </c>
      <c r="AC116" s="40">
        <f t="shared" si="31"/>
        <v>1.8876600238703297E-4</v>
      </c>
      <c r="AD116" s="40">
        <f t="shared" si="46"/>
        <v>7.7080215714065689E-2</v>
      </c>
      <c r="AE116" s="34">
        <f t="shared" si="47"/>
        <v>77.964673637327749</v>
      </c>
      <c r="AF116" s="34">
        <f t="shared" si="48"/>
        <v>0.67955760859331871</v>
      </c>
      <c r="AG116" s="34">
        <f t="shared" si="32"/>
        <v>0.91093513216262567</v>
      </c>
      <c r="AH116" s="34">
        <f>INDEX('Specification &amp; Data'!E$24:R$46,MATCH(Simulation!AA116,'Specification &amp; Data'!D$24:D$46,0),MATCH(Simulation!AB116,'Specification &amp; Data'!E$47:R$47,0))</f>
        <v>917.2780889999998</v>
      </c>
      <c r="AI116" s="34">
        <f t="shared" si="33"/>
        <v>1.8876600238703297E-4</v>
      </c>
      <c r="AJ116" s="34">
        <f t="shared" si="25"/>
        <v>0.17315091793774701</v>
      </c>
      <c r="AK116" s="34">
        <f t="shared" si="49"/>
        <v>38.750653085669803</v>
      </c>
      <c r="AL116" s="34">
        <v>2.3289729133329802</v>
      </c>
    </row>
    <row r="117" spans="1:38" x14ac:dyDescent="0.25">
      <c r="C117" s="34">
        <f t="shared" si="34"/>
        <v>115</v>
      </c>
      <c r="D117" s="34">
        <v>17.5</v>
      </c>
      <c r="E117" s="34">
        <f t="shared" si="26"/>
        <v>28.163473316226629</v>
      </c>
      <c r="F117" s="34">
        <f t="shared" si="35"/>
        <v>7.8231870322851744</v>
      </c>
      <c r="G117" s="37">
        <f t="shared" si="36"/>
        <v>905.36625926488853</v>
      </c>
      <c r="H117" s="34">
        <f t="shared" si="37"/>
        <v>7.8231870322851744</v>
      </c>
      <c r="I117" s="34">
        <f t="shared" si="38"/>
        <v>0</v>
      </c>
      <c r="J117" s="34">
        <f t="shared" si="39"/>
        <v>2</v>
      </c>
      <c r="K117" s="34">
        <v>0</v>
      </c>
      <c r="L117" s="34">
        <f>('Specification &amp; Data'!B$22*'Specification &amp; Data'!B$10*'Specification &amp; Data'!B$20*(Simulation!F117^2-'Specification &amp; Data'!B$21^2))/2</f>
        <v>26.434879098099351</v>
      </c>
      <c r="M117" s="34">
        <f t="shared" si="40"/>
        <v>0</v>
      </c>
      <c r="N117" s="34">
        <f>'Specification &amp; Data'!B$23*'Specification &amp; Data'!B$18*8.91</f>
        <v>60.4296693</v>
      </c>
      <c r="O117" s="34">
        <f t="shared" si="27"/>
        <v>86.864548398099345</v>
      </c>
      <c r="P117" s="40">
        <f t="shared" si="28"/>
        <v>86.864548398099345</v>
      </c>
      <c r="Q117" s="34">
        <f>IF(J117=1,'Specification &amp; Data'!B$52,IF(Simulation!J117=2,'Specification &amp; Data'!B$53,IF(Simulation!J117=3,'Specification &amp; Data'!B$54)))</f>
        <v>568.92541410528543</v>
      </c>
      <c r="R117" s="34">
        <f>(0.5*'Specification &amp; Data'!B$18*Simulation!F117^2)/1000</f>
        <v>15.964914317267388</v>
      </c>
      <c r="T117" s="40">
        <f>P117*'Specification &amp; Data'!B$14*0.9</f>
        <v>23.052514767187905</v>
      </c>
      <c r="U117" s="40">
        <f>T117/(IF(J117=1,'Specification &amp; Data'!H$7,IF(Simulation!J117=2,'Specification &amp; Data'!H$8,IF(Simulation!J117=3,'Specification &amp; Data'!H$9))))</f>
        <v>1.383032340402097</v>
      </c>
      <c r="V117" s="40">
        <f t="shared" si="41"/>
        <v>8.4091032885750955E-3</v>
      </c>
      <c r="W117" s="40">
        <f t="shared" si="42"/>
        <v>2.0428164152214219E-2</v>
      </c>
      <c r="X117" s="40">
        <f t="shared" si="29"/>
        <v>0.67955760859331871</v>
      </c>
      <c r="Y117" s="40">
        <f t="shared" si="30"/>
        <v>0.91093513216262567</v>
      </c>
      <c r="Z117" s="40">
        <f t="shared" si="43"/>
        <v>4692.0791089479353</v>
      </c>
      <c r="AA117" s="40">
        <f t="shared" si="44"/>
        <v>1</v>
      </c>
      <c r="AB117" s="40">
        <f t="shared" si="45"/>
        <v>4500</v>
      </c>
      <c r="AC117" s="40">
        <f t="shared" si="31"/>
        <v>1.8876600238703297E-4</v>
      </c>
      <c r="AD117" s="40">
        <f t="shared" si="46"/>
        <v>7.7268981716452717E-2</v>
      </c>
      <c r="AE117" s="34">
        <f t="shared" si="47"/>
        <v>78.644231245921063</v>
      </c>
      <c r="AF117" s="34">
        <f t="shared" si="48"/>
        <v>0.67955760859331871</v>
      </c>
      <c r="AG117" s="34">
        <f t="shared" si="32"/>
        <v>0.91093513216262567</v>
      </c>
      <c r="AH117" s="34">
        <f>INDEX('Specification &amp; Data'!E$24:R$46,MATCH(Simulation!AA117,'Specification &amp; Data'!D$24:D$46,0),MATCH(Simulation!AB117,'Specification &amp; Data'!E$47:R$47,0))</f>
        <v>917.2780889999998</v>
      </c>
      <c r="AI117" s="34">
        <f t="shared" si="33"/>
        <v>1.8876600238703297E-4</v>
      </c>
      <c r="AJ117" s="34">
        <f t="shared" si="25"/>
        <v>0.17315091793774701</v>
      </c>
      <c r="AK117" s="34">
        <f t="shared" si="49"/>
        <v>38.92380400360755</v>
      </c>
      <c r="AL117" s="34">
        <v>2.3289729133329802</v>
      </c>
    </row>
    <row r="118" spans="1:38" x14ac:dyDescent="0.25">
      <c r="C118" s="34">
        <f t="shared" si="34"/>
        <v>116</v>
      </c>
      <c r="D118" s="34">
        <v>17.5</v>
      </c>
      <c r="E118" s="34">
        <f t="shared" si="26"/>
        <v>28.163473316226629</v>
      </c>
      <c r="F118" s="34">
        <f t="shared" si="35"/>
        <v>7.8231870322851744</v>
      </c>
      <c r="G118" s="37">
        <f t="shared" si="36"/>
        <v>913.18944629717373</v>
      </c>
      <c r="H118" s="34">
        <f t="shared" si="37"/>
        <v>7.8231870322851744</v>
      </c>
      <c r="I118" s="34">
        <f t="shared" si="38"/>
        <v>0</v>
      </c>
      <c r="J118" s="34">
        <f t="shared" si="39"/>
        <v>2</v>
      </c>
      <c r="K118" s="34">
        <v>0</v>
      </c>
      <c r="L118" s="34">
        <f>('Specification &amp; Data'!B$22*'Specification &amp; Data'!B$10*'Specification &amp; Data'!B$20*(Simulation!F118^2-'Specification &amp; Data'!B$21^2))/2</f>
        <v>26.434879098099351</v>
      </c>
      <c r="M118" s="34">
        <f t="shared" si="40"/>
        <v>0</v>
      </c>
      <c r="N118" s="34">
        <f>'Specification &amp; Data'!B$23*'Specification &amp; Data'!B$18*8.91</f>
        <v>60.4296693</v>
      </c>
      <c r="O118" s="34">
        <f t="shared" si="27"/>
        <v>86.864548398099345</v>
      </c>
      <c r="P118" s="40">
        <f t="shared" si="28"/>
        <v>86.864548398099345</v>
      </c>
      <c r="Q118" s="34">
        <f>IF(J118=1,'Specification &amp; Data'!B$52,IF(Simulation!J118=2,'Specification &amp; Data'!B$53,IF(Simulation!J118=3,'Specification &amp; Data'!B$54)))</f>
        <v>568.92541410528543</v>
      </c>
      <c r="R118" s="34">
        <f>(0.5*'Specification &amp; Data'!B$18*Simulation!F118^2)/1000</f>
        <v>15.964914317267388</v>
      </c>
      <c r="T118" s="40">
        <f>P118*'Specification &amp; Data'!B$14*0.9</f>
        <v>23.052514767187905</v>
      </c>
      <c r="U118" s="40">
        <f>T118/(IF(J118=1,'Specification &amp; Data'!H$7,IF(Simulation!J118=2,'Specification &amp; Data'!H$8,IF(Simulation!J118=3,'Specification &amp; Data'!H$9))))</f>
        <v>1.383032340402097</v>
      </c>
      <c r="V118" s="40">
        <f t="shared" si="41"/>
        <v>8.4665491228418394E-3</v>
      </c>
      <c r="W118" s="40">
        <f t="shared" si="42"/>
        <v>2.0428164152214219E-2</v>
      </c>
      <c r="X118" s="40">
        <f t="shared" si="29"/>
        <v>0.67955760859331871</v>
      </c>
      <c r="Y118" s="40">
        <f t="shared" si="30"/>
        <v>0.91093513216262567</v>
      </c>
      <c r="Z118" s="40">
        <f t="shared" si="43"/>
        <v>4692.0791089479353</v>
      </c>
      <c r="AA118" s="40">
        <f t="shared" si="44"/>
        <v>1</v>
      </c>
      <c r="AB118" s="40">
        <f t="shared" si="45"/>
        <v>4500</v>
      </c>
      <c r="AC118" s="40">
        <f t="shared" si="31"/>
        <v>1.8876600238703297E-4</v>
      </c>
      <c r="AD118" s="40">
        <f t="shared" si="46"/>
        <v>7.7457747718839745E-2</v>
      </c>
      <c r="AE118" s="34">
        <f t="shared" si="47"/>
        <v>79.32378885451439</v>
      </c>
      <c r="AF118" s="34">
        <f t="shared" si="48"/>
        <v>0.67955760859331871</v>
      </c>
      <c r="AG118" s="34">
        <f t="shared" si="32"/>
        <v>0.91093513216262567</v>
      </c>
      <c r="AH118" s="34">
        <f>INDEX('Specification &amp; Data'!E$24:R$46,MATCH(Simulation!AA118,'Specification &amp; Data'!D$24:D$46,0),MATCH(Simulation!AB118,'Specification &amp; Data'!E$47:R$47,0))</f>
        <v>917.2780889999998</v>
      </c>
      <c r="AI118" s="34">
        <f t="shared" si="33"/>
        <v>1.8876600238703297E-4</v>
      </c>
      <c r="AJ118" s="34">
        <f t="shared" si="25"/>
        <v>0.17315091793774701</v>
      </c>
      <c r="AK118" s="34">
        <f t="shared" si="49"/>
        <v>39.096954921545297</v>
      </c>
      <c r="AL118" s="34">
        <v>2.3289729133329802</v>
      </c>
    </row>
    <row r="119" spans="1:38" x14ac:dyDescent="0.25">
      <c r="B119" s="36" t="s">
        <v>122</v>
      </c>
      <c r="C119" s="34">
        <f t="shared" si="34"/>
        <v>117</v>
      </c>
      <c r="D119" s="34">
        <v>17.5</v>
      </c>
      <c r="E119" s="34">
        <f t="shared" si="26"/>
        <v>28.163473316226629</v>
      </c>
      <c r="F119" s="34">
        <f t="shared" si="35"/>
        <v>7.8231870322851744</v>
      </c>
      <c r="G119" s="37">
        <f t="shared" si="36"/>
        <v>921.01263332945894</v>
      </c>
      <c r="H119" s="34">
        <f t="shared" si="37"/>
        <v>7.8231870322851744</v>
      </c>
      <c r="I119" s="34">
        <f t="shared" si="38"/>
        <v>0</v>
      </c>
      <c r="J119" s="34">
        <f t="shared" si="39"/>
        <v>2</v>
      </c>
      <c r="K119" s="34">
        <v>0</v>
      </c>
      <c r="L119" s="34">
        <f>('Specification &amp; Data'!B$22*'Specification &amp; Data'!B$10*'Specification &amp; Data'!B$20*(Simulation!F119^2-'Specification &amp; Data'!B$21^2))/2</f>
        <v>26.434879098099351</v>
      </c>
      <c r="M119" s="34">
        <f t="shared" si="40"/>
        <v>0</v>
      </c>
      <c r="N119" s="34">
        <f>'Specification &amp; Data'!B$23*'Specification &amp; Data'!B$18*8.91</f>
        <v>60.4296693</v>
      </c>
      <c r="O119" s="34">
        <f t="shared" si="27"/>
        <v>86.864548398099345</v>
      </c>
      <c r="P119" s="40">
        <f t="shared" si="28"/>
        <v>86.864548398099345</v>
      </c>
      <c r="Q119" s="34">
        <f>IF(J119=1,'Specification &amp; Data'!B$52,IF(Simulation!J119=2,'Specification &amp; Data'!B$53,IF(Simulation!J119=3,'Specification &amp; Data'!B$54)))</f>
        <v>568.92541410528543</v>
      </c>
      <c r="R119" s="34">
        <f>(0.5*'Specification &amp; Data'!B$18*Simulation!F119^2)/1000</f>
        <v>15.964914317267388</v>
      </c>
      <c r="T119" s="40">
        <f>P119*'Specification &amp; Data'!B$14*0.9</f>
        <v>23.052514767187905</v>
      </c>
      <c r="U119" s="40">
        <f>T119/(IF(J119=1,'Specification &amp; Data'!H$7,IF(Simulation!J119=2,'Specification &amp; Data'!H$8,IF(Simulation!J119=3,'Specification &amp; Data'!H$9))))</f>
        <v>1.383032340402097</v>
      </c>
      <c r="V119" s="40">
        <f t="shared" si="41"/>
        <v>8.5239949571085834E-3</v>
      </c>
      <c r="W119" s="40">
        <f t="shared" si="42"/>
        <v>2.0428164152214219E-2</v>
      </c>
      <c r="X119" s="40">
        <f t="shared" si="29"/>
        <v>0.67955760859331871</v>
      </c>
      <c r="Y119" s="40">
        <f t="shared" si="30"/>
        <v>0.91093513216262567</v>
      </c>
      <c r="Z119" s="40">
        <f t="shared" si="43"/>
        <v>4692.0791089479353</v>
      </c>
      <c r="AA119" s="40">
        <f t="shared" si="44"/>
        <v>1</v>
      </c>
      <c r="AB119" s="40">
        <f t="shared" si="45"/>
        <v>4500</v>
      </c>
      <c r="AC119" s="40">
        <f t="shared" si="31"/>
        <v>1.8876600238703297E-4</v>
      </c>
      <c r="AD119" s="40">
        <f t="shared" si="46"/>
        <v>7.7646513721226773E-2</v>
      </c>
      <c r="AE119" s="34">
        <f t="shared" si="47"/>
        <v>80.003346463107704</v>
      </c>
      <c r="AF119" s="34">
        <f t="shared" si="48"/>
        <v>0.67955760859331871</v>
      </c>
      <c r="AG119" s="34">
        <f t="shared" si="32"/>
        <v>0.91093513216262567</v>
      </c>
      <c r="AH119" s="34">
        <f>INDEX('Specification &amp; Data'!E$24:R$46,MATCH(Simulation!AA119,'Specification &amp; Data'!D$24:D$46,0),MATCH(Simulation!AB119,'Specification &amp; Data'!E$47:R$47,0))</f>
        <v>917.2780889999998</v>
      </c>
      <c r="AI119" s="34">
        <f t="shared" si="33"/>
        <v>1.8876600238703297E-4</v>
      </c>
      <c r="AJ119" s="34">
        <f t="shared" si="25"/>
        <v>0.17315091793774701</v>
      </c>
      <c r="AK119" s="34">
        <f t="shared" si="49"/>
        <v>39.270105839483044</v>
      </c>
      <c r="AL119" s="34">
        <v>2.3289729133329802</v>
      </c>
    </row>
    <row r="120" spans="1:38" x14ac:dyDescent="0.25">
      <c r="C120" s="34">
        <f t="shared" si="34"/>
        <v>118</v>
      </c>
      <c r="D120" s="34">
        <v>16</v>
      </c>
      <c r="E120" s="34">
        <f t="shared" si="26"/>
        <v>25.749461317692919</v>
      </c>
      <c r="F120" s="34">
        <f t="shared" si="35"/>
        <v>7.1526281438035886</v>
      </c>
      <c r="G120" s="37">
        <f t="shared" si="36"/>
        <v>928.50054091750337</v>
      </c>
      <c r="H120" s="34">
        <f t="shared" si="37"/>
        <v>7.4879075880443811</v>
      </c>
      <c r="I120" s="34">
        <f t="shared" si="38"/>
        <v>-0.67055888848158673</v>
      </c>
      <c r="J120" s="34">
        <f t="shared" si="39"/>
        <v>2</v>
      </c>
      <c r="K120" s="34">
        <v>0</v>
      </c>
      <c r="L120" s="34">
        <f>('Specification &amp; Data'!B$22*'Specification &amp; Data'!B$10*'Specification &amp; Data'!B$20*(Simulation!F120^2-'Specification &amp; Data'!B$21^2))/2</f>
        <v>21.713796277359986</v>
      </c>
      <c r="M120" s="34">
        <f t="shared" si="40"/>
        <v>-381.49799331136666</v>
      </c>
      <c r="N120" s="34">
        <f>'Specification &amp; Data'!B$23*'Specification &amp; Data'!B$18*8.91</f>
        <v>60.4296693</v>
      </c>
      <c r="O120" s="34">
        <f t="shared" si="27"/>
        <v>-299.35452773400669</v>
      </c>
      <c r="P120" s="40">
        <f t="shared" si="28"/>
        <v>299.35452773400669</v>
      </c>
      <c r="Q120" s="34">
        <f>IF(J120=1,'Specification &amp; Data'!B$52,IF(Simulation!J120=2,'Specification &amp; Data'!B$53,IF(Simulation!J120=3,'Specification &amp; Data'!B$54)))</f>
        <v>568.92541410528543</v>
      </c>
      <c r="R120" s="34">
        <f>(0.5*'Specification &amp; Data'!B$18*Simulation!F120^2)/1000</f>
        <v>13.345365110923924</v>
      </c>
      <c r="T120" s="40">
        <f>P120*'Specification &amp; Data'!B$14*0.9</f>
        <v>79.444086206332543</v>
      </c>
      <c r="U120" s="40">
        <f>T120/(IF(J120=1,'Specification &amp; Data'!H$7,IF(Simulation!J120=2,'Specification &amp; Data'!H$8,IF(Simulation!J120=3,'Specification &amp; Data'!H$9))))</f>
        <v>4.7662366378109979</v>
      </c>
      <c r="V120" s="40">
        <f t="shared" si="41"/>
        <v>8.5671368210981005E-3</v>
      </c>
      <c r="W120" s="40">
        <f t="shared" si="42"/>
        <v>2.1022934046671243E-2</v>
      </c>
      <c r="X120" s="40">
        <f t="shared" si="29"/>
        <v>2.1411716200452884</v>
      </c>
      <c r="Y120" s="40">
        <f t="shared" si="30"/>
        <v>2.8702032440285365</v>
      </c>
      <c r="Z120" s="40">
        <f t="shared" si="43"/>
        <v>4289.9008996095408</v>
      </c>
      <c r="AA120" s="40">
        <f t="shared" si="44"/>
        <v>5</v>
      </c>
      <c r="AB120" s="40">
        <f t="shared" si="45"/>
        <v>4500</v>
      </c>
      <c r="AC120" s="40">
        <f t="shared" si="31"/>
        <v>5.947698944570246E-4</v>
      </c>
      <c r="AD120" s="40">
        <f t="shared" si="46"/>
        <v>7.8241283615683804E-2</v>
      </c>
      <c r="AE120" s="34">
        <f t="shared" si="47"/>
        <v>-277.95084092712898</v>
      </c>
      <c r="AF120" s="34">
        <f t="shared" si="48"/>
        <v>-2.1411716200452884</v>
      </c>
      <c r="AG120" s="34">
        <f t="shared" si="32"/>
        <v>-2.8702032440285365</v>
      </c>
      <c r="AH120" s="34">
        <f>INDEX('Specification &amp; Data'!E$24:R$46,MATCH(Simulation!AA120,'Specification &amp; Data'!D$24:D$46,0),MATCH(Simulation!AB120,'Specification &amp; Data'!E$47:R$47,0))</f>
        <v>620.28480150000007</v>
      </c>
      <c r="AI120" s="34">
        <f t="shared" si="33"/>
        <v>-5.947698944570246E-4</v>
      </c>
      <c r="AJ120" s="34">
        <f t="shared" si="25"/>
        <v>0.36892672592145148</v>
      </c>
      <c r="AK120" s="34">
        <f t="shared" si="49"/>
        <v>39.639032565404499</v>
      </c>
      <c r="AL120" s="34">
        <v>2.3289729133329802</v>
      </c>
    </row>
    <row r="121" spans="1:38" x14ac:dyDescent="0.25">
      <c r="B121" s="36" t="s">
        <v>123</v>
      </c>
      <c r="C121" s="34">
        <f t="shared" si="34"/>
        <v>119</v>
      </c>
      <c r="D121" s="34">
        <v>15</v>
      </c>
      <c r="E121" s="34">
        <f t="shared" si="26"/>
        <v>24.140119985337112</v>
      </c>
      <c r="F121" s="34">
        <f t="shared" si="35"/>
        <v>6.7055888848158638</v>
      </c>
      <c r="G121" s="37">
        <f t="shared" si="36"/>
        <v>935.42964943181312</v>
      </c>
      <c r="H121" s="34">
        <f t="shared" si="37"/>
        <v>6.9291085143097266</v>
      </c>
      <c r="I121" s="34">
        <f t="shared" si="38"/>
        <v>-0.4470392589877239</v>
      </c>
      <c r="J121" s="34">
        <f t="shared" si="39"/>
        <v>2</v>
      </c>
      <c r="K121" s="34">
        <v>0</v>
      </c>
      <c r="L121" s="34">
        <f>('Specification &amp; Data'!B$22*'Specification &amp; Data'!B$10*'Specification &amp; Data'!B$20*(Simulation!F121^2-'Specification &amp; Data'!B$21^2))/2</f>
        <v>18.801287472525743</v>
      </c>
      <c r="M121" s="34">
        <f t="shared" si="40"/>
        <v>-254.33199554091075</v>
      </c>
      <c r="N121" s="34">
        <f>'Specification &amp; Data'!B$23*'Specification &amp; Data'!B$18*8.91</f>
        <v>60.4296693</v>
      </c>
      <c r="O121" s="34">
        <f t="shared" si="27"/>
        <v>-175.10103876838502</v>
      </c>
      <c r="P121" s="40">
        <f t="shared" si="28"/>
        <v>175.10103876838502</v>
      </c>
      <c r="Q121" s="34">
        <f>IF(J121=1,'Specification &amp; Data'!B$52,IF(Simulation!J121=2,'Specification &amp; Data'!B$53,IF(Simulation!J121=3,'Specification &amp; Data'!B$54)))</f>
        <v>568.92541410528543</v>
      </c>
      <c r="R121" s="34">
        <f>(0.5*'Specification &amp; Data'!B$18*Simulation!F121^2)/1000</f>
        <v>11.729324804522978</v>
      </c>
      <c r="T121" s="40">
        <f>P121*'Specification &amp; Data'!B$14*0.9</f>
        <v>46.469121826994488</v>
      </c>
      <c r="U121" s="40">
        <f>T121/(IF(J121=1,'Specification &amp; Data'!H$7,IF(Simulation!J121=2,'Specification &amp; Data'!H$8,IF(Simulation!J121=3,'Specification &amp; Data'!H$9))))</f>
        <v>2.7879083460471512</v>
      </c>
      <c r="V121" s="40">
        <f t="shared" si="41"/>
        <v>8.6021572945136557E-3</v>
      </c>
      <c r="W121" s="40">
        <f t="shared" si="42"/>
        <v>2.1349088374250407E-2</v>
      </c>
      <c r="X121" s="40">
        <f t="shared" si="29"/>
        <v>1.1741555792849943</v>
      </c>
      <c r="Y121" s="40">
        <f t="shared" si="30"/>
        <v>1.5739350928753275</v>
      </c>
      <c r="Z121" s="40">
        <f t="shared" si="43"/>
        <v>4021.7820933839439</v>
      </c>
      <c r="AA121" s="40">
        <f t="shared" si="44"/>
        <v>3</v>
      </c>
      <c r="AB121" s="40">
        <f t="shared" si="45"/>
        <v>4000</v>
      </c>
      <c r="AC121" s="40">
        <f t="shared" si="31"/>
        <v>3.2615432757916507E-4</v>
      </c>
      <c r="AD121" s="40">
        <f t="shared" si="46"/>
        <v>7.8567437943262972E-2</v>
      </c>
      <c r="AE121" s="34">
        <f t="shared" si="47"/>
        <v>-163.79470331025669</v>
      </c>
      <c r="AF121" s="34">
        <f t="shared" si="48"/>
        <v>-1.1741555792849943</v>
      </c>
      <c r="AG121" s="34">
        <f t="shared" si="32"/>
        <v>-1.5739350928753275</v>
      </c>
      <c r="AH121" s="34">
        <f>INDEX('Specification &amp; Data'!E$24:R$46,MATCH(Simulation!AA121,'Specification &amp; Data'!D$24:D$46,0),MATCH(Simulation!AB121,'Specification &amp; Data'!E$47:R$47,0))</f>
        <v>746.95257000000004</v>
      </c>
      <c r="AI121" s="34">
        <f t="shared" si="33"/>
        <v>-3.2615432757916507E-4</v>
      </c>
      <c r="AJ121" s="34">
        <f t="shared" si="25"/>
        <v>0.24362181320187923</v>
      </c>
      <c r="AK121" s="34">
        <f t="shared" si="49"/>
        <v>39.882654378606375</v>
      </c>
      <c r="AL121" s="34">
        <v>2.3289729133329802</v>
      </c>
    </row>
    <row r="122" spans="1:38" x14ac:dyDescent="0.25">
      <c r="C122" s="34">
        <f t="shared" si="34"/>
        <v>120</v>
      </c>
      <c r="D122" s="34">
        <v>15</v>
      </c>
      <c r="E122" s="34">
        <f t="shared" si="26"/>
        <v>24.140119985337112</v>
      </c>
      <c r="F122" s="34">
        <f t="shared" si="35"/>
        <v>6.7055888848158638</v>
      </c>
      <c r="G122" s="37">
        <f t="shared" si="36"/>
        <v>942.13523831662894</v>
      </c>
      <c r="H122" s="34">
        <f t="shared" si="37"/>
        <v>6.7055888848158638</v>
      </c>
      <c r="I122" s="34">
        <f t="shared" si="38"/>
        <v>0</v>
      </c>
      <c r="J122" s="34">
        <f t="shared" si="39"/>
        <v>2</v>
      </c>
      <c r="K122" s="34">
        <v>0</v>
      </c>
      <c r="L122" s="34">
        <f>('Specification &amp; Data'!B$22*'Specification &amp; Data'!B$10*'Specification &amp; Data'!B$20*(Simulation!F122^2-'Specification &amp; Data'!B$21^2))/2</f>
        <v>18.801287472525743</v>
      </c>
      <c r="M122" s="34">
        <f t="shared" si="40"/>
        <v>0</v>
      </c>
      <c r="N122" s="34">
        <f>'Specification &amp; Data'!B$23*'Specification &amp; Data'!B$18*8.91</f>
        <v>60.4296693</v>
      </c>
      <c r="O122" s="34">
        <f t="shared" si="27"/>
        <v>79.230956772525744</v>
      </c>
      <c r="P122" s="40">
        <f t="shared" si="28"/>
        <v>79.230956772525744</v>
      </c>
      <c r="Q122" s="34">
        <f>IF(J122=1,'Specification &amp; Data'!B$52,IF(Simulation!J122=2,'Specification &amp; Data'!B$53,IF(Simulation!J122=3,'Specification &amp; Data'!B$54)))</f>
        <v>568.92541410528543</v>
      </c>
      <c r="R122" s="34">
        <f>(0.5*'Specification &amp; Data'!B$18*Simulation!F122^2)/1000</f>
        <v>11.729324804522978</v>
      </c>
      <c r="T122" s="40">
        <f>P122*'Specification &amp; Data'!B$14*0.9</f>
        <v>21.026676989631831</v>
      </c>
      <c r="U122" s="40">
        <f>T122/(IF(J122=1,'Specification &amp; Data'!H$7,IF(Simulation!J122=2,'Specification &amp; Data'!H$8,IF(Simulation!J122=3,'Specification &amp; Data'!H$9))))</f>
        <v>1.2614924914500714</v>
      </c>
      <c r="V122" s="40">
        <f t="shared" si="41"/>
        <v>8.6371777679292109E-3</v>
      </c>
      <c r="W122" s="40">
        <f t="shared" si="42"/>
        <v>2.1349088374250407E-2</v>
      </c>
      <c r="X122" s="40">
        <f t="shared" si="29"/>
        <v>0.53129022306717477</v>
      </c>
      <c r="Y122" s="40">
        <f t="shared" si="30"/>
        <v>0.7121852856128349</v>
      </c>
      <c r="Z122" s="40">
        <f t="shared" si="43"/>
        <v>4021.7820933839439</v>
      </c>
      <c r="AA122" s="40">
        <f t="shared" si="44"/>
        <v>1</v>
      </c>
      <c r="AB122" s="40">
        <f t="shared" si="45"/>
        <v>4000</v>
      </c>
      <c r="AC122" s="40">
        <f t="shared" si="31"/>
        <v>1.4758061751865965E-4</v>
      </c>
      <c r="AD122" s="40">
        <f t="shared" si="46"/>
        <v>7.8715018560781627E-2</v>
      </c>
      <c r="AE122" s="34">
        <f t="shared" si="47"/>
        <v>74.646276340938073</v>
      </c>
      <c r="AF122" s="34">
        <f t="shared" si="48"/>
        <v>0.53129022306717477</v>
      </c>
      <c r="AG122" s="34">
        <f t="shared" si="32"/>
        <v>0.7121852856128349</v>
      </c>
      <c r="AH122" s="34">
        <f>INDEX('Specification &amp; Data'!E$24:R$46,MATCH(Simulation!AA122,'Specification &amp; Data'!D$24:D$46,0),MATCH(Simulation!AB122,'Specification &amp; Data'!E$47:R$47,0))</f>
        <v>944.35122599999977</v>
      </c>
      <c r="AI122" s="34">
        <f t="shared" si="33"/>
        <v>1.4758061751865965E-4</v>
      </c>
      <c r="AJ122" s="34">
        <f t="shared" si="25"/>
        <v>0.1393679370875833</v>
      </c>
      <c r="AK122" s="34">
        <f t="shared" si="49"/>
        <v>40.02202231569396</v>
      </c>
      <c r="AL122" s="34">
        <v>2.3289729133329802</v>
      </c>
    </row>
    <row r="123" spans="1:38" x14ac:dyDescent="0.25">
      <c r="C123" s="34">
        <f t="shared" si="34"/>
        <v>121</v>
      </c>
      <c r="D123" s="34">
        <v>15</v>
      </c>
      <c r="E123" s="34">
        <f t="shared" si="26"/>
        <v>24.140119985337112</v>
      </c>
      <c r="F123" s="34">
        <f t="shared" si="35"/>
        <v>6.7055888848158638</v>
      </c>
      <c r="G123" s="37">
        <f t="shared" si="36"/>
        <v>948.84082720144477</v>
      </c>
      <c r="H123" s="34">
        <f t="shared" si="37"/>
        <v>6.7055888848158638</v>
      </c>
      <c r="I123" s="34">
        <f t="shared" si="38"/>
        <v>0</v>
      </c>
      <c r="J123" s="34">
        <f t="shared" si="39"/>
        <v>2</v>
      </c>
      <c r="K123" s="34">
        <v>0</v>
      </c>
      <c r="L123" s="34">
        <f>('Specification &amp; Data'!B$22*'Specification &amp; Data'!B$10*'Specification &amp; Data'!B$20*(Simulation!F123^2-'Specification &amp; Data'!B$21^2))/2</f>
        <v>18.801287472525743</v>
      </c>
      <c r="M123" s="34">
        <f t="shared" si="40"/>
        <v>0</v>
      </c>
      <c r="N123" s="34">
        <f>'Specification &amp; Data'!B$23*'Specification &amp; Data'!B$18*8.91</f>
        <v>60.4296693</v>
      </c>
      <c r="O123" s="34">
        <f t="shared" si="27"/>
        <v>79.230956772525744</v>
      </c>
      <c r="P123" s="40">
        <f t="shared" si="28"/>
        <v>79.230956772525744</v>
      </c>
      <c r="Q123" s="34">
        <f>IF(J123=1,'Specification &amp; Data'!B$52,IF(Simulation!J123=2,'Specification &amp; Data'!B$53,IF(Simulation!J123=3,'Specification &amp; Data'!B$54)))</f>
        <v>568.92541410528543</v>
      </c>
      <c r="R123" s="34">
        <f>(0.5*'Specification &amp; Data'!B$18*Simulation!F123^2)/1000</f>
        <v>11.729324804522978</v>
      </c>
      <c r="T123" s="40">
        <f>P123*'Specification &amp; Data'!B$14*0.9</f>
        <v>21.026676989631831</v>
      </c>
      <c r="U123" s="40">
        <f>T123/(IF(J123=1,'Specification &amp; Data'!H$7,IF(Simulation!J123=2,'Specification &amp; Data'!H$8,IF(Simulation!J123=3,'Specification &amp; Data'!H$9))))</f>
        <v>1.2614924914500714</v>
      </c>
      <c r="V123" s="40">
        <f t="shared" si="41"/>
        <v>8.6721982413447661E-3</v>
      </c>
      <c r="W123" s="40">
        <f t="shared" si="42"/>
        <v>2.1349088374250407E-2</v>
      </c>
      <c r="X123" s="40">
        <f t="shared" si="29"/>
        <v>0.53129022306717477</v>
      </c>
      <c r="Y123" s="40">
        <f t="shared" si="30"/>
        <v>0.7121852856128349</v>
      </c>
      <c r="Z123" s="40">
        <f t="shared" si="43"/>
        <v>4021.7820933839439</v>
      </c>
      <c r="AA123" s="40">
        <f t="shared" si="44"/>
        <v>1</v>
      </c>
      <c r="AB123" s="40">
        <f t="shared" si="45"/>
        <v>4000</v>
      </c>
      <c r="AC123" s="40">
        <f t="shared" si="31"/>
        <v>1.4758061751865965E-4</v>
      </c>
      <c r="AD123" s="40">
        <f t="shared" si="46"/>
        <v>7.8862599178300283E-2</v>
      </c>
      <c r="AE123" s="34">
        <f t="shared" si="47"/>
        <v>75.177566564005232</v>
      </c>
      <c r="AF123" s="34">
        <f t="shared" si="48"/>
        <v>0.53129022306717477</v>
      </c>
      <c r="AG123" s="34">
        <f t="shared" si="32"/>
        <v>0.7121852856128349</v>
      </c>
      <c r="AH123" s="34">
        <f>INDEX('Specification &amp; Data'!E$24:R$46,MATCH(Simulation!AA123,'Specification &amp; Data'!D$24:D$46,0),MATCH(Simulation!AB123,'Specification &amp; Data'!E$47:R$47,0))</f>
        <v>944.35122599999977</v>
      </c>
      <c r="AI123" s="34">
        <f t="shared" si="33"/>
        <v>1.4758061751865965E-4</v>
      </c>
      <c r="AJ123" s="34">
        <f t="shared" si="25"/>
        <v>0.1393679370875833</v>
      </c>
      <c r="AK123" s="34">
        <f t="shared" si="49"/>
        <v>40.161390252781544</v>
      </c>
      <c r="AL123" s="34">
        <v>2.3289729133329802</v>
      </c>
    </row>
    <row r="124" spans="1:38" x14ac:dyDescent="0.25">
      <c r="C124" s="34">
        <f t="shared" si="34"/>
        <v>122</v>
      </c>
      <c r="D124" s="34">
        <v>15</v>
      </c>
      <c r="E124" s="34">
        <f t="shared" si="26"/>
        <v>24.140119985337112</v>
      </c>
      <c r="F124" s="34">
        <f t="shared" si="35"/>
        <v>6.7055888848158638</v>
      </c>
      <c r="G124" s="37">
        <f t="shared" si="36"/>
        <v>955.54641608626059</v>
      </c>
      <c r="H124" s="34">
        <f t="shared" si="37"/>
        <v>6.7055888848158638</v>
      </c>
      <c r="I124" s="34">
        <f t="shared" si="38"/>
        <v>0</v>
      </c>
      <c r="J124" s="34">
        <f t="shared" si="39"/>
        <v>2</v>
      </c>
      <c r="K124" s="34">
        <v>0</v>
      </c>
      <c r="L124" s="34">
        <f>('Specification &amp; Data'!B$22*'Specification &amp; Data'!B$10*'Specification &amp; Data'!B$20*(Simulation!F124^2-'Specification &amp; Data'!B$21^2))/2</f>
        <v>18.801287472525743</v>
      </c>
      <c r="M124" s="34">
        <f t="shared" si="40"/>
        <v>0</v>
      </c>
      <c r="N124" s="34">
        <f>'Specification &amp; Data'!B$23*'Specification &amp; Data'!B$18*8.91</f>
        <v>60.4296693</v>
      </c>
      <c r="O124" s="34">
        <f t="shared" si="27"/>
        <v>79.230956772525744</v>
      </c>
      <c r="P124" s="40">
        <f t="shared" si="28"/>
        <v>79.230956772525744</v>
      </c>
      <c r="Q124" s="34">
        <f>IF(J124=1,'Specification &amp; Data'!B$52,IF(Simulation!J124=2,'Specification &amp; Data'!B$53,IF(Simulation!J124=3,'Specification &amp; Data'!B$54)))</f>
        <v>568.92541410528543</v>
      </c>
      <c r="R124" s="34">
        <f>(0.5*'Specification &amp; Data'!B$18*Simulation!F124^2)/1000</f>
        <v>11.729324804522978</v>
      </c>
      <c r="T124" s="40">
        <f>P124*'Specification &amp; Data'!B$14*0.9</f>
        <v>21.026676989631831</v>
      </c>
      <c r="U124" s="40">
        <f>T124/(IF(J124=1,'Specification &amp; Data'!H$7,IF(Simulation!J124=2,'Specification &amp; Data'!H$8,IF(Simulation!J124=3,'Specification &amp; Data'!H$9))))</f>
        <v>1.2614924914500714</v>
      </c>
      <c r="V124" s="40">
        <f t="shared" si="41"/>
        <v>8.7072187147603213E-3</v>
      </c>
      <c r="W124" s="40">
        <f t="shared" si="42"/>
        <v>2.1349088374250407E-2</v>
      </c>
      <c r="X124" s="40">
        <f t="shared" si="29"/>
        <v>0.53129022306717477</v>
      </c>
      <c r="Y124" s="40">
        <f t="shared" si="30"/>
        <v>0.7121852856128349</v>
      </c>
      <c r="Z124" s="40">
        <f t="shared" si="43"/>
        <v>4021.7820933839439</v>
      </c>
      <c r="AA124" s="40">
        <f t="shared" si="44"/>
        <v>1</v>
      </c>
      <c r="AB124" s="40">
        <f t="shared" si="45"/>
        <v>4000</v>
      </c>
      <c r="AC124" s="40">
        <f t="shared" si="31"/>
        <v>1.4758061751865965E-4</v>
      </c>
      <c r="AD124" s="40">
        <f t="shared" si="46"/>
        <v>7.9010179795818938E-2</v>
      </c>
      <c r="AE124" s="34">
        <f t="shared" si="47"/>
        <v>75.708856787072406</v>
      </c>
      <c r="AF124" s="34">
        <f t="shared" si="48"/>
        <v>0.53129022306717477</v>
      </c>
      <c r="AG124" s="34">
        <f t="shared" si="32"/>
        <v>0.7121852856128349</v>
      </c>
      <c r="AH124" s="34">
        <f>INDEX('Specification &amp; Data'!E$24:R$46,MATCH(Simulation!AA124,'Specification &amp; Data'!D$24:D$46,0),MATCH(Simulation!AB124,'Specification &amp; Data'!E$47:R$47,0))</f>
        <v>944.35122599999977</v>
      </c>
      <c r="AI124" s="34">
        <f t="shared" si="33"/>
        <v>1.4758061751865965E-4</v>
      </c>
      <c r="AJ124" s="34">
        <f t="shared" si="25"/>
        <v>0.1393679370875833</v>
      </c>
      <c r="AK124" s="34">
        <f t="shared" si="49"/>
        <v>40.300758189869129</v>
      </c>
      <c r="AL124" s="34">
        <v>2.3289729133329802</v>
      </c>
    </row>
    <row r="125" spans="1:38" x14ac:dyDescent="0.25">
      <c r="C125" s="34">
        <f t="shared" si="34"/>
        <v>123</v>
      </c>
      <c r="D125" s="34">
        <v>15</v>
      </c>
      <c r="E125" s="34">
        <f t="shared" si="26"/>
        <v>24.140119985337112</v>
      </c>
      <c r="F125" s="34">
        <f t="shared" si="35"/>
        <v>6.7055888848158638</v>
      </c>
      <c r="G125" s="37">
        <f t="shared" si="36"/>
        <v>962.25200497107642</v>
      </c>
      <c r="H125" s="34">
        <f t="shared" si="37"/>
        <v>6.7055888848158638</v>
      </c>
      <c r="I125" s="34">
        <f t="shared" si="38"/>
        <v>0</v>
      </c>
      <c r="J125" s="34">
        <f t="shared" si="39"/>
        <v>2</v>
      </c>
      <c r="K125" s="34">
        <v>0</v>
      </c>
      <c r="L125" s="34">
        <f>('Specification &amp; Data'!B$22*'Specification &amp; Data'!B$10*'Specification &amp; Data'!B$20*(Simulation!F125^2-'Specification &amp; Data'!B$21^2))/2</f>
        <v>18.801287472525743</v>
      </c>
      <c r="M125" s="34">
        <f t="shared" si="40"/>
        <v>0</v>
      </c>
      <c r="N125" s="34">
        <f>'Specification &amp; Data'!B$23*'Specification &amp; Data'!B$18*8.91</f>
        <v>60.4296693</v>
      </c>
      <c r="O125" s="34">
        <f t="shared" si="27"/>
        <v>79.230956772525744</v>
      </c>
      <c r="P125" s="40">
        <f t="shared" si="28"/>
        <v>79.230956772525744</v>
      </c>
      <c r="Q125" s="34">
        <f>IF(J125=1,'Specification &amp; Data'!B$52,IF(Simulation!J125=2,'Specification &amp; Data'!B$53,IF(Simulation!J125=3,'Specification &amp; Data'!B$54)))</f>
        <v>568.92541410528543</v>
      </c>
      <c r="R125" s="34">
        <f>(0.5*'Specification &amp; Data'!B$18*Simulation!F125^2)/1000</f>
        <v>11.729324804522978</v>
      </c>
      <c r="T125" s="40">
        <f>P125*'Specification &amp; Data'!B$14*0.9</f>
        <v>21.026676989631831</v>
      </c>
      <c r="U125" s="40">
        <f>T125/(IF(J125=1,'Specification &amp; Data'!H$7,IF(Simulation!J125=2,'Specification &amp; Data'!H$8,IF(Simulation!J125=3,'Specification &amp; Data'!H$9))))</f>
        <v>1.2614924914500714</v>
      </c>
      <c r="V125" s="40">
        <f t="shared" si="41"/>
        <v>8.7422391881758765E-3</v>
      </c>
      <c r="W125" s="40">
        <f t="shared" si="42"/>
        <v>2.1349088374250407E-2</v>
      </c>
      <c r="X125" s="40">
        <f t="shared" si="29"/>
        <v>0.53129022306717477</v>
      </c>
      <c r="Y125" s="40">
        <f t="shared" si="30"/>
        <v>0.7121852856128349</v>
      </c>
      <c r="Z125" s="40">
        <f t="shared" si="43"/>
        <v>4021.7820933839439</v>
      </c>
      <c r="AA125" s="40">
        <f t="shared" si="44"/>
        <v>1</v>
      </c>
      <c r="AB125" s="40">
        <f t="shared" si="45"/>
        <v>4000</v>
      </c>
      <c r="AC125" s="40">
        <f t="shared" si="31"/>
        <v>1.4758061751865965E-4</v>
      </c>
      <c r="AD125" s="40">
        <f t="shared" si="46"/>
        <v>7.9157760413337594E-2</v>
      </c>
      <c r="AE125" s="34">
        <f t="shared" si="47"/>
        <v>76.24014701013958</v>
      </c>
      <c r="AF125" s="34">
        <f t="shared" si="48"/>
        <v>0.53129022306717477</v>
      </c>
      <c r="AG125" s="34">
        <f t="shared" si="32"/>
        <v>0.7121852856128349</v>
      </c>
      <c r="AH125" s="34">
        <f>INDEX('Specification &amp; Data'!E$24:R$46,MATCH(Simulation!AA125,'Specification &amp; Data'!D$24:D$46,0),MATCH(Simulation!AB125,'Specification &amp; Data'!E$47:R$47,0))</f>
        <v>944.35122599999977</v>
      </c>
      <c r="AI125" s="34">
        <f t="shared" si="33"/>
        <v>1.4758061751865965E-4</v>
      </c>
      <c r="AJ125" s="34">
        <f t="shared" si="25"/>
        <v>0.1393679370875833</v>
      </c>
      <c r="AK125" s="34">
        <f t="shared" si="49"/>
        <v>40.440126126956713</v>
      </c>
      <c r="AL125" s="34">
        <v>2.3289729133329802</v>
      </c>
    </row>
    <row r="126" spans="1:38" x14ac:dyDescent="0.25">
      <c r="C126" s="34">
        <f t="shared" si="34"/>
        <v>124</v>
      </c>
      <c r="D126" s="34">
        <v>15</v>
      </c>
      <c r="E126" s="34">
        <f t="shared" si="26"/>
        <v>24.140119985337112</v>
      </c>
      <c r="F126" s="34">
        <f t="shared" si="35"/>
        <v>6.7055888848158638</v>
      </c>
      <c r="G126" s="37">
        <f t="shared" si="36"/>
        <v>968.95759385589224</v>
      </c>
      <c r="H126" s="34">
        <f t="shared" si="37"/>
        <v>6.7055888848158638</v>
      </c>
      <c r="I126" s="34">
        <f t="shared" si="38"/>
        <v>0</v>
      </c>
      <c r="J126" s="34">
        <f t="shared" si="39"/>
        <v>2</v>
      </c>
      <c r="K126" s="34">
        <v>0</v>
      </c>
      <c r="L126" s="34">
        <f>('Specification &amp; Data'!B$22*'Specification &amp; Data'!B$10*'Specification &amp; Data'!B$20*(Simulation!F126^2-'Specification &amp; Data'!B$21^2))/2</f>
        <v>18.801287472525743</v>
      </c>
      <c r="M126" s="34">
        <f t="shared" si="40"/>
        <v>0</v>
      </c>
      <c r="N126" s="34">
        <f>'Specification &amp; Data'!B$23*'Specification &amp; Data'!B$18*8.91</f>
        <v>60.4296693</v>
      </c>
      <c r="O126" s="34">
        <f t="shared" si="27"/>
        <v>79.230956772525744</v>
      </c>
      <c r="P126" s="40">
        <f t="shared" si="28"/>
        <v>79.230956772525744</v>
      </c>
      <c r="Q126" s="34">
        <f>IF(J126=1,'Specification &amp; Data'!B$52,IF(Simulation!J126=2,'Specification &amp; Data'!B$53,IF(Simulation!J126=3,'Specification &amp; Data'!B$54)))</f>
        <v>568.92541410528543</v>
      </c>
      <c r="R126" s="34">
        <f>(0.5*'Specification &amp; Data'!B$18*Simulation!F126^2)/1000</f>
        <v>11.729324804522978</v>
      </c>
      <c r="T126" s="40">
        <f>P126*'Specification &amp; Data'!B$14*0.9</f>
        <v>21.026676989631831</v>
      </c>
      <c r="U126" s="40">
        <f>T126/(IF(J126=1,'Specification &amp; Data'!H$7,IF(Simulation!J126=2,'Specification &amp; Data'!H$8,IF(Simulation!J126=3,'Specification &amp; Data'!H$9))))</f>
        <v>1.2614924914500714</v>
      </c>
      <c r="V126" s="40">
        <f t="shared" si="41"/>
        <v>8.7772596615914317E-3</v>
      </c>
      <c r="W126" s="40">
        <f t="shared" si="42"/>
        <v>2.1349088374250407E-2</v>
      </c>
      <c r="X126" s="40">
        <f t="shared" si="29"/>
        <v>0.53129022306717477</v>
      </c>
      <c r="Y126" s="40">
        <f t="shared" si="30"/>
        <v>0.7121852856128349</v>
      </c>
      <c r="Z126" s="40">
        <f t="shared" si="43"/>
        <v>4021.7820933839439</v>
      </c>
      <c r="AA126" s="40">
        <f t="shared" si="44"/>
        <v>1</v>
      </c>
      <c r="AB126" s="40">
        <f t="shared" si="45"/>
        <v>4000</v>
      </c>
      <c r="AC126" s="40">
        <f t="shared" si="31"/>
        <v>1.4758061751865965E-4</v>
      </c>
      <c r="AD126" s="40">
        <f t="shared" si="46"/>
        <v>7.930534103085625E-2</v>
      </c>
      <c r="AE126" s="34">
        <f t="shared" si="47"/>
        <v>76.771437233206754</v>
      </c>
      <c r="AF126" s="34">
        <f t="shared" si="48"/>
        <v>0.53129022306717477</v>
      </c>
      <c r="AG126" s="34">
        <f t="shared" si="32"/>
        <v>0.7121852856128349</v>
      </c>
      <c r="AH126" s="34">
        <f>INDEX('Specification &amp; Data'!E$24:R$46,MATCH(Simulation!AA126,'Specification &amp; Data'!D$24:D$46,0),MATCH(Simulation!AB126,'Specification &amp; Data'!E$47:R$47,0))</f>
        <v>944.35122599999977</v>
      </c>
      <c r="AI126" s="34">
        <f t="shared" si="33"/>
        <v>1.4758061751865965E-4</v>
      </c>
      <c r="AJ126" s="34">
        <f t="shared" si="25"/>
        <v>0.1393679370875833</v>
      </c>
      <c r="AK126" s="34">
        <f t="shared" si="49"/>
        <v>40.579494064044297</v>
      </c>
      <c r="AL126" s="34">
        <v>2.3289729133329802</v>
      </c>
    </row>
    <row r="127" spans="1:38" x14ac:dyDescent="0.25">
      <c r="C127" s="34">
        <f t="shared" si="34"/>
        <v>125</v>
      </c>
      <c r="D127" s="34">
        <v>15</v>
      </c>
      <c r="E127" s="34">
        <f t="shared" si="26"/>
        <v>24.140119985337112</v>
      </c>
      <c r="F127" s="34">
        <f t="shared" si="35"/>
        <v>6.7055888848158638</v>
      </c>
      <c r="G127" s="37">
        <f t="shared" si="36"/>
        <v>975.66318274070807</v>
      </c>
      <c r="H127" s="34">
        <f t="shared" si="37"/>
        <v>6.7055888848158638</v>
      </c>
      <c r="I127" s="34">
        <f t="shared" si="38"/>
        <v>0</v>
      </c>
      <c r="J127" s="34">
        <f t="shared" si="39"/>
        <v>2</v>
      </c>
      <c r="K127" s="34">
        <v>0</v>
      </c>
      <c r="L127" s="34">
        <f>('Specification &amp; Data'!B$22*'Specification &amp; Data'!B$10*'Specification &amp; Data'!B$20*(Simulation!F127^2-'Specification &amp; Data'!B$21^2))/2</f>
        <v>18.801287472525743</v>
      </c>
      <c r="M127" s="34">
        <f t="shared" si="40"/>
        <v>0</v>
      </c>
      <c r="N127" s="34">
        <f>'Specification &amp; Data'!B$23*'Specification &amp; Data'!B$18*8.91</f>
        <v>60.4296693</v>
      </c>
      <c r="O127" s="34">
        <f t="shared" si="27"/>
        <v>79.230956772525744</v>
      </c>
      <c r="P127" s="40">
        <f t="shared" si="28"/>
        <v>79.230956772525744</v>
      </c>
      <c r="Q127" s="34">
        <f>IF(J127=1,'Specification &amp; Data'!B$52,IF(Simulation!J127=2,'Specification &amp; Data'!B$53,IF(Simulation!J127=3,'Specification &amp; Data'!B$54)))</f>
        <v>568.92541410528543</v>
      </c>
      <c r="R127" s="34">
        <f>(0.5*'Specification &amp; Data'!B$18*Simulation!F127^2)/1000</f>
        <v>11.729324804522978</v>
      </c>
      <c r="T127" s="40">
        <f>P127*'Specification &amp; Data'!B$14*0.9</f>
        <v>21.026676989631831</v>
      </c>
      <c r="U127" s="40">
        <f>T127/(IF(J127=1,'Specification &amp; Data'!H$7,IF(Simulation!J127=2,'Specification &amp; Data'!H$8,IF(Simulation!J127=3,'Specification &amp; Data'!H$9))))</f>
        <v>1.2614924914500714</v>
      </c>
      <c r="V127" s="40">
        <f t="shared" si="41"/>
        <v>8.812280135006987E-3</v>
      </c>
      <c r="W127" s="40">
        <f t="shared" si="42"/>
        <v>2.1349088374250407E-2</v>
      </c>
      <c r="X127" s="40">
        <f t="shared" si="29"/>
        <v>0.53129022306717477</v>
      </c>
      <c r="Y127" s="40">
        <f t="shared" si="30"/>
        <v>0.7121852856128349</v>
      </c>
      <c r="Z127" s="40">
        <f t="shared" si="43"/>
        <v>4021.7820933839439</v>
      </c>
      <c r="AA127" s="40">
        <f t="shared" si="44"/>
        <v>1</v>
      </c>
      <c r="AB127" s="40">
        <f t="shared" si="45"/>
        <v>4000</v>
      </c>
      <c r="AC127" s="40">
        <f t="shared" si="31"/>
        <v>1.4758061751865965E-4</v>
      </c>
      <c r="AD127" s="40">
        <f t="shared" si="46"/>
        <v>7.9452921648374905E-2</v>
      </c>
      <c r="AE127" s="34">
        <f t="shared" si="47"/>
        <v>77.302727456273928</v>
      </c>
      <c r="AF127" s="34">
        <f t="shared" si="48"/>
        <v>0.53129022306717477</v>
      </c>
      <c r="AG127" s="34">
        <f t="shared" si="32"/>
        <v>0.7121852856128349</v>
      </c>
      <c r="AH127" s="34">
        <f>INDEX('Specification &amp; Data'!E$24:R$46,MATCH(Simulation!AA127,'Specification &amp; Data'!D$24:D$46,0),MATCH(Simulation!AB127,'Specification &amp; Data'!E$47:R$47,0))</f>
        <v>944.35122599999977</v>
      </c>
      <c r="AI127" s="34">
        <f t="shared" si="33"/>
        <v>1.4758061751865965E-4</v>
      </c>
      <c r="AJ127" s="34">
        <f t="shared" si="25"/>
        <v>0.1393679370875833</v>
      </c>
      <c r="AK127" s="34">
        <f t="shared" si="49"/>
        <v>40.718862001131882</v>
      </c>
      <c r="AL127" s="34">
        <v>2.3289729133329802</v>
      </c>
    </row>
    <row r="128" spans="1:38" x14ac:dyDescent="0.25">
      <c r="A128" s="34" t="s">
        <v>124</v>
      </c>
      <c r="B128" s="36" t="s">
        <v>125</v>
      </c>
      <c r="C128" s="34">
        <f t="shared" si="34"/>
        <v>126</v>
      </c>
      <c r="D128" s="34">
        <v>15</v>
      </c>
      <c r="E128" s="34">
        <f t="shared" si="26"/>
        <v>24.140119985337112</v>
      </c>
      <c r="F128" s="34">
        <f t="shared" si="35"/>
        <v>6.7055888848158638</v>
      </c>
      <c r="G128" s="37">
        <f t="shared" si="36"/>
        <v>982.36877162552389</v>
      </c>
      <c r="H128" s="34">
        <f t="shared" si="37"/>
        <v>6.7055888848158638</v>
      </c>
      <c r="I128" s="34">
        <f t="shared" si="38"/>
        <v>0</v>
      </c>
      <c r="J128" s="34">
        <f t="shared" si="39"/>
        <v>2</v>
      </c>
      <c r="K128" s="34">
        <v>0</v>
      </c>
      <c r="L128" s="34">
        <f>('Specification &amp; Data'!B$22*'Specification &amp; Data'!B$10*'Specification &amp; Data'!B$20*(Simulation!F128^2-'Specification &amp; Data'!B$21^2))/2</f>
        <v>18.801287472525743</v>
      </c>
      <c r="M128" s="34">
        <f t="shared" si="40"/>
        <v>0</v>
      </c>
      <c r="N128" s="34">
        <f>'Specification &amp; Data'!B$23*'Specification &amp; Data'!B$18*8.91</f>
        <v>60.4296693</v>
      </c>
      <c r="O128" s="34">
        <f t="shared" si="27"/>
        <v>79.230956772525744</v>
      </c>
      <c r="P128" s="40">
        <f t="shared" si="28"/>
        <v>79.230956772525744</v>
      </c>
      <c r="Q128" s="34">
        <f>IF(J128=1,'Specification &amp; Data'!B$52,IF(Simulation!J128=2,'Specification &amp; Data'!B$53,IF(Simulation!J128=3,'Specification &amp; Data'!B$54)))</f>
        <v>568.92541410528543</v>
      </c>
      <c r="R128" s="34">
        <f>(0.5*'Specification &amp; Data'!B$18*Simulation!F128^2)/1000</f>
        <v>11.729324804522978</v>
      </c>
      <c r="T128" s="40">
        <f>P128*'Specification &amp; Data'!B$14*0.9</f>
        <v>21.026676989631831</v>
      </c>
      <c r="U128" s="40">
        <f>T128/(IF(J128=1,'Specification &amp; Data'!H$7,IF(Simulation!J128=2,'Specification &amp; Data'!H$8,IF(Simulation!J128=3,'Specification &amp; Data'!H$9))))</f>
        <v>1.2614924914500714</v>
      </c>
      <c r="V128" s="40">
        <f t="shared" si="41"/>
        <v>8.8473006084225422E-3</v>
      </c>
      <c r="W128" s="40">
        <f t="shared" si="42"/>
        <v>2.1349088374250407E-2</v>
      </c>
      <c r="X128" s="40">
        <f t="shared" si="29"/>
        <v>0.53129022306717477</v>
      </c>
      <c r="Y128" s="40">
        <f t="shared" si="30"/>
        <v>0.7121852856128349</v>
      </c>
      <c r="Z128" s="40">
        <f t="shared" si="43"/>
        <v>4021.7820933839439</v>
      </c>
      <c r="AA128" s="40">
        <f t="shared" si="44"/>
        <v>1</v>
      </c>
      <c r="AB128" s="40">
        <f t="shared" si="45"/>
        <v>4000</v>
      </c>
      <c r="AC128" s="40">
        <f t="shared" si="31"/>
        <v>1.4758061751865965E-4</v>
      </c>
      <c r="AD128" s="40">
        <f t="shared" si="46"/>
        <v>7.9600502265893561E-2</v>
      </c>
      <c r="AE128" s="34">
        <f t="shared" si="47"/>
        <v>77.834017679341088</v>
      </c>
      <c r="AF128" s="34">
        <f t="shared" si="48"/>
        <v>0.53129022306717477</v>
      </c>
      <c r="AG128" s="34">
        <f t="shared" si="32"/>
        <v>0.7121852856128349</v>
      </c>
      <c r="AH128" s="34">
        <f>INDEX('Specification &amp; Data'!E$24:R$46,MATCH(Simulation!AA128,'Specification &amp; Data'!D$24:D$46,0),MATCH(Simulation!AB128,'Specification &amp; Data'!E$47:R$47,0))</f>
        <v>944.35122599999977</v>
      </c>
      <c r="AI128" s="34">
        <f t="shared" si="33"/>
        <v>1.4758061751865965E-4</v>
      </c>
      <c r="AJ128" s="34">
        <f t="shared" si="25"/>
        <v>0.1393679370875833</v>
      </c>
      <c r="AK128" s="34">
        <f t="shared" si="49"/>
        <v>40.858229938219466</v>
      </c>
      <c r="AL128" s="34">
        <v>2.3289729133329802</v>
      </c>
    </row>
    <row r="129" spans="1:38" x14ac:dyDescent="0.25">
      <c r="A129" s="34" t="s">
        <v>126</v>
      </c>
      <c r="C129" s="34">
        <f t="shared" si="34"/>
        <v>127</v>
      </c>
      <c r="D129" s="34">
        <v>16</v>
      </c>
      <c r="E129" s="34">
        <f t="shared" si="26"/>
        <v>25.749461317692919</v>
      </c>
      <c r="F129" s="34">
        <f t="shared" si="35"/>
        <v>7.1526281438035886</v>
      </c>
      <c r="G129" s="37">
        <f t="shared" si="36"/>
        <v>989.29788013983364</v>
      </c>
      <c r="H129" s="34">
        <f t="shared" si="37"/>
        <v>6.9291085143097266</v>
      </c>
      <c r="I129" s="34">
        <f t="shared" si="38"/>
        <v>0.44703925898772567</v>
      </c>
      <c r="J129" s="34">
        <f t="shared" si="39"/>
        <v>2</v>
      </c>
      <c r="K129" s="34">
        <v>0</v>
      </c>
      <c r="L129" s="34">
        <f>('Specification &amp; Data'!B$22*'Specification &amp; Data'!B$10*'Specification &amp; Data'!B$20*(Simulation!F129^2-'Specification &amp; Data'!B$21^2))/2</f>
        <v>21.713796277359986</v>
      </c>
      <c r="M129" s="34">
        <f t="shared" si="40"/>
        <v>254.33199554091178</v>
      </c>
      <c r="N129" s="34">
        <f>'Specification &amp; Data'!B$26*'Specification &amp; Data'!B$18*8.91</f>
        <v>464.84361000000007</v>
      </c>
      <c r="O129" s="34">
        <f t="shared" si="27"/>
        <v>740.88940181827184</v>
      </c>
      <c r="P129" s="40">
        <f t="shared" si="28"/>
        <v>740.88940181827184</v>
      </c>
      <c r="Q129" s="34">
        <f>IF(J129=1,'Specification &amp; Data'!B$52,IF(Simulation!J129=2,'Specification &amp; Data'!B$53,IF(Simulation!J129=3,'Specification &amp; Data'!B$54)))</f>
        <v>568.92541410528543</v>
      </c>
      <c r="R129" s="34">
        <f>(0.5*'Specification &amp; Data'!B$18*Simulation!F129^2)/1000</f>
        <v>13.345365110923924</v>
      </c>
      <c r="T129" s="40">
        <f>P129*'Specification &amp; Data'!B$14*0.9</f>
        <v>196.62064894407985</v>
      </c>
      <c r="U129" s="40">
        <f>T129/(IF(J129=1,'Specification &amp; Data'!H$7,IF(Simulation!J129=2,'Specification &amp; Data'!H$8,IF(Simulation!J129=3,'Specification &amp; Data'!H$9))))</f>
        <v>11.796227831402099</v>
      </c>
      <c r="V129" s="40">
        <f t="shared" si="41"/>
        <v>8.8904424724120593E-3</v>
      </c>
      <c r="W129" s="40">
        <f t="shared" si="42"/>
        <v>2.1349088374250407E-2</v>
      </c>
      <c r="X129" s="40">
        <f t="shared" si="29"/>
        <v>5.2993063868911765</v>
      </c>
      <c r="Y129" s="40">
        <f t="shared" si="30"/>
        <v>7.1036278644653841</v>
      </c>
      <c r="Z129" s="40">
        <f t="shared" si="43"/>
        <v>4289.9008996095399</v>
      </c>
      <c r="AA129" s="40">
        <f t="shared" si="44"/>
        <v>12</v>
      </c>
      <c r="AB129" s="40">
        <f t="shared" si="45"/>
        <v>4500</v>
      </c>
      <c r="AC129" s="40">
        <f t="shared" si="31"/>
        <v>1.4720295519142156E-3</v>
      </c>
      <c r="AD129" s="40">
        <f t="shared" si="46"/>
        <v>8.1072531817807783E-2</v>
      </c>
      <c r="AE129" s="34">
        <f t="shared" si="47"/>
        <v>732.96031463688576</v>
      </c>
      <c r="AF129" s="34">
        <f t="shared" si="48"/>
        <v>5.2993063868911765</v>
      </c>
      <c r="AG129" s="34">
        <f t="shared" si="32"/>
        <v>7.1036278644653841</v>
      </c>
      <c r="AH129" s="34">
        <f>INDEX('Specification &amp; Data'!E$24:R$46,MATCH(Simulation!AA129,'Specification &amp; Data'!D$24:D$46,0),MATCH(Simulation!AB129,'Specification &amp; Data'!E$47:R$47,0))</f>
        <v>398.81406750000002</v>
      </c>
      <c r="AI129" s="34">
        <f t="shared" si="33"/>
        <v>1.4720295519142156E-3</v>
      </c>
      <c r="AJ129" s="34">
        <f t="shared" si="25"/>
        <v>0.58706609307911073</v>
      </c>
      <c r="AK129" s="34">
        <f t="shared" si="49"/>
        <v>41.445296031298575</v>
      </c>
      <c r="AL129" s="34">
        <v>2.3289729133329802</v>
      </c>
    </row>
    <row r="130" spans="1:38" x14ac:dyDescent="0.25">
      <c r="C130" s="34">
        <f t="shared" si="34"/>
        <v>128</v>
      </c>
      <c r="D130" s="34">
        <v>17.5</v>
      </c>
      <c r="E130" s="34">
        <f t="shared" si="26"/>
        <v>28.163473316226629</v>
      </c>
      <c r="F130" s="34">
        <f t="shared" si="35"/>
        <v>7.8231870322851744</v>
      </c>
      <c r="G130" s="37">
        <f t="shared" si="36"/>
        <v>996.78578772787807</v>
      </c>
      <c r="H130" s="34">
        <f t="shared" si="37"/>
        <v>7.4879075880443811</v>
      </c>
      <c r="I130" s="34">
        <f t="shared" si="38"/>
        <v>0.67055888848158496</v>
      </c>
      <c r="J130" s="34">
        <f t="shared" si="39"/>
        <v>2</v>
      </c>
      <c r="K130" s="34">
        <v>0</v>
      </c>
      <c r="L130" s="34">
        <f>('Specification &amp; Data'!B$22*'Specification &amp; Data'!B$10*'Specification &amp; Data'!B$20*(Simulation!F130^2-'Specification &amp; Data'!B$21^2))/2</f>
        <v>26.434879098099351</v>
      </c>
      <c r="M130" s="34">
        <f t="shared" si="40"/>
        <v>381.49799331136563</v>
      </c>
      <c r="N130" s="34">
        <f>'Specification &amp; Data'!B$26*'Specification &amp; Data'!B$18*8.91</f>
        <v>464.84361000000007</v>
      </c>
      <c r="O130" s="34">
        <f t="shared" si="27"/>
        <v>872.77648240946507</v>
      </c>
      <c r="P130" s="40">
        <f t="shared" si="28"/>
        <v>872.77648240946507</v>
      </c>
      <c r="Q130" s="34">
        <f>IF(J130=1,'Specification &amp; Data'!B$52,IF(Simulation!J130=2,'Specification &amp; Data'!B$53,IF(Simulation!J130=3,'Specification &amp; Data'!B$54)))</f>
        <v>568.92541410528543</v>
      </c>
      <c r="R130" s="34">
        <f>(0.5*'Specification &amp; Data'!B$18*Simulation!F130^2)/1000</f>
        <v>15.964914317267388</v>
      </c>
      <c r="T130" s="40">
        <f>P130*'Specification &amp; Data'!B$14*0.9</f>
        <v>231.62145110097342</v>
      </c>
      <c r="U130" s="40">
        <f>T130/(IF(J130=1,'Specification &amp; Data'!H$7,IF(Simulation!J130=2,'Specification &amp; Data'!H$8,IF(Simulation!J130=3,'Specification &amp; Data'!H$9))))</f>
        <v>13.896095972117939</v>
      </c>
      <c r="V130" s="40">
        <f t="shared" si="41"/>
        <v>8.9478883066788032E-3</v>
      </c>
      <c r="W130" s="40">
        <f t="shared" si="42"/>
        <v>2.1349088374250407E-2</v>
      </c>
      <c r="X130" s="40">
        <f t="shared" si="29"/>
        <v>6.827893659269197</v>
      </c>
      <c r="Y130" s="40">
        <f t="shared" si="30"/>
        <v>9.1526724655083065</v>
      </c>
      <c r="Z130" s="40">
        <f t="shared" si="43"/>
        <v>4692.0791089479344</v>
      </c>
      <c r="AA130" s="40">
        <f t="shared" si="44"/>
        <v>14</v>
      </c>
      <c r="AB130" s="40">
        <f t="shared" si="45"/>
        <v>4500</v>
      </c>
      <c r="AC130" s="40">
        <f t="shared" si="31"/>
        <v>1.896637127574777E-3</v>
      </c>
      <c r="AD130" s="40">
        <f t="shared" si="46"/>
        <v>8.296916894538256E-2</v>
      </c>
      <c r="AE130" s="34">
        <f t="shared" si="47"/>
        <v>869.97119352888512</v>
      </c>
      <c r="AF130" s="34">
        <f t="shared" si="48"/>
        <v>6.827893659269197</v>
      </c>
      <c r="AG130" s="34">
        <f t="shared" si="32"/>
        <v>9.1526724655083065</v>
      </c>
      <c r="AH130" s="34">
        <f>INDEX('Specification &amp; Data'!E$24:R$46,MATCH(Simulation!AA130,'Specification &amp; Data'!D$24:D$46,0),MATCH(Simulation!AB130,'Specification &amp; Data'!E$47:R$47,0))</f>
        <v>406.02646743750006</v>
      </c>
      <c r="AI130" s="34">
        <f t="shared" si="33"/>
        <v>1.896637127574777E-3</v>
      </c>
      <c r="AJ130" s="34">
        <f t="shared" ref="AJ130:AJ193" si="50">AC130*AH130</f>
        <v>0.77008487291999383</v>
      </c>
      <c r="AK130" s="34">
        <f t="shared" si="49"/>
        <v>42.21538090421857</v>
      </c>
      <c r="AL130" s="34">
        <v>2.3289729133329802</v>
      </c>
    </row>
    <row r="131" spans="1:38" x14ac:dyDescent="0.25">
      <c r="C131" s="34">
        <f t="shared" si="34"/>
        <v>129</v>
      </c>
      <c r="D131" s="34">
        <v>18.8</v>
      </c>
      <c r="E131" s="34">
        <f t="shared" ref="E131:E194" si="51">F131*3.6</f>
        <v>30.255617048289182</v>
      </c>
      <c r="F131" s="34">
        <f t="shared" si="35"/>
        <v>8.4043380689692171</v>
      </c>
      <c r="G131" s="37">
        <f t="shared" si="36"/>
        <v>1004.8995502785052</v>
      </c>
      <c r="H131" s="34">
        <f t="shared" si="37"/>
        <v>8.1137625506271966</v>
      </c>
      <c r="I131" s="34">
        <f t="shared" si="38"/>
        <v>0.58115103668404444</v>
      </c>
      <c r="J131" s="34">
        <f t="shared" si="39"/>
        <v>2</v>
      </c>
      <c r="K131" s="34">
        <v>0</v>
      </c>
      <c r="L131" s="34">
        <f>('Specification &amp; Data'!B$22*'Specification &amp; Data'!B$10*'Specification &amp; Data'!B$20*(Simulation!F131^2-'Specification &amp; Data'!B$21^2))/2</f>
        <v>30.868469114232507</v>
      </c>
      <c r="M131" s="34">
        <f t="shared" si="40"/>
        <v>330.6315942031859</v>
      </c>
      <c r="N131" s="34">
        <f>'Specification &amp; Data'!B$26*'Specification &amp; Data'!B$18*8.91</f>
        <v>464.84361000000007</v>
      </c>
      <c r="O131" s="34">
        <f t="shared" ref="O131:O194" si="52">K131+L131+M131+N131</f>
        <v>826.34367331741851</v>
      </c>
      <c r="P131" s="40">
        <f t="shared" ref="P131:P194" si="53">IF(O131&gt;=0,O131,IF(O131&lt;0,-O131))</f>
        <v>826.34367331741851</v>
      </c>
      <c r="Q131" s="34">
        <f>IF(J131=1,'Specification &amp; Data'!B$52,IF(Simulation!J131=2,'Specification &amp; Data'!B$53,IF(Simulation!J131=3,'Specification &amp; Data'!B$54)))</f>
        <v>568.92541410528543</v>
      </c>
      <c r="R131" s="34">
        <f>(0.5*'Specification &amp; Data'!B$18*Simulation!F131^2)/1000</f>
        <v>18.424944706269343</v>
      </c>
      <c r="T131" s="40">
        <f>P131*'Specification &amp; Data'!B$14*0.9</f>
        <v>219.29889791885338</v>
      </c>
      <c r="U131" s="40">
        <f>T131/(IF(J131=1,'Specification &amp; Data'!H$7,IF(Simulation!J131=2,'Specification &amp; Data'!H$8,IF(Simulation!J131=3,'Specification &amp; Data'!H$9))))</f>
        <v>13.156806148889871</v>
      </c>
      <c r="V131" s="40">
        <f t="shared" si="41"/>
        <v>9.0199519317086772E-3</v>
      </c>
      <c r="W131" s="40">
        <f t="shared" si="42"/>
        <v>2.1349088374250407E-2</v>
      </c>
      <c r="X131" s="40">
        <f t="shared" ref="X131:X194" si="54">(P131*F131)/1000</f>
        <v>6.9448715917134427</v>
      </c>
      <c r="Y131" s="40">
        <f t="shared" ref="Y131:Y194" si="55">X131*1000/(746)</f>
        <v>9.3094793454603781</v>
      </c>
      <c r="Z131" s="40">
        <f t="shared" si="43"/>
        <v>5040.6335570412102</v>
      </c>
      <c r="AA131" s="40">
        <f t="shared" si="44"/>
        <v>13</v>
      </c>
      <c r="AB131" s="40">
        <f t="shared" si="45"/>
        <v>5000</v>
      </c>
      <c r="AC131" s="40">
        <f t="shared" ref="AC131:AC194" si="56">X131/3600</f>
        <v>1.9291309976981785E-3</v>
      </c>
      <c r="AD131" s="40">
        <f t="shared" si="46"/>
        <v>8.4898299943080735E-2</v>
      </c>
      <c r="AE131" s="34">
        <f t="shared" si="47"/>
        <v>830.39238569216184</v>
      </c>
      <c r="AF131" s="34">
        <f t="shared" si="48"/>
        <v>6.9448715917134427</v>
      </c>
      <c r="AG131" s="34">
        <f t="shared" ref="AG131:AG194" si="57">AF131*1000/(746)</f>
        <v>9.3094793454603781</v>
      </c>
      <c r="AH131" s="34">
        <f>INDEX('Specification &amp; Data'!E$24:R$46,MATCH(Simulation!AA131,'Specification &amp; Data'!D$24:D$46,0),MATCH(Simulation!AB131,'Specification &amp; Data'!E$47:R$47,0))</f>
        <v>340.77733050000001</v>
      </c>
      <c r="AI131" s="34">
        <f t="shared" ref="AI131:AI194" si="58">AF131/3600</f>
        <v>1.9291309976981785E-3</v>
      </c>
      <c r="AJ131" s="34">
        <f t="shared" si="50"/>
        <v>0.65740411158038692</v>
      </c>
      <c r="AK131" s="34">
        <f t="shared" si="49"/>
        <v>42.872785015798954</v>
      </c>
      <c r="AL131" s="34">
        <v>2.3289729133329802</v>
      </c>
    </row>
    <row r="132" spans="1:38" x14ac:dyDescent="0.25">
      <c r="C132" s="34">
        <f t="shared" ref="C132:C195" si="59">C131+1</f>
        <v>130</v>
      </c>
      <c r="D132" s="34">
        <v>20</v>
      </c>
      <c r="E132" s="34">
        <f t="shared" si="51"/>
        <v>32.186826647116149</v>
      </c>
      <c r="F132" s="34">
        <f t="shared" ref="F132:F195" si="60">D132/2.23694</f>
        <v>8.9407851797544851</v>
      </c>
      <c r="G132" s="37">
        <f t="shared" ref="G132:G195" si="61">G131+((F132+F131)/2)</f>
        <v>1013.5721119028671</v>
      </c>
      <c r="H132" s="34">
        <f t="shared" ref="H132:H195" si="62">(F132+F131)/2</f>
        <v>8.6725616243618511</v>
      </c>
      <c r="I132" s="34">
        <f t="shared" ref="I132:I195" si="63">(H132-F131)*2</f>
        <v>0.53644711078526797</v>
      </c>
      <c r="J132" s="34">
        <f t="shared" ref="J132:J195" si="64">IF(D132&lt;=10,1,IF(AND(D132&gt;10,D132&lt;=20),2,IF(D132&gt;20,3)))</f>
        <v>2</v>
      </c>
      <c r="K132" s="34">
        <v>0</v>
      </c>
      <c r="L132" s="34">
        <f>('Specification &amp; Data'!B$22*'Specification &amp; Data'!B$10*'Specification &amp; Data'!B$20*(Simulation!F132^2-'Specification &amp; Data'!B$21^2))/2</f>
        <v>35.24286943529966</v>
      </c>
      <c r="M132" s="34">
        <f t="shared" ref="M132:M195" si="65">Q132*I132</f>
        <v>305.19839464909251</v>
      </c>
      <c r="N132" s="34">
        <f>'Specification &amp; Data'!B$26*'Specification &amp; Data'!B$18*8.91</f>
        <v>464.84361000000007</v>
      </c>
      <c r="O132" s="34">
        <f t="shared" si="52"/>
        <v>805.28487408439219</v>
      </c>
      <c r="P132" s="40">
        <f t="shared" si="53"/>
        <v>805.28487408439219</v>
      </c>
      <c r="Q132" s="34">
        <f>IF(J132=1,'Specification &amp; Data'!B$52,IF(Simulation!J132=2,'Specification &amp; Data'!B$53,IF(Simulation!J132=3,'Specification &amp; Data'!B$54)))</f>
        <v>568.92541410528543</v>
      </c>
      <c r="R132" s="34">
        <f>(0.5*'Specification &amp; Data'!B$18*Simulation!F132^2)/1000</f>
        <v>20.852132985818628</v>
      </c>
      <c r="T132" s="40">
        <f>P132*'Specification &amp; Data'!B$14*0.9</f>
        <v>213.71021658393485</v>
      </c>
      <c r="U132" s="40">
        <f>T132/(IF(J132=1,'Specification &amp; Data'!H$7,IF(Simulation!J132=2,'Specification &amp; Data'!H$8,IF(Simulation!J132=3,'Specification &amp; Data'!H$9))))</f>
        <v>12.82151400812111</v>
      </c>
      <c r="V132" s="40">
        <f t="shared" ref="V132:V195" si="66">V131+(L132*F132/(1000*3600))</f>
        <v>9.1074794108028847E-3</v>
      </c>
      <c r="W132" s="40">
        <f t="shared" ref="W132:W195" si="67">W131+(IF(I132&lt;0,AC132,0))</f>
        <v>2.1349088374250407E-2</v>
      </c>
      <c r="X132" s="40">
        <f t="shared" si="54"/>
        <v>7.1998790676941899</v>
      </c>
      <c r="Y132" s="40">
        <f t="shared" si="55"/>
        <v>9.65131242318256</v>
      </c>
      <c r="Z132" s="40">
        <f t="shared" ref="Z132:Z195" si="68">(60*1000*X132)/(2*PI()*U132)</f>
        <v>5362.3761245119249</v>
      </c>
      <c r="AA132" s="40">
        <f t="shared" ref="AA132:AA195" si="69">ROUND(U132,0)</f>
        <v>13</v>
      </c>
      <c r="AB132" s="40">
        <f t="shared" ref="AB132:AB195" si="70">MROUND(Z132,500)</f>
        <v>5500</v>
      </c>
      <c r="AC132" s="40">
        <f t="shared" si="56"/>
        <v>1.9999664076928306E-3</v>
      </c>
      <c r="AD132" s="40">
        <f t="shared" ref="AD132:AD195" si="71">AD131+AC132</f>
        <v>8.6898266350773565E-2</v>
      </c>
      <c r="AE132" s="34">
        <f t="shared" ref="AE132:AE195" si="72">(O132*G132)/1000</f>
        <v>816.21429050915174</v>
      </c>
      <c r="AF132" s="34">
        <f t="shared" ref="AF132:AF195" si="73">(O132*F132)/1000</f>
        <v>7.1998790676941899</v>
      </c>
      <c r="AG132" s="34">
        <f t="shared" si="57"/>
        <v>9.65131242318256</v>
      </c>
      <c r="AH132" s="34">
        <f>INDEX('Specification &amp; Data'!E$24:R$46,MATCH(Simulation!AA132,'Specification &amp; Data'!D$24:D$46,0),MATCH(Simulation!AB132,'Specification &amp; Data'!E$47:R$47,0))</f>
        <v>313.44811950000002</v>
      </c>
      <c r="AI132" s="34">
        <f t="shared" si="58"/>
        <v>1.9999664076928306E-3</v>
      </c>
      <c r="AJ132" s="34">
        <f t="shared" si="50"/>
        <v>0.62688570955448808</v>
      </c>
      <c r="AK132" s="34">
        <f t="shared" ref="AK132:AK195" si="74">AK131+AJ132</f>
        <v>43.49967072535344</v>
      </c>
      <c r="AL132" s="34">
        <v>2.3289729133329802</v>
      </c>
    </row>
    <row r="133" spans="1:38" x14ac:dyDescent="0.25">
      <c r="C133" s="34">
        <f t="shared" si="59"/>
        <v>131</v>
      </c>
      <c r="D133" s="34">
        <v>19.8</v>
      </c>
      <c r="E133" s="34">
        <f t="shared" si="51"/>
        <v>31.864958380644989</v>
      </c>
      <c r="F133" s="34">
        <f t="shared" si="60"/>
        <v>8.851377327956941</v>
      </c>
      <c r="G133" s="37">
        <f t="shared" si="61"/>
        <v>1022.4681931567228</v>
      </c>
      <c r="H133" s="34">
        <f t="shared" si="62"/>
        <v>8.8960812538557121</v>
      </c>
      <c r="I133" s="34">
        <f t="shared" si="63"/>
        <v>-8.9407851797545845E-2</v>
      </c>
      <c r="J133" s="34">
        <f t="shared" si="64"/>
        <v>2</v>
      </c>
      <c r="K133" s="34">
        <v>0</v>
      </c>
      <c r="L133" s="34">
        <f>('Specification &amp; Data'!B$22*'Specification &amp; Data'!B$10*'Specification &amp; Data'!B$20*(Simulation!F133^2-'Specification &amp; Data'!B$21^2))/2</f>
        <v>34.49501233573578</v>
      </c>
      <c r="M133" s="34">
        <f t="shared" si="65"/>
        <v>-50.866399108182755</v>
      </c>
      <c r="N133" s="34">
        <f>'Specification &amp; Data'!B$26*'Specification &amp; Data'!B$18*8.91</f>
        <v>464.84361000000007</v>
      </c>
      <c r="O133" s="34">
        <f t="shared" si="52"/>
        <v>448.47222322755312</v>
      </c>
      <c r="P133" s="40">
        <f t="shared" si="53"/>
        <v>448.47222322755312</v>
      </c>
      <c r="Q133" s="34">
        <f>IF(J133=1,'Specification &amp; Data'!B$52,IF(Simulation!J133=2,'Specification &amp; Data'!B$53,IF(Simulation!J133=3,'Specification &amp; Data'!B$54)))</f>
        <v>568.92541410528543</v>
      </c>
      <c r="R133" s="34">
        <f>(0.5*'Specification &amp; Data'!B$18*Simulation!F133^2)/1000</f>
        <v>20.43717553940084</v>
      </c>
      <c r="T133" s="40">
        <f>P133*'Specification &amp; Data'!B$14*0.9</f>
        <v>119.01762847192755</v>
      </c>
      <c r="U133" s="40">
        <f>T133/(IF(J133=1,'Specification &amp; Data'!H$7,IF(Simulation!J133=2,'Specification &amp; Data'!H$8,IF(Simulation!J133=3,'Specification &amp; Data'!H$9))))</f>
        <v>7.1404456701153576</v>
      </c>
      <c r="V133" s="40">
        <f t="shared" si="66"/>
        <v>9.1922928469462539E-3</v>
      </c>
      <c r="W133" s="40">
        <f t="shared" si="67"/>
        <v>2.2451754171165631E-2</v>
      </c>
      <c r="X133" s="40">
        <f t="shared" si="54"/>
        <v>3.9695968688948078</v>
      </c>
      <c r="Y133" s="40">
        <f t="shared" si="55"/>
        <v>5.3211754274729328</v>
      </c>
      <c r="Z133" s="40">
        <f t="shared" si="68"/>
        <v>5308.7523632668081</v>
      </c>
      <c r="AA133" s="40">
        <f t="shared" si="69"/>
        <v>7</v>
      </c>
      <c r="AB133" s="40">
        <f t="shared" si="70"/>
        <v>5500</v>
      </c>
      <c r="AC133" s="40">
        <f t="shared" si="56"/>
        <v>1.1026657969152244E-3</v>
      </c>
      <c r="AD133" s="40">
        <f t="shared" si="71"/>
        <v>8.8000932147688796E-2</v>
      </c>
      <c r="AE133" s="34">
        <f t="shared" si="72"/>
        <v>458.54858376445469</v>
      </c>
      <c r="AF133" s="34">
        <f t="shared" si="73"/>
        <v>3.9695968688948078</v>
      </c>
      <c r="AG133" s="34">
        <f t="shared" si="57"/>
        <v>5.3211754274729328</v>
      </c>
      <c r="AH133" s="34">
        <f>INDEX('Specification &amp; Data'!E$24:R$46,MATCH(Simulation!AA133,'Specification &amp; Data'!D$24:D$46,0),MATCH(Simulation!AB133,'Specification &amp; Data'!E$47:R$47,0))</f>
        <v>464.79867524999986</v>
      </c>
      <c r="AI133" s="34">
        <f t="shared" si="58"/>
        <v>1.1026657969152244E-3</v>
      </c>
      <c r="AJ133" s="34">
        <f t="shared" si="50"/>
        <v>0.51251760164968174</v>
      </c>
      <c r="AK133" s="34">
        <f t="shared" si="74"/>
        <v>44.012188327003123</v>
      </c>
      <c r="AL133" s="34">
        <v>2.3289729133329802</v>
      </c>
    </row>
    <row r="134" spans="1:38" x14ac:dyDescent="0.25">
      <c r="C134" s="34">
        <f t="shared" si="59"/>
        <v>132</v>
      </c>
      <c r="D134" s="34">
        <v>18</v>
      </c>
      <c r="E134" s="34">
        <f t="shared" si="51"/>
        <v>28.968143982404534</v>
      </c>
      <c r="F134" s="34">
        <f t="shared" si="60"/>
        <v>8.0467066617790373</v>
      </c>
      <c r="G134" s="37">
        <f t="shared" si="61"/>
        <v>1030.9172351515908</v>
      </c>
      <c r="H134" s="34">
        <f t="shared" si="62"/>
        <v>8.44904199486799</v>
      </c>
      <c r="I134" s="34">
        <f t="shared" si="63"/>
        <v>-0.80467066617790195</v>
      </c>
      <c r="J134" s="34">
        <f t="shared" si="64"/>
        <v>2</v>
      </c>
      <c r="K134" s="34">
        <v>0</v>
      </c>
      <c r="L134" s="34">
        <f>('Specification &amp; Data'!B$22*'Specification &amp; Data'!B$10*'Specification &amp; Data'!B$20*(Simulation!F134^2-'Specification &amp; Data'!B$21^2))/2</f>
        <v>28.102525268609277</v>
      </c>
      <c r="M134" s="34">
        <f t="shared" si="65"/>
        <v>-457.79759197363876</v>
      </c>
      <c r="N134" s="34">
        <f>'Specification &amp; Data'!B$26*'Specification &amp; Data'!B$18*8.91</f>
        <v>464.84361000000007</v>
      </c>
      <c r="O134" s="34">
        <f t="shared" si="52"/>
        <v>35.14854329497058</v>
      </c>
      <c r="P134" s="40">
        <f t="shared" si="53"/>
        <v>35.14854329497058</v>
      </c>
      <c r="Q134" s="34">
        <f>IF(J134=1,'Specification &amp; Data'!B$52,IF(Simulation!J134=2,'Specification &amp; Data'!B$53,IF(Simulation!J134=3,'Specification &amp; Data'!B$54)))</f>
        <v>568.92541410528543</v>
      </c>
      <c r="R134" s="34">
        <f>(0.5*'Specification &amp; Data'!B$18*Simulation!F134^2)/1000</f>
        <v>16.890227718513092</v>
      </c>
      <c r="T134" s="40">
        <f>P134*'Specification &amp; Data'!B$14*0.9</f>
        <v>9.3278826436652711</v>
      </c>
      <c r="U134" s="40">
        <f>T134/(IF(J134=1,'Specification &amp; Data'!H$7,IF(Simulation!J134=2,'Specification &amp; Data'!H$8,IF(Simulation!J134=3,'Specification &amp; Data'!H$9))))</f>
        <v>0.55962499076356509</v>
      </c>
      <c r="V134" s="40">
        <f t="shared" si="66"/>
        <v>9.255107507305068E-3</v>
      </c>
      <c r="W134" s="40">
        <f t="shared" si="67"/>
        <v>2.2530318064911039E-2</v>
      </c>
      <c r="X134" s="40">
        <f t="shared" si="54"/>
        <v>0.2828300174834687</v>
      </c>
      <c r="Y134" s="40">
        <f t="shared" si="55"/>
        <v>0.37912870976336283</v>
      </c>
      <c r="Z134" s="40">
        <f t="shared" si="68"/>
        <v>4826.1385120607329</v>
      </c>
      <c r="AA134" s="40">
        <f t="shared" si="69"/>
        <v>1</v>
      </c>
      <c r="AB134" s="40">
        <f t="shared" si="70"/>
        <v>5000</v>
      </c>
      <c r="AC134" s="40">
        <f t="shared" si="56"/>
        <v>7.8563893745407977E-5</v>
      </c>
      <c r="AD134" s="40">
        <f t="shared" si="71"/>
        <v>8.807949604143421E-2</v>
      </c>
      <c r="AE134" s="34">
        <f t="shared" si="72"/>
        <v>36.235239073257056</v>
      </c>
      <c r="AF134" s="34">
        <f t="shared" si="73"/>
        <v>0.2828300174834687</v>
      </c>
      <c r="AG134" s="34">
        <f t="shared" si="57"/>
        <v>0.37912870976336283</v>
      </c>
      <c r="AH134" s="34">
        <f>INDEX('Specification &amp; Data'!E$24:R$46,MATCH(Simulation!AA134,'Specification &amp; Data'!D$24:D$46,0),MATCH(Simulation!AB134,'Specification &amp; Data'!E$47:R$47,0))</f>
        <v>890.20495199999982</v>
      </c>
      <c r="AI134" s="34">
        <f t="shared" si="58"/>
        <v>7.8563893745407977E-5</v>
      </c>
      <c r="AJ134" s="34">
        <f t="shared" si="50"/>
        <v>6.9937967260563991E-2</v>
      </c>
      <c r="AK134" s="34">
        <f t="shared" si="74"/>
        <v>44.082126294263688</v>
      </c>
      <c r="AL134" s="34">
        <v>2.3289729133329802</v>
      </c>
    </row>
    <row r="135" spans="1:38" x14ac:dyDescent="0.25">
      <c r="B135" s="36" t="s">
        <v>127</v>
      </c>
      <c r="C135" s="34">
        <f t="shared" si="59"/>
        <v>133</v>
      </c>
      <c r="D135" s="34">
        <v>16</v>
      </c>
      <c r="E135" s="34">
        <f t="shared" si="51"/>
        <v>25.749461317692919</v>
      </c>
      <c r="F135" s="34">
        <f t="shared" si="60"/>
        <v>7.1526281438035886</v>
      </c>
      <c r="G135" s="37">
        <f t="shared" si="61"/>
        <v>1038.5169025543821</v>
      </c>
      <c r="H135" s="34">
        <f t="shared" si="62"/>
        <v>7.5996674027913134</v>
      </c>
      <c r="I135" s="34">
        <f t="shared" si="63"/>
        <v>-0.8940785179754478</v>
      </c>
      <c r="J135" s="34">
        <f t="shared" si="64"/>
        <v>2</v>
      </c>
      <c r="K135" s="34">
        <v>0</v>
      </c>
      <c r="L135" s="34">
        <f>('Specification &amp; Data'!B$22*'Specification &amp; Data'!B$10*'Specification &amp; Data'!B$20*(Simulation!F135^2-'Specification &amp; Data'!B$21^2))/2</f>
        <v>21.713796277359986</v>
      </c>
      <c r="M135" s="34">
        <f t="shared" si="65"/>
        <v>-508.66399108182151</v>
      </c>
      <c r="N135" s="34">
        <f>'Specification &amp; Data'!B$26*'Specification &amp; Data'!B$18*8.91</f>
        <v>464.84361000000007</v>
      </c>
      <c r="O135" s="34">
        <f t="shared" si="52"/>
        <v>-22.106584804461477</v>
      </c>
      <c r="P135" s="40">
        <f t="shared" si="53"/>
        <v>22.106584804461477</v>
      </c>
      <c r="Q135" s="34">
        <f>IF(J135=1,'Specification &amp; Data'!B$52,IF(Simulation!J135=2,'Specification &amp; Data'!B$53,IF(Simulation!J135=3,'Specification &amp; Data'!B$54)))</f>
        <v>568.92541410528543</v>
      </c>
      <c r="R135" s="34">
        <f>(0.5*'Specification &amp; Data'!B$18*Simulation!F135^2)/1000</f>
        <v>13.345365110923924</v>
      </c>
      <c r="T135" s="40">
        <f>P135*'Specification &amp; Data'!B$14*0.9</f>
        <v>5.8667475057993919</v>
      </c>
      <c r="U135" s="40">
        <f>T135/(IF(J135=1,'Specification &amp; Data'!H$7,IF(Simulation!J135=2,'Specification &amp; Data'!H$8,IF(Simulation!J135=3,'Specification &amp; Data'!H$9))))</f>
        <v>0.35197468108958441</v>
      </c>
      <c r="V135" s="40">
        <f t="shared" si="66"/>
        <v>9.2982493712945851E-3</v>
      </c>
      <c r="W135" s="40">
        <f t="shared" si="67"/>
        <v>2.2574240337309863E-2</v>
      </c>
      <c r="X135" s="40">
        <f t="shared" si="54"/>
        <v>0.15812018063577191</v>
      </c>
      <c r="Y135" s="40">
        <f t="shared" si="55"/>
        <v>0.21195734669674518</v>
      </c>
      <c r="Z135" s="40">
        <f t="shared" si="68"/>
        <v>4289.9008996095417</v>
      </c>
      <c r="AA135" s="40">
        <f t="shared" si="69"/>
        <v>0</v>
      </c>
      <c r="AB135" s="40">
        <f t="shared" si="70"/>
        <v>4500</v>
      </c>
      <c r="AC135" s="40">
        <f t="shared" si="56"/>
        <v>4.3922272398825532E-5</v>
      </c>
      <c r="AD135" s="40">
        <f t="shared" si="71"/>
        <v>8.8123418313833038E-2</v>
      </c>
      <c r="AE135" s="34">
        <f t="shared" si="72"/>
        <v>-22.958061977185107</v>
      </c>
      <c r="AF135" s="34">
        <f t="shared" si="73"/>
        <v>-0.15812018063577191</v>
      </c>
      <c r="AG135" s="34">
        <f t="shared" si="57"/>
        <v>-0.21195734669674518</v>
      </c>
      <c r="AH135" s="34">
        <f>INDEX('Specification &amp; Data'!E$24:R$46,MATCH(Simulation!AA135,'Specification &amp; Data'!D$24:D$46,0),MATCH(Simulation!AB135,'Specification &amp; Data'!E$47:R$47,0))</f>
        <v>987.1404269999997</v>
      </c>
      <c r="AI135" s="34">
        <f t="shared" si="58"/>
        <v>-4.3922272398825532E-5</v>
      </c>
      <c r="AJ135" s="34">
        <f t="shared" si="50"/>
        <v>4.3357450730586937E-2</v>
      </c>
      <c r="AK135" s="34">
        <f t="shared" si="74"/>
        <v>44.125483744994277</v>
      </c>
      <c r="AL135" s="34">
        <v>2.3289729133329802</v>
      </c>
    </row>
    <row r="136" spans="1:38" x14ac:dyDescent="0.25">
      <c r="C136" s="34">
        <f t="shared" si="59"/>
        <v>134</v>
      </c>
      <c r="D136" s="34">
        <v>16</v>
      </c>
      <c r="E136" s="34">
        <f t="shared" si="51"/>
        <v>25.749461317692919</v>
      </c>
      <c r="F136" s="34">
        <f t="shared" si="60"/>
        <v>7.1526281438035886</v>
      </c>
      <c r="G136" s="37">
        <f t="shared" si="61"/>
        <v>1045.6695306981858</v>
      </c>
      <c r="H136" s="34">
        <f t="shared" si="62"/>
        <v>7.1526281438035886</v>
      </c>
      <c r="I136" s="34">
        <f t="shared" si="63"/>
        <v>0</v>
      </c>
      <c r="J136" s="34">
        <f t="shared" si="64"/>
        <v>2</v>
      </c>
      <c r="K136" s="34">
        <v>0</v>
      </c>
      <c r="L136" s="34">
        <f>('Specification &amp; Data'!B$22*'Specification &amp; Data'!B$10*'Specification &amp; Data'!B$20*(Simulation!F136^2-'Specification &amp; Data'!B$21^2))/2</f>
        <v>21.713796277359986</v>
      </c>
      <c r="M136" s="34">
        <f t="shared" si="65"/>
        <v>0</v>
      </c>
      <c r="N136" s="34">
        <f>'Specification &amp; Data'!B$26*'Specification &amp; Data'!B$18*8.91</f>
        <v>464.84361000000007</v>
      </c>
      <c r="O136" s="34">
        <f t="shared" si="52"/>
        <v>486.55740627736003</v>
      </c>
      <c r="P136" s="40">
        <f t="shared" si="53"/>
        <v>486.55740627736003</v>
      </c>
      <c r="Q136" s="34">
        <f>IF(J136=1,'Specification &amp; Data'!B$52,IF(Simulation!J136=2,'Specification &amp; Data'!B$53,IF(Simulation!J136=3,'Specification &amp; Data'!B$54)))</f>
        <v>568.92541410528543</v>
      </c>
      <c r="R136" s="34">
        <f>(0.5*'Specification &amp; Data'!B$18*Simulation!F136^2)/1000</f>
        <v>13.345365110923924</v>
      </c>
      <c r="T136" s="40">
        <f>P136*'Specification &amp; Data'!B$14*0.9</f>
        <v>129.12485012745324</v>
      </c>
      <c r="U136" s="40">
        <f>T136/(IF(J136=1,'Specification &amp; Data'!H$7,IF(Simulation!J136=2,'Specification &amp; Data'!H$8,IF(Simulation!J136=3,'Specification &amp; Data'!H$9))))</f>
        <v>7.7468269939048602</v>
      </c>
      <c r="V136" s="40">
        <f t="shared" si="66"/>
        <v>9.3413912352841022E-3</v>
      </c>
      <c r="W136" s="40">
        <f t="shared" si="67"/>
        <v>2.2574240337309863E-2</v>
      </c>
      <c r="X136" s="40">
        <f t="shared" si="54"/>
        <v>3.4801641977155224</v>
      </c>
      <c r="Y136" s="40">
        <f t="shared" si="55"/>
        <v>4.6650994607446679</v>
      </c>
      <c r="Z136" s="40">
        <f t="shared" si="68"/>
        <v>4289.9008996095408</v>
      </c>
      <c r="AA136" s="40">
        <f t="shared" si="69"/>
        <v>8</v>
      </c>
      <c r="AB136" s="40">
        <f t="shared" si="70"/>
        <v>4500</v>
      </c>
      <c r="AC136" s="40">
        <f t="shared" si="56"/>
        <v>9.6671227714320064E-4</v>
      </c>
      <c r="AD136" s="40">
        <f t="shared" si="71"/>
        <v>8.9090130590976244E-2</v>
      </c>
      <c r="AE136" s="34">
        <f t="shared" si="72"/>
        <v>508.77825467977357</v>
      </c>
      <c r="AF136" s="34">
        <f t="shared" si="73"/>
        <v>3.4801641977155224</v>
      </c>
      <c r="AG136" s="34">
        <f t="shared" si="57"/>
        <v>4.6650994607446679</v>
      </c>
      <c r="AH136" s="34">
        <f>INDEX('Specification &amp; Data'!E$24:R$46,MATCH(Simulation!AA136,'Specification &amp; Data'!D$24:D$46,0),MATCH(Simulation!AB136,'Specification &amp; Data'!E$47:R$47,0))</f>
        <v>489.46439267578143</v>
      </c>
      <c r="AI136" s="34">
        <f t="shared" si="58"/>
        <v>9.6671227714320064E-4</v>
      </c>
      <c r="AJ136" s="34">
        <f t="shared" si="50"/>
        <v>0.47317123762411839</v>
      </c>
      <c r="AK136" s="34">
        <f t="shared" si="74"/>
        <v>44.598654982618399</v>
      </c>
      <c r="AL136" s="34">
        <v>2.3289729133329802</v>
      </c>
    </row>
    <row r="137" spans="1:38" x14ac:dyDescent="0.25">
      <c r="C137" s="34">
        <f t="shared" si="59"/>
        <v>135</v>
      </c>
      <c r="D137" s="34">
        <v>16</v>
      </c>
      <c r="E137" s="34">
        <f t="shared" si="51"/>
        <v>25.749461317692919</v>
      </c>
      <c r="F137" s="34">
        <f t="shared" si="60"/>
        <v>7.1526281438035886</v>
      </c>
      <c r="G137" s="37">
        <f t="shared" si="61"/>
        <v>1052.8221588419894</v>
      </c>
      <c r="H137" s="34">
        <f t="shared" si="62"/>
        <v>7.1526281438035886</v>
      </c>
      <c r="I137" s="34">
        <f t="shared" si="63"/>
        <v>0</v>
      </c>
      <c r="J137" s="34">
        <f t="shared" si="64"/>
        <v>2</v>
      </c>
      <c r="K137" s="34">
        <v>0</v>
      </c>
      <c r="L137" s="34">
        <f>('Specification &amp; Data'!B$22*'Specification &amp; Data'!B$10*'Specification &amp; Data'!B$20*(Simulation!F137^2-'Specification &amp; Data'!B$21^2))/2</f>
        <v>21.713796277359986</v>
      </c>
      <c r="M137" s="34">
        <f t="shared" si="65"/>
        <v>0</v>
      </c>
      <c r="N137" s="34">
        <f>'Specification &amp; Data'!B$26*'Specification &amp; Data'!B$18*8.91</f>
        <v>464.84361000000007</v>
      </c>
      <c r="O137" s="34">
        <f t="shared" si="52"/>
        <v>486.55740627736003</v>
      </c>
      <c r="P137" s="40">
        <f t="shared" si="53"/>
        <v>486.55740627736003</v>
      </c>
      <c r="Q137" s="34">
        <f>IF(J137=1,'Specification &amp; Data'!B$52,IF(Simulation!J137=2,'Specification &amp; Data'!B$53,IF(Simulation!J137=3,'Specification &amp; Data'!B$54)))</f>
        <v>568.92541410528543</v>
      </c>
      <c r="R137" s="34">
        <f>(0.5*'Specification &amp; Data'!B$18*Simulation!F137^2)/1000</f>
        <v>13.345365110923924</v>
      </c>
      <c r="T137" s="40">
        <f>P137*'Specification &amp; Data'!B$14*0.9</f>
        <v>129.12485012745324</v>
      </c>
      <c r="U137" s="40">
        <f>T137/(IF(J137=1,'Specification &amp; Data'!H$7,IF(Simulation!J137=2,'Specification &amp; Data'!H$8,IF(Simulation!J137=3,'Specification &amp; Data'!H$9))))</f>
        <v>7.7468269939048602</v>
      </c>
      <c r="V137" s="40">
        <f t="shared" si="66"/>
        <v>9.3845330992736193E-3</v>
      </c>
      <c r="W137" s="40">
        <f t="shared" si="67"/>
        <v>2.2574240337309863E-2</v>
      </c>
      <c r="X137" s="40">
        <f t="shared" si="54"/>
        <v>3.4801641977155224</v>
      </c>
      <c r="Y137" s="40">
        <f t="shared" si="55"/>
        <v>4.6650994607446679</v>
      </c>
      <c r="Z137" s="40">
        <f t="shared" si="68"/>
        <v>4289.9008996095408</v>
      </c>
      <c r="AA137" s="40">
        <f t="shared" si="69"/>
        <v>8</v>
      </c>
      <c r="AB137" s="40">
        <f t="shared" si="70"/>
        <v>4500</v>
      </c>
      <c r="AC137" s="40">
        <f t="shared" si="56"/>
        <v>9.6671227714320064E-4</v>
      </c>
      <c r="AD137" s="40">
        <f t="shared" si="71"/>
        <v>9.0056842868119449E-2</v>
      </c>
      <c r="AE137" s="34">
        <f t="shared" si="72"/>
        <v>512.25841887748913</v>
      </c>
      <c r="AF137" s="34">
        <f t="shared" si="73"/>
        <v>3.4801641977155224</v>
      </c>
      <c r="AG137" s="34">
        <f t="shared" si="57"/>
        <v>4.6650994607446679</v>
      </c>
      <c r="AH137" s="34">
        <f>INDEX('Specification &amp; Data'!E$24:R$46,MATCH(Simulation!AA137,'Specification &amp; Data'!D$24:D$46,0),MATCH(Simulation!AB137,'Specification &amp; Data'!E$47:R$47,0))</f>
        <v>489.46439267578143</v>
      </c>
      <c r="AI137" s="34">
        <f t="shared" si="58"/>
        <v>9.6671227714320064E-4</v>
      </c>
      <c r="AJ137" s="34">
        <f t="shared" si="50"/>
        <v>0.47317123762411839</v>
      </c>
      <c r="AK137" s="34">
        <f t="shared" si="74"/>
        <v>45.071826220242514</v>
      </c>
      <c r="AL137" s="34">
        <v>2.3289729133329802</v>
      </c>
    </row>
    <row r="138" spans="1:38" x14ac:dyDescent="0.25">
      <c r="C138" s="34">
        <f t="shared" si="59"/>
        <v>136</v>
      </c>
      <c r="D138" s="34">
        <v>16</v>
      </c>
      <c r="E138" s="34">
        <f t="shared" si="51"/>
        <v>25.749461317692919</v>
      </c>
      <c r="F138" s="34">
        <f t="shared" si="60"/>
        <v>7.1526281438035886</v>
      </c>
      <c r="G138" s="37">
        <f t="shared" si="61"/>
        <v>1059.9747869857931</v>
      </c>
      <c r="H138" s="34">
        <f t="shared" si="62"/>
        <v>7.1526281438035886</v>
      </c>
      <c r="I138" s="34">
        <f t="shared" si="63"/>
        <v>0</v>
      </c>
      <c r="J138" s="34">
        <f t="shared" si="64"/>
        <v>2</v>
      </c>
      <c r="K138" s="34">
        <v>0</v>
      </c>
      <c r="L138" s="34">
        <f>('Specification &amp; Data'!B$22*'Specification &amp; Data'!B$10*'Specification &amp; Data'!B$20*(Simulation!F138^2-'Specification &amp; Data'!B$21^2))/2</f>
        <v>21.713796277359986</v>
      </c>
      <c r="M138" s="34">
        <f t="shared" si="65"/>
        <v>0</v>
      </c>
      <c r="N138" s="34">
        <f>'Specification &amp; Data'!B$26*'Specification &amp; Data'!B$18*8.91</f>
        <v>464.84361000000007</v>
      </c>
      <c r="O138" s="34">
        <f t="shared" si="52"/>
        <v>486.55740627736003</v>
      </c>
      <c r="P138" s="40">
        <f t="shared" si="53"/>
        <v>486.55740627736003</v>
      </c>
      <c r="Q138" s="34">
        <f>IF(J138=1,'Specification &amp; Data'!B$52,IF(Simulation!J138=2,'Specification &amp; Data'!B$53,IF(Simulation!J138=3,'Specification &amp; Data'!B$54)))</f>
        <v>568.92541410528543</v>
      </c>
      <c r="R138" s="34">
        <f>(0.5*'Specification &amp; Data'!B$18*Simulation!F138^2)/1000</f>
        <v>13.345365110923924</v>
      </c>
      <c r="T138" s="40">
        <f>P138*'Specification &amp; Data'!B$14*0.9</f>
        <v>129.12485012745324</v>
      </c>
      <c r="U138" s="40">
        <f>T138/(IF(J138=1,'Specification &amp; Data'!H$7,IF(Simulation!J138=2,'Specification &amp; Data'!H$8,IF(Simulation!J138=3,'Specification &amp; Data'!H$9))))</f>
        <v>7.7468269939048602</v>
      </c>
      <c r="V138" s="40">
        <f t="shared" si="66"/>
        <v>9.4276749632631364E-3</v>
      </c>
      <c r="W138" s="40">
        <f t="shared" si="67"/>
        <v>2.2574240337309863E-2</v>
      </c>
      <c r="X138" s="40">
        <f t="shared" si="54"/>
        <v>3.4801641977155224</v>
      </c>
      <c r="Y138" s="40">
        <f t="shared" si="55"/>
        <v>4.6650994607446679</v>
      </c>
      <c r="Z138" s="40">
        <f t="shared" si="68"/>
        <v>4289.9008996095408</v>
      </c>
      <c r="AA138" s="40">
        <f t="shared" si="69"/>
        <v>8</v>
      </c>
      <c r="AB138" s="40">
        <f t="shared" si="70"/>
        <v>4500</v>
      </c>
      <c r="AC138" s="40">
        <f t="shared" si="56"/>
        <v>9.6671227714320064E-4</v>
      </c>
      <c r="AD138" s="40">
        <f t="shared" si="71"/>
        <v>9.1023555145262655E-2</v>
      </c>
      <c r="AE138" s="34">
        <f t="shared" si="72"/>
        <v>515.7385830752047</v>
      </c>
      <c r="AF138" s="34">
        <f t="shared" si="73"/>
        <v>3.4801641977155224</v>
      </c>
      <c r="AG138" s="34">
        <f t="shared" si="57"/>
        <v>4.6650994607446679</v>
      </c>
      <c r="AH138" s="34">
        <f>INDEX('Specification &amp; Data'!E$24:R$46,MATCH(Simulation!AA138,'Specification &amp; Data'!D$24:D$46,0),MATCH(Simulation!AB138,'Specification &amp; Data'!E$47:R$47,0))</f>
        <v>489.46439267578143</v>
      </c>
      <c r="AI138" s="34">
        <f t="shared" si="58"/>
        <v>9.6671227714320064E-4</v>
      </c>
      <c r="AJ138" s="34">
        <f t="shared" si="50"/>
        <v>0.47317123762411839</v>
      </c>
      <c r="AK138" s="34">
        <f t="shared" si="74"/>
        <v>45.544997457866629</v>
      </c>
      <c r="AL138" s="34">
        <v>2.3289729133329802</v>
      </c>
    </row>
    <row r="139" spans="1:38" x14ac:dyDescent="0.25">
      <c r="C139" s="34">
        <f t="shared" si="59"/>
        <v>137</v>
      </c>
      <c r="D139" s="34">
        <v>16</v>
      </c>
      <c r="E139" s="34">
        <f t="shared" si="51"/>
        <v>25.749461317692919</v>
      </c>
      <c r="F139" s="34">
        <f t="shared" si="60"/>
        <v>7.1526281438035886</v>
      </c>
      <c r="G139" s="37">
        <f t="shared" si="61"/>
        <v>1067.1274151295968</v>
      </c>
      <c r="H139" s="34">
        <f t="shared" si="62"/>
        <v>7.1526281438035886</v>
      </c>
      <c r="I139" s="34">
        <f t="shared" si="63"/>
        <v>0</v>
      </c>
      <c r="J139" s="34">
        <f t="shared" si="64"/>
        <v>2</v>
      </c>
      <c r="K139" s="34">
        <v>0</v>
      </c>
      <c r="L139" s="34">
        <f>('Specification &amp; Data'!B$22*'Specification &amp; Data'!B$10*'Specification &amp; Data'!B$20*(Simulation!F139^2-'Specification &amp; Data'!B$21^2))/2</f>
        <v>21.713796277359986</v>
      </c>
      <c r="M139" s="34">
        <f t="shared" si="65"/>
        <v>0</v>
      </c>
      <c r="N139" s="34">
        <f>'Specification &amp; Data'!B$26*'Specification &amp; Data'!B$18*8.91</f>
        <v>464.84361000000007</v>
      </c>
      <c r="O139" s="34">
        <f t="shared" si="52"/>
        <v>486.55740627736003</v>
      </c>
      <c r="P139" s="40">
        <f t="shared" si="53"/>
        <v>486.55740627736003</v>
      </c>
      <c r="Q139" s="34">
        <f>IF(J139=1,'Specification &amp; Data'!B$52,IF(Simulation!J139=2,'Specification &amp; Data'!B$53,IF(Simulation!J139=3,'Specification &amp; Data'!B$54)))</f>
        <v>568.92541410528543</v>
      </c>
      <c r="R139" s="34">
        <f>(0.5*'Specification &amp; Data'!B$18*Simulation!F139^2)/1000</f>
        <v>13.345365110923924</v>
      </c>
      <c r="T139" s="40">
        <f>P139*'Specification &amp; Data'!B$14*0.9</f>
        <v>129.12485012745324</v>
      </c>
      <c r="U139" s="40">
        <f>T139/(IF(J139=1,'Specification &amp; Data'!H$7,IF(Simulation!J139=2,'Specification &amp; Data'!H$8,IF(Simulation!J139=3,'Specification &amp; Data'!H$9))))</f>
        <v>7.7468269939048602</v>
      </c>
      <c r="V139" s="40">
        <f t="shared" si="66"/>
        <v>9.4708168272526535E-3</v>
      </c>
      <c r="W139" s="40">
        <f t="shared" si="67"/>
        <v>2.2574240337309863E-2</v>
      </c>
      <c r="X139" s="40">
        <f t="shared" si="54"/>
        <v>3.4801641977155224</v>
      </c>
      <c r="Y139" s="40">
        <f t="shared" si="55"/>
        <v>4.6650994607446679</v>
      </c>
      <c r="Z139" s="40">
        <f t="shared" si="68"/>
        <v>4289.9008996095408</v>
      </c>
      <c r="AA139" s="40">
        <f t="shared" si="69"/>
        <v>8</v>
      </c>
      <c r="AB139" s="40">
        <f t="shared" si="70"/>
        <v>4500</v>
      </c>
      <c r="AC139" s="40">
        <f t="shared" si="56"/>
        <v>9.6671227714320064E-4</v>
      </c>
      <c r="AD139" s="40">
        <f t="shared" si="71"/>
        <v>9.1990267422405861E-2</v>
      </c>
      <c r="AE139" s="34">
        <f t="shared" si="72"/>
        <v>519.21874727292027</v>
      </c>
      <c r="AF139" s="34">
        <f t="shared" si="73"/>
        <v>3.4801641977155224</v>
      </c>
      <c r="AG139" s="34">
        <f t="shared" si="57"/>
        <v>4.6650994607446679</v>
      </c>
      <c r="AH139" s="34">
        <f>INDEX('Specification &amp; Data'!E$24:R$46,MATCH(Simulation!AA139,'Specification &amp; Data'!D$24:D$46,0),MATCH(Simulation!AB139,'Specification &amp; Data'!E$47:R$47,0))</f>
        <v>489.46439267578143</v>
      </c>
      <c r="AI139" s="34">
        <f t="shared" si="58"/>
        <v>9.6671227714320064E-4</v>
      </c>
      <c r="AJ139" s="34">
        <f t="shared" si="50"/>
        <v>0.47317123762411839</v>
      </c>
      <c r="AK139" s="34">
        <f t="shared" si="74"/>
        <v>46.018168695490743</v>
      </c>
      <c r="AL139" s="34">
        <v>2.3289729133329802</v>
      </c>
    </row>
    <row r="140" spans="1:38" x14ac:dyDescent="0.25">
      <c r="C140" s="34">
        <f t="shared" si="59"/>
        <v>138</v>
      </c>
      <c r="D140" s="34">
        <v>16</v>
      </c>
      <c r="E140" s="34">
        <f t="shared" si="51"/>
        <v>25.749461317692919</v>
      </c>
      <c r="F140" s="34">
        <f t="shared" si="60"/>
        <v>7.1526281438035886</v>
      </c>
      <c r="G140" s="37">
        <f t="shared" si="61"/>
        <v>1074.2800432734005</v>
      </c>
      <c r="H140" s="34">
        <f t="shared" si="62"/>
        <v>7.1526281438035886</v>
      </c>
      <c r="I140" s="34">
        <f t="shared" si="63"/>
        <v>0</v>
      </c>
      <c r="J140" s="34">
        <f t="shared" si="64"/>
        <v>2</v>
      </c>
      <c r="K140" s="34">
        <v>0</v>
      </c>
      <c r="L140" s="34">
        <f>('Specification &amp; Data'!B$22*'Specification &amp; Data'!B$10*'Specification &amp; Data'!B$20*(Simulation!F140^2-'Specification &amp; Data'!B$21^2))/2</f>
        <v>21.713796277359986</v>
      </c>
      <c r="M140" s="34">
        <f t="shared" si="65"/>
        <v>0</v>
      </c>
      <c r="N140" s="34">
        <f>'Specification &amp; Data'!B$26*'Specification &amp; Data'!B$18*8.91</f>
        <v>464.84361000000007</v>
      </c>
      <c r="O140" s="34">
        <f t="shared" si="52"/>
        <v>486.55740627736003</v>
      </c>
      <c r="P140" s="40">
        <f t="shared" si="53"/>
        <v>486.55740627736003</v>
      </c>
      <c r="Q140" s="34">
        <f>IF(J140=1,'Specification &amp; Data'!B$52,IF(Simulation!J140=2,'Specification &amp; Data'!B$53,IF(Simulation!J140=3,'Specification &amp; Data'!B$54)))</f>
        <v>568.92541410528543</v>
      </c>
      <c r="R140" s="34">
        <f>(0.5*'Specification &amp; Data'!B$18*Simulation!F140^2)/1000</f>
        <v>13.345365110923924</v>
      </c>
      <c r="T140" s="40">
        <f>P140*'Specification &amp; Data'!B$14*0.9</f>
        <v>129.12485012745324</v>
      </c>
      <c r="U140" s="40">
        <f>T140/(IF(J140=1,'Specification &amp; Data'!H$7,IF(Simulation!J140=2,'Specification &amp; Data'!H$8,IF(Simulation!J140=3,'Specification &amp; Data'!H$9))))</f>
        <v>7.7468269939048602</v>
      </c>
      <c r="V140" s="40">
        <f t="shared" si="66"/>
        <v>9.5139586912421706E-3</v>
      </c>
      <c r="W140" s="40">
        <f t="shared" si="67"/>
        <v>2.2574240337309863E-2</v>
      </c>
      <c r="X140" s="40">
        <f t="shared" si="54"/>
        <v>3.4801641977155224</v>
      </c>
      <c r="Y140" s="40">
        <f t="shared" si="55"/>
        <v>4.6650994607446679</v>
      </c>
      <c r="Z140" s="40">
        <f t="shared" si="68"/>
        <v>4289.9008996095408</v>
      </c>
      <c r="AA140" s="40">
        <f t="shared" si="69"/>
        <v>8</v>
      </c>
      <c r="AB140" s="40">
        <f t="shared" si="70"/>
        <v>4500</v>
      </c>
      <c r="AC140" s="40">
        <f t="shared" si="56"/>
        <v>9.6671227714320064E-4</v>
      </c>
      <c r="AD140" s="40">
        <f t="shared" si="71"/>
        <v>9.2956979699549067E-2</v>
      </c>
      <c r="AE140" s="34">
        <f t="shared" si="72"/>
        <v>522.69891147063584</v>
      </c>
      <c r="AF140" s="34">
        <f t="shared" si="73"/>
        <v>3.4801641977155224</v>
      </c>
      <c r="AG140" s="34">
        <f t="shared" si="57"/>
        <v>4.6650994607446679</v>
      </c>
      <c r="AH140" s="34">
        <f>INDEX('Specification &amp; Data'!E$24:R$46,MATCH(Simulation!AA140,'Specification &amp; Data'!D$24:D$46,0),MATCH(Simulation!AB140,'Specification &amp; Data'!E$47:R$47,0))</f>
        <v>489.46439267578143</v>
      </c>
      <c r="AI140" s="34">
        <f t="shared" si="58"/>
        <v>9.6671227714320064E-4</v>
      </c>
      <c r="AJ140" s="34">
        <f t="shared" si="50"/>
        <v>0.47317123762411839</v>
      </c>
      <c r="AK140" s="34">
        <f t="shared" si="74"/>
        <v>46.491339933114858</v>
      </c>
      <c r="AL140" s="34">
        <v>2.3289729133329802</v>
      </c>
    </row>
    <row r="141" spans="1:38" x14ac:dyDescent="0.25">
      <c r="B141" s="36" t="s">
        <v>128</v>
      </c>
      <c r="C141" s="34">
        <f t="shared" si="59"/>
        <v>139</v>
      </c>
      <c r="D141" s="34">
        <v>16</v>
      </c>
      <c r="E141" s="34">
        <f t="shared" si="51"/>
        <v>25.749461317692919</v>
      </c>
      <c r="F141" s="34">
        <f t="shared" si="60"/>
        <v>7.1526281438035886</v>
      </c>
      <c r="G141" s="37">
        <f t="shared" si="61"/>
        <v>1081.4326714172041</v>
      </c>
      <c r="H141" s="34">
        <f t="shared" si="62"/>
        <v>7.1526281438035886</v>
      </c>
      <c r="I141" s="34">
        <f t="shared" si="63"/>
        <v>0</v>
      </c>
      <c r="J141" s="34">
        <f t="shared" si="64"/>
        <v>2</v>
      </c>
      <c r="K141" s="34">
        <v>0</v>
      </c>
      <c r="L141" s="34">
        <f>('Specification &amp; Data'!B$22*'Specification &amp; Data'!B$10*'Specification &amp; Data'!B$20*(Simulation!F141^2-'Specification &amp; Data'!B$21^2))/2</f>
        <v>21.713796277359986</v>
      </c>
      <c r="M141" s="34">
        <f t="shared" si="65"/>
        <v>0</v>
      </c>
      <c r="N141" s="34">
        <f>'Specification &amp; Data'!B$26*'Specification &amp; Data'!B$18*8.91</f>
        <v>464.84361000000007</v>
      </c>
      <c r="O141" s="34">
        <f t="shared" si="52"/>
        <v>486.55740627736003</v>
      </c>
      <c r="P141" s="40">
        <f t="shared" si="53"/>
        <v>486.55740627736003</v>
      </c>
      <c r="Q141" s="34">
        <f>IF(J141=1,'Specification &amp; Data'!B$52,IF(Simulation!J141=2,'Specification &amp; Data'!B$53,IF(Simulation!J141=3,'Specification &amp; Data'!B$54)))</f>
        <v>568.92541410528543</v>
      </c>
      <c r="R141" s="34">
        <f>(0.5*'Specification &amp; Data'!B$18*Simulation!F141^2)/1000</f>
        <v>13.345365110923924</v>
      </c>
      <c r="T141" s="40">
        <f>P141*'Specification &amp; Data'!B$14*0.9</f>
        <v>129.12485012745324</v>
      </c>
      <c r="U141" s="40">
        <f>T141/(IF(J141=1,'Specification &amp; Data'!H$7,IF(Simulation!J141=2,'Specification &amp; Data'!H$8,IF(Simulation!J141=3,'Specification &amp; Data'!H$9))))</f>
        <v>7.7468269939048602</v>
      </c>
      <c r="V141" s="40">
        <f t="shared" si="66"/>
        <v>9.5571005552316877E-3</v>
      </c>
      <c r="W141" s="40">
        <f t="shared" si="67"/>
        <v>2.2574240337309863E-2</v>
      </c>
      <c r="X141" s="40">
        <f t="shared" si="54"/>
        <v>3.4801641977155224</v>
      </c>
      <c r="Y141" s="40">
        <f t="shared" si="55"/>
        <v>4.6650994607446679</v>
      </c>
      <c r="Z141" s="40">
        <f t="shared" si="68"/>
        <v>4289.9008996095408</v>
      </c>
      <c r="AA141" s="40">
        <f t="shared" si="69"/>
        <v>8</v>
      </c>
      <c r="AB141" s="40">
        <f t="shared" si="70"/>
        <v>4500</v>
      </c>
      <c r="AC141" s="40">
        <f t="shared" si="56"/>
        <v>9.6671227714320064E-4</v>
      </c>
      <c r="AD141" s="40">
        <f t="shared" si="71"/>
        <v>9.3923691976692272E-2</v>
      </c>
      <c r="AE141" s="34">
        <f t="shared" si="72"/>
        <v>526.1790756683514</v>
      </c>
      <c r="AF141" s="34">
        <f t="shared" si="73"/>
        <v>3.4801641977155224</v>
      </c>
      <c r="AG141" s="34">
        <f t="shared" si="57"/>
        <v>4.6650994607446679</v>
      </c>
      <c r="AH141" s="34">
        <f>INDEX('Specification &amp; Data'!E$24:R$46,MATCH(Simulation!AA141,'Specification &amp; Data'!D$24:D$46,0),MATCH(Simulation!AB141,'Specification &amp; Data'!E$47:R$47,0))</f>
        <v>489.46439267578143</v>
      </c>
      <c r="AI141" s="34">
        <f t="shared" si="58"/>
        <v>9.6671227714320064E-4</v>
      </c>
      <c r="AJ141" s="34">
        <f t="shared" si="50"/>
        <v>0.47317123762411839</v>
      </c>
      <c r="AK141" s="34">
        <f t="shared" si="74"/>
        <v>46.964511170738973</v>
      </c>
      <c r="AL141" s="34">
        <v>2.3289729133329802</v>
      </c>
    </row>
    <row r="142" spans="1:38" x14ac:dyDescent="0.25">
      <c r="C142" s="34">
        <f t="shared" si="59"/>
        <v>140</v>
      </c>
      <c r="D142" s="34">
        <v>17</v>
      </c>
      <c r="E142" s="34">
        <f t="shared" si="51"/>
        <v>27.358802650048727</v>
      </c>
      <c r="F142" s="34">
        <f t="shared" si="60"/>
        <v>7.5996674027913125</v>
      </c>
      <c r="G142" s="37">
        <f t="shared" si="61"/>
        <v>1088.8088191905015</v>
      </c>
      <c r="H142" s="34">
        <f t="shared" si="62"/>
        <v>7.3761477732974505</v>
      </c>
      <c r="I142" s="34">
        <f t="shared" si="63"/>
        <v>0.4470392589877239</v>
      </c>
      <c r="J142" s="34">
        <f t="shared" si="64"/>
        <v>2</v>
      </c>
      <c r="K142" s="34">
        <v>0</v>
      </c>
      <c r="L142" s="34">
        <f>('Specification &amp; Data'!B$22*'Specification &amp; Data'!B$10*'Specification &amp; Data'!B$20*(Simulation!F142^2-'Specification &amp; Data'!B$21^2))/2</f>
        <v>24.81420887605449</v>
      </c>
      <c r="M142" s="34">
        <f t="shared" si="65"/>
        <v>254.33199554091075</v>
      </c>
      <c r="N142" s="34">
        <f>'Specification &amp; Data'!B$26*'Specification &amp; Data'!B$18*8.91</f>
        <v>464.84361000000007</v>
      </c>
      <c r="O142" s="34">
        <f t="shared" si="52"/>
        <v>743.98981441696537</v>
      </c>
      <c r="P142" s="40">
        <f t="shared" si="53"/>
        <v>743.98981441696537</v>
      </c>
      <c r="Q142" s="34">
        <f>IF(J142=1,'Specification &amp; Data'!B$52,IF(Simulation!J142=2,'Specification &amp; Data'!B$53,IF(Simulation!J142=3,'Specification &amp; Data'!B$54)))</f>
        <v>568.92541410528543</v>
      </c>
      <c r="R142" s="34">
        <f>(0.5*'Specification &amp; Data'!B$18*Simulation!F142^2)/1000</f>
        <v>15.06566608225396</v>
      </c>
      <c r="T142" s="40">
        <f>P142*'Specification &amp; Data'!B$14*0.9</f>
        <v>197.44345074911774</v>
      </c>
      <c r="U142" s="40">
        <f>T142/(IF(J142=1,'Specification &amp; Data'!H$7,IF(Simulation!J142=2,'Specification &amp; Data'!H$8,IF(Simulation!J142=3,'Specification &amp; Data'!H$9))))</f>
        <v>11.845591708514908</v>
      </c>
      <c r="V142" s="40">
        <f t="shared" si="66"/>
        <v>9.6094838147654116E-3</v>
      </c>
      <c r="W142" s="40">
        <f t="shared" si="67"/>
        <v>2.2574240337309863E-2</v>
      </c>
      <c r="X142" s="40">
        <f t="shared" si="54"/>
        <v>5.6540751406333705</v>
      </c>
      <c r="Y142" s="40">
        <f t="shared" si="55"/>
        <v>7.5791891965594775</v>
      </c>
      <c r="Z142" s="40">
        <f t="shared" si="68"/>
        <v>4558.0197058351359</v>
      </c>
      <c r="AA142" s="40">
        <f t="shared" si="69"/>
        <v>12</v>
      </c>
      <c r="AB142" s="40">
        <f t="shared" si="70"/>
        <v>4500</v>
      </c>
      <c r="AC142" s="40">
        <f t="shared" si="56"/>
        <v>1.5705764279537141E-3</v>
      </c>
      <c r="AD142" s="40">
        <f t="shared" si="71"/>
        <v>9.5494268404645991E-2</v>
      </c>
      <c r="AE142" s="34">
        <f t="shared" si="72"/>
        <v>810.0626713250964</v>
      </c>
      <c r="AF142" s="34">
        <f t="shared" si="73"/>
        <v>5.6540751406333705</v>
      </c>
      <c r="AG142" s="34">
        <f t="shared" si="57"/>
        <v>7.5791891965594775</v>
      </c>
      <c r="AH142" s="34">
        <f>INDEX('Specification &amp; Data'!E$24:R$46,MATCH(Simulation!AA142,'Specification &amp; Data'!D$24:D$46,0),MATCH(Simulation!AB142,'Specification &amp; Data'!E$47:R$47,0))</f>
        <v>398.81406750000002</v>
      </c>
      <c r="AI142" s="34">
        <f t="shared" si="58"/>
        <v>1.5705764279537141E-3</v>
      </c>
      <c r="AJ142" s="34">
        <f t="shared" si="50"/>
        <v>0.62636797355184148</v>
      </c>
      <c r="AK142" s="34">
        <f t="shared" si="74"/>
        <v>47.590879144290817</v>
      </c>
      <c r="AL142" s="34">
        <v>2.3289729133329802</v>
      </c>
    </row>
    <row r="143" spans="1:38" x14ac:dyDescent="0.25">
      <c r="C143" s="34">
        <f t="shared" si="59"/>
        <v>141</v>
      </c>
      <c r="D143" s="34">
        <v>18</v>
      </c>
      <c r="E143" s="34">
        <f t="shared" si="51"/>
        <v>28.968143982404534</v>
      </c>
      <c r="F143" s="34">
        <f t="shared" si="60"/>
        <v>8.0467066617790373</v>
      </c>
      <c r="G143" s="37">
        <f t="shared" si="61"/>
        <v>1096.6320062227867</v>
      </c>
      <c r="H143" s="34">
        <f t="shared" si="62"/>
        <v>7.8231870322851744</v>
      </c>
      <c r="I143" s="34">
        <f t="shared" si="63"/>
        <v>0.4470392589877239</v>
      </c>
      <c r="J143" s="34">
        <f t="shared" si="64"/>
        <v>2</v>
      </c>
      <c r="K143" s="34">
        <v>0</v>
      </c>
      <c r="L143" s="34">
        <f>('Specification &amp; Data'!B$22*'Specification &amp; Data'!B$10*'Specification &amp; Data'!B$20*(Simulation!F143^2-'Specification &amp; Data'!B$21^2))/2</f>
        <v>28.102525268609277</v>
      </c>
      <c r="M143" s="34">
        <f t="shared" si="65"/>
        <v>254.33199554091075</v>
      </c>
      <c r="N143" s="34">
        <f>'Specification &amp; Data'!B$26*'Specification &amp; Data'!B$18*8.91</f>
        <v>464.84361000000007</v>
      </c>
      <c r="O143" s="34">
        <f t="shared" si="52"/>
        <v>747.27813080952012</v>
      </c>
      <c r="P143" s="40">
        <f t="shared" si="53"/>
        <v>747.27813080952012</v>
      </c>
      <c r="Q143" s="34">
        <f>IF(J143=1,'Specification &amp; Data'!B$52,IF(Simulation!J143=2,'Specification &amp; Data'!B$53,IF(Simulation!J143=3,'Specification &amp; Data'!B$54)))</f>
        <v>568.92541410528543</v>
      </c>
      <c r="R143" s="34">
        <f>(0.5*'Specification &amp; Data'!B$18*Simulation!F143^2)/1000</f>
        <v>16.890227718513092</v>
      </c>
      <c r="T143" s="40">
        <f>P143*'Specification &amp; Data'!B$14*0.9</f>
        <v>198.31611933021881</v>
      </c>
      <c r="U143" s="40">
        <f>T143/(IF(J143=1,'Specification &amp; Data'!H$7,IF(Simulation!J143=2,'Specification &amp; Data'!H$8,IF(Simulation!J143=3,'Specification &amp; Data'!H$9))))</f>
        <v>11.897947335755779</v>
      </c>
      <c r="V143" s="40">
        <f t="shared" si="66"/>
        <v>9.6722984751242257E-3</v>
      </c>
      <c r="W143" s="40">
        <f t="shared" si="67"/>
        <v>2.2574240337309863E-2</v>
      </c>
      <c r="X143" s="40">
        <f t="shared" si="54"/>
        <v>6.0131279133867519</v>
      </c>
      <c r="Y143" s="40">
        <f t="shared" si="55"/>
        <v>8.0604931814835812</v>
      </c>
      <c r="Z143" s="40">
        <f t="shared" si="68"/>
        <v>4826.1385120607329</v>
      </c>
      <c r="AA143" s="40">
        <f t="shared" si="69"/>
        <v>12</v>
      </c>
      <c r="AB143" s="40">
        <f t="shared" si="70"/>
        <v>5000</v>
      </c>
      <c r="AC143" s="40">
        <f t="shared" si="56"/>
        <v>1.6703133092740977E-3</v>
      </c>
      <c r="AD143" s="40">
        <f t="shared" si="71"/>
        <v>9.716458171392009E-2</v>
      </c>
      <c r="AE143" s="34">
        <f t="shared" si="72"/>
        <v>819.48911579605806</v>
      </c>
      <c r="AF143" s="34">
        <f t="shared" si="73"/>
        <v>6.0131279133867519</v>
      </c>
      <c r="AG143" s="34">
        <f t="shared" si="57"/>
        <v>8.0604931814835812</v>
      </c>
      <c r="AH143" s="34">
        <f>INDEX('Specification &amp; Data'!E$24:R$46,MATCH(Simulation!AA143,'Specification &amp; Data'!D$24:D$46,0),MATCH(Simulation!AB143,'Specification &amp; Data'!E$47:R$47,0))</f>
        <v>352.96776599999998</v>
      </c>
      <c r="AI143" s="34">
        <f t="shared" si="58"/>
        <v>1.6703133092740977E-3</v>
      </c>
      <c r="AJ143" s="34">
        <f t="shared" si="50"/>
        <v>0.58956675729454533</v>
      </c>
      <c r="AK143" s="34">
        <f t="shared" si="74"/>
        <v>48.180445901585365</v>
      </c>
      <c r="AL143" s="34">
        <v>2.3289729133329802</v>
      </c>
    </row>
    <row r="144" spans="1:38" x14ac:dyDescent="0.25">
      <c r="C144" s="34">
        <f t="shared" si="59"/>
        <v>142</v>
      </c>
      <c r="D144" s="34">
        <v>17</v>
      </c>
      <c r="E144" s="34">
        <f t="shared" si="51"/>
        <v>27.358802650048727</v>
      </c>
      <c r="F144" s="34">
        <f t="shared" si="60"/>
        <v>7.5996674027913125</v>
      </c>
      <c r="G144" s="37">
        <f t="shared" si="61"/>
        <v>1104.4551932550719</v>
      </c>
      <c r="H144" s="34">
        <f t="shared" si="62"/>
        <v>7.8231870322851744</v>
      </c>
      <c r="I144" s="34">
        <f t="shared" si="63"/>
        <v>-0.44703925898772567</v>
      </c>
      <c r="J144" s="34">
        <f t="shared" si="64"/>
        <v>2</v>
      </c>
      <c r="K144" s="34">
        <v>0</v>
      </c>
      <c r="L144" s="34">
        <f>('Specification &amp; Data'!B$22*'Specification &amp; Data'!B$10*'Specification &amp; Data'!B$20*(Simulation!F144^2-'Specification &amp; Data'!B$21^2))/2</f>
        <v>24.81420887605449</v>
      </c>
      <c r="M144" s="34">
        <f t="shared" si="65"/>
        <v>-254.33199554091178</v>
      </c>
      <c r="N144" s="34">
        <f>'Specification &amp; Data'!B$26*'Specification &amp; Data'!B$18*8.91</f>
        <v>464.84361000000007</v>
      </c>
      <c r="O144" s="34">
        <f t="shared" si="52"/>
        <v>235.32582333514279</v>
      </c>
      <c r="P144" s="40">
        <f t="shared" si="53"/>
        <v>235.32582333514279</v>
      </c>
      <c r="Q144" s="34">
        <f>IF(J144=1,'Specification &amp; Data'!B$52,IF(Simulation!J144=2,'Specification &amp; Data'!B$53,IF(Simulation!J144=3,'Specification &amp; Data'!B$54)))</f>
        <v>568.92541410528543</v>
      </c>
      <c r="R144" s="34">
        <f>(0.5*'Specification &amp; Data'!B$18*Simulation!F144^2)/1000</f>
        <v>15.06566608225396</v>
      </c>
      <c r="T144" s="40">
        <f>P144*'Specification &amp; Data'!B$14*0.9</f>
        <v>62.451853115864814</v>
      </c>
      <c r="U144" s="40">
        <f>T144/(IF(J144=1,'Specification &amp; Data'!H$7,IF(Simulation!J144=2,'Specification &amp; Data'!H$8,IF(Simulation!J144=3,'Specification &amp; Data'!H$9))))</f>
        <v>3.7467900335204445</v>
      </c>
      <c r="V144" s="40">
        <f t="shared" si="66"/>
        <v>9.7246817346579497E-3</v>
      </c>
      <c r="W144" s="40">
        <f t="shared" si="67"/>
        <v>2.3071017556375171E-2</v>
      </c>
      <c r="X144" s="40">
        <f t="shared" si="54"/>
        <v>1.788397988635112</v>
      </c>
      <c r="Y144" s="40">
        <f t="shared" si="55"/>
        <v>2.3973163386529652</v>
      </c>
      <c r="Z144" s="40">
        <f t="shared" si="68"/>
        <v>4558.0197058351368</v>
      </c>
      <c r="AA144" s="40">
        <f t="shared" si="69"/>
        <v>4</v>
      </c>
      <c r="AB144" s="40">
        <f t="shared" si="70"/>
        <v>4500</v>
      </c>
      <c r="AC144" s="40">
        <f t="shared" si="56"/>
        <v>4.9677721906530887E-4</v>
      </c>
      <c r="AD144" s="40">
        <f t="shared" si="71"/>
        <v>9.7661358932985401E-2</v>
      </c>
      <c r="AE144" s="34">
        <f t="shared" si="72"/>
        <v>259.90682768952405</v>
      </c>
      <c r="AF144" s="34">
        <f t="shared" si="73"/>
        <v>1.788397988635112</v>
      </c>
      <c r="AG144" s="34">
        <f t="shared" si="57"/>
        <v>2.3973163386529652</v>
      </c>
      <c r="AH144" s="34">
        <f>INDEX('Specification &amp; Data'!E$24:R$46,MATCH(Simulation!AA144,'Specification &amp; Data'!D$24:D$46,0),MATCH(Simulation!AB144,'Specification &amp; Data'!E$47:R$47,0))</f>
        <v>679.80910725000024</v>
      </c>
      <c r="AI144" s="34">
        <f t="shared" si="58"/>
        <v>4.9677721906530887E-4</v>
      </c>
      <c r="AJ144" s="34">
        <f t="shared" si="50"/>
        <v>0.33771367779492539</v>
      </c>
      <c r="AK144" s="34">
        <f t="shared" si="74"/>
        <v>48.518159579380288</v>
      </c>
      <c r="AL144" s="34">
        <v>2.3289729133329802</v>
      </c>
    </row>
    <row r="145" spans="2:38" x14ac:dyDescent="0.25">
      <c r="B145" s="36" t="s">
        <v>129</v>
      </c>
      <c r="C145" s="34">
        <f t="shared" si="59"/>
        <v>143</v>
      </c>
      <c r="D145" s="34">
        <v>15.5</v>
      </c>
      <c r="E145" s="34">
        <f t="shared" si="51"/>
        <v>24.944790651515017</v>
      </c>
      <c r="F145" s="34">
        <f t="shared" si="60"/>
        <v>6.9291085143097266</v>
      </c>
      <c r="G145" s="37">
        <f t="shared" si="61"/>
        <v>1111.7195812136224</v>
      </c>
      <c r="H145" s="34">
        <f t="shared" si="62"/>
        <v>7.26438795855052</v>
      </c>
      <c r="I145" s="34">
        <f t="shared" si="63"/>
        <v>-0.67055888848158496</v>
      </c>
      <c r="J145" s="34">
        <f t="shared" si="64"/>
        <v>2</v>
      </c>
      <c r="K145" s="34">
        <v>0</v>
      </c>
      <c r="L145" s="34">
        <f>('Specification &amp; Data'!B$22*'Specification &amp; Data'!B$10*'Specification &amp; Data'!B$20*(Simulation!F145^2-'Specification &amp; Data'!B$21^2))/2</f>
        <v>20.234053900710336</v>
      </c>
      <c r="M145" s="34">
        <f t="shared" si="65"/>
        <v>-381.49799331136563</v>
      </c>
      <c r="N145" s="34">
        <f>'Specification &amp; Data'!B$26*'Specification &amp; Data'!B$18*8.91</f>
        <v>464.84361000000007</v>
      </c>
      <c r="O145" s="34">
        <f t="shared" si="52"/>
        <v>103.57967058934474</v>
      </c>
      <c r="P145" s="40">
        <f t="shared" si="53"/>
        <v>103.57967058934474</v>
      </c>
      <c r="Q145" s="34">
        <f>IF(J145=1,'Specification &amp; Data'!B$52,IF(Simulation!J145=2,'Specification &amp; Data'!B$53,IF(Simulation!J145=3,'Specification &amp; Data'!B$54)))</f>
        <v>568.92541410528543</v>
      </c>
      <c r="R145" s="34">
        <f>(0.5*'Specification &amp; Data'!B$18*Simulation!F145^2)/1000</f>
        <v>12.524312374607316</v>
      </c>
      <c r="T145" s="40">
        <f>P145*'Specification &amp; Data'!B$14*0.9</f>
        <v>27.488451041018411</v>
      </c>
      <c r="U145" s="40">
        <f>T145/(IF(J145=1,'Specification &amp; Data'!H$7,IF(Simulation!J145=2,'Specification &amp; Data'!H$8,IF(Simulation!J145=3,'Specification &amp; Data'!H$9))))</f>
        <v>1.6491657054006419</v>
      </c>
      <c r="V145" s="40">
        <f t="shared" si="66"/>
        <v>9.7636272777586203E-3</v>
      </c>
      <c r="W145" s="40">
        <f t="shared" si="67"/>
        <v>2.3270382772316845E-2</v>
      </c>
      <c r="X145" s="40">
        <f t="shared" si="54"/>
        <v>0.71771477739002543</v>
      </c>
      <c r="Y145" s="40">
        <f t="shared" si="55"/>
        <v>0.9620841519973532</v>
      </c>
      <c r="Z145" s="40">
        <f t="shared" si="68"/>
        <v>4155.8414964967424</v>
      </c>
      <c r="AA145" s="40">
        <f t="shared" si="69"/>
        <v>2</v>
      </c>
      <c r="AB145" s="40">
        <f t="shared" si="70"/>
        <v>4000</v>
      </c>
      <c r="AC145" s="40">
        <f t="shared" si="56"/>
        <v>1.9936521594167374E-4</v>
      </c>
      <c r="AD145" s="40">
        <f t="shared" si="71"/>
        <v>9.7860724148927075E-2</v>
      </c>
      <c r="AE145" s="34">
        <f t="shared" si="72"/>
        <v>115.1515480098313</v>
      </c>
      <c r="AF145" s="34">
        <f t="shared" si="73"/>
        <v>0.71771477739002543</v>
      </c>
      <c r="AG145" s="34">
        <f t="shared" si="57"/>
        <v>0.9620841519973532</v>
      </c>
      <c r="AH145" s="34">
        <f>INDEX('Specification &amp; Data'!E$24:R$46,MATCH(Simulation!AA145,'Specification &amp; Data'!D$24:D$46,0),MATCH(Simulation!AB145,'Specification &amp; Data'!E$47:R$47,0))</f>
        <v>845.65189799999973</v>
      </c>
      <c r="AI145" s="34">
        <f t="shared" si="58"/>
        <v>1.9936521594167374E-4</v>
      </c>
      <c r="AJ145" s="34">
        <f t="shared" si="50"/>
        <v>0.16859357325625621</v>
      </c>
      <c r="AK145" s="34">
        <f t="shared" si="74"/>
        <v>48.686753152636541</v>
      </c>
      <c r="AL145" s="34">
        <v>2.3289729133329802</v>
      </c>
    </row>
    <row r="146" spans="2:38" x14ac:dyDescent="0.25">
      <c r="C146" s="34">
        <f t="shared" si="59"/>
        <v>144</v>
      </c>
      <c r="D146" s="34">
        <v>15.5</v>
      </c>
      <c r="E146" s="34">
        <f t="shared" si="51"/>
        <v>24.944790651515017</v>
      </c>
      <c r="F146" s="34">
        <f t="shared" si="60"/>
        <v>6.9291085143097266</v>
      </c>
      <c r="G146" s="37">
        <f t="shared" si="61"/>
        <v>1118.6486897279322</v>
      </c>
      <c r="H146" s="34">
        <f t="shared" si="62"/>
        <v>6.9291085143097266</v>
      </c>
      <c r="I146" s="34">
        <f t="shared" si="63"/>
        <v>0</v>
      </c>
      <c r="J146" s="34">
        <f t="shared" si="64"/>
        <v>2</v>
      </c>
      <c r="K146" s="34">
        <v>0</v>
      </c>
      <c r="L146" s="34">
        <f>('Specification &amp; Data'!B$22*'Specification &amp; Data'!B$10*'Specification &amp; Data'!B$20*(Simulation!F146^2-'Specification &amp; Data'!B$21^2))/2</f>
        <v>20.234053900710336</v>
      </c>
      <c r="M146" s="34">
        <f t="shared" si="65"/>
        <v>0</v>
      </c>
      <c r="N146" s="34">
        <f>'Specification &amp; Data'!B$26*'Specification &amp; Data'!B$18*8.91</f>
        <v>464.84361000000007</v>
      </c>
      <c r="O146" s="34">
        <f t="shared" si="52"/>
        <v>485.07766390071038</v>
      </c>
      <c r="P146" s="40">
        <f t="shared" si="53"/>
        <v>485.07766390071038</v>
      </c>
      <c r="Q146" s="34">
        <f>IF(J146=1,'Specification &amp; Data'!B$52,IF(Simulation!J146=2,'Specification &amp; Data'!B$53,IF(Simulation!J146=3,'Specification &amp; Data'!B$54)))</f>
        <v>568.92541410528543</v>
      </c>
      <c r="R146" s="34">
        <f>(0.5*'Specification &amp; Data'!B$18*Simulation!F146^2)/1000</f>
        <v>12.524312374607316</v>
      </c>
      <c r="T146" s="40">
        <f>P146*'Specification &amp; Data'!B$14*0.9</f>
        <v>128.73214926595776</v>
      </c>
      <c r="U146" s="40">
        <f>T146/(IF(J146=1,'Specification &amp; Data'!H$7,IF(Simulation!J146=2,'Specification &amp; Data'!H$8,IF(Simulation!J146=3,'Specification &amp; Data'!H$9))))</f>
        <v>7.723266961646468</v>
      </c>
      <c r="V146" s="40">
        <f t="shared" si="66"/>
        <v>9.802572820859291E-3</v>
      </c>
      <c r="W146" s="40">
        <f t="shared" si="67"/>
        <v>2.3270382772316845E-2</v>
      </c>
      <c r="X146" s="40">
        <f t="shared" si="54"/>
        <v>3.3611557710358841</v>
      </c>
      <c r="Y146" s="40">
        <f t="shared" si="55"/>
        <v>4.5055707386540007</v>
      </c>
      <c r="Z146" s="40">
        <f t="shared" si="68"/>
        <v>4155.8414964967415</v>
      </c>
      <c r="AA146" s="40">
        <f t="shared" si="69"/>
        <v>8</v>
      </c>
      <c r="AB146" s="40">
        <f t="shared" si="70"/>
        <v>4000</v>
      </c>
      <c r="AC146" s="40">
        <f t="shared" si="56"/>
        <v>9.3365438084330114E-4</v>
      </c>
      <c r="AD146" s="40">
        <f t="shared" si="71"/>
        <v>9.8794378529770382E-2</v>
      </c>
      <c r="AE146" s="34">
        <f t="shared" si="72"/>
        <v>542.63149313881581</v>
      </c>
      <c r="AF146" s="34">
        <f t="shared" si="73"/>
        <v>3.3611557710358841</v>
      </c>
      <c r="AG146" s="34">
        <f t="shared" si="57"/>
        <v>4.5055707386540007</v>
      </c>
      <c r="AH146" s="34">
        <f>INDEX('Specification &amp; Data'!E$24:R$46,MATCH(Simulation!AA146,'Specification &amp; Data'!D$24:D$46,0),MATCH(Simulation!AB146,'Specification &amp; Data'!E$47:R$47,0))</f>
        <v>536.69450946972677</v>
      </c>
      <c r="AI146" s="34">
        <f t="shared" si="58"/>
        <v>9.3365438084330114E-4</v>
      </c>
      <c r="AJ146" s="34">
        <f t="shared" si="50"/>
        <v>0.50108717994095697</v>
      </c>
      <c r="AK146" s="34">
        <f t="shared" si="74"/>
        <v>49.187840332577501</v>
      </c>
      <c r="AL146" s="34">
        <v>2.3289729133329802</v>
      </c>
    </row>
    <row r="147" spans="2:38" x14ac:dyDescent="0.25">
      <c r="C147" s="34">
        <f t="shared" si="59"/>
        <v>145</v>
      </c>
      <c r="D147" s="34">
        <v>15.5</v>
      </c>
      <c r="E147" s="34">
        <f t="shared" si="51"/>
        <v>24.944790651515017</v>
      </c>
      <c r="F147" s="34">
        <f t="shared" si="60"/>
        <v>6.9291085143097266</v>
      </c>
      <c r="G147" s="37">
        <f t="shared" si="61"/>
        <v>1125.5777982422419</v>
      </c>
      <c r="H147" s="34">
        <f t="shared" si="62"/>
        <v>6.9291085143097266</v>
      </c>
      <c r="I147" s="34">
        <f t="shared" si="63"/>
        <v>0</v>
      </c>
      <c r="J147" s="34">
        <f t="shared" si="64"/>
        <v>2</v>
      </c>
      <c r="K147" s="34">
        <v>0</v>
      </c>
      <c r="L147" s="34">
        <f>('Specification &amp; Data'!B$22*'Specification &amp; Data'!B$10*'Specification &amp; Data'!B$20*(Simulation!F147^2-'Specification &amp; Data'!B$21^2))/2</f>
        <v>20.234053900710336</v>
      </c>
      <c r="M147" s="34">
        <f t="shared" si="65"/>
        <v>0</v>
      </c>
      <c r="N147" s="34">
        <f>'Specification &amp; Data'!B$26*'Specification &amp; Data'!B$18*8.91</f>
        <v>464.84361000000007</v>
      </c>
      <c r="O147" s="34">
        <f t="shared" si="52"/>
        <v>485.07766390071038</v>
      </c>
      <c r="P147" s="40">
        <f t="shared" si="53"/>
        <v>485.07766390071038</v>
      </c>
      <c r="Q147" s="34">
        <f>IF(J147=1,'Specification &amp; Data'!B$52,IF(Simulation!J147=2,'Specification &amp; Data'!B$53,IF(Simulation!J147=3,'Specification &amp; Data'!B$54)))</f>
        <v>568.92541410528543</v>
      </c>
      <c r="R147" s="34">
        <f>(0.5*'Specification &amp; Data'!B$18*Simulation!F147^2)/1000</f>
        <v>12.524312374607316</v>
      </c>
      <c r="T147" s="40">
        <f>P147*'Specification &amp; Data'!B$14*0.9</f>
        <v>128.73214926595776</v>
      </c>
      <c r="U147" s="40">
        <f>T147/(IF(J147=1,'Specification &amp; Data'!H$7,IF(Simulation!J147=2,'Specification &amp; Data'!H$8,IF(Simulation!J147=3,'Specification &amp; Data'!H$9))))</f>
        <v>7.723266961646468</v>
      </c>
      <c r="V147" s="40">
        <f t="shared" si="66"/>
        <v>9.8415183639599616E-3</v>
      </c>
      <c r="W147" s="40">
        <f t="shared" si="67"/>
        <v>2.3270382772316845E-2</v>
      </c>
      <c r="X147" s="40">
        <f t="shared" si="54"/>
        <v>3.3611557710358841</v>
      </c>
      <c r="Y147" s="40">
        <f t="shared" si="55"/>
        <v>4.5055707386540007</v>
      </c>
      <c r="Z147" s="40">
        <f t="shared" si="68"/>
        <v>4155.8414964967415</v>
      </c>
      <c r="AA147" s="40">
        <f t="shared" si="69"/>
        <v>8</v>
      </c>
      <c r="AB147" s="40">
        <f t="shared" si="70"/>
        <v>4000</v>
      </c>
      <c r="AC147" s="40">
        <f t="shared" si="56"/>
        <v>9.3365438084330114E-4</v>
      </c>
      <c r="AD147" s="40">
        <f t="shared" si="71"/>
        <v>9.972803291061369E-2</v>
      </c>
      <c r="AE147" s="34">
        <f t="shared" si="72"/>
        <v>545.99264890985182</v>
      </c>
      <c r="AF147" s="34">
        <f t="shared" si="73"/>
        <v>3.3611557710358841</v>
      </c>
      <c r="AG147" s="34">
        <f t="shared" si="57"/>
        <v>4.5055707386540007</v>
      </c>
      <c r="AH147" s="34">
        <f>INDEX('Specification &amp; Data'!E$24:R$46,MATCH(Simulation!AA147,'Specification &amp; Data'!D$24:D$46,0),MATCH(Simulation!AB147,'Specification &amp; Data'!E$47:R$47,0))</f>
        <v>536.69450946972677</v>
      </c>
      <c r="AI147" s="34">
        <f t="shared" si="58"/>
        <v>9.3365438084330114E-4</v>
      </c>
      <c r="AJ147" s="34">
        <f t="shared" si="50"/>
        <v>0.50108717994095697</v>
      </c>
      <c r="AK147" s="34">
        <f t="shared" si="74"/>
        <v>49.688927512518461</v>
      </c>
      <c r="AL147" s="34">
        <v>2.3289729133329802</v>
      </c>
    </row>
    <row r="148" spans="2:38" x14ac:dyDescent="0.25">
      <c r="C148" s="34">
        <f t="shared" si="59"/>
        <v>146</v>
      </c>
      <c r="D148" s="34">
        <v>15.5</v>
      </c>
      <c r="E148" s="34">
        <f t="shared" si="51"/>
        <v>24.944790651515017</v>
      </c>
      <c r="F148" s="34">
        <f t="shared" si="60"/>
        <v>6.9291085143097266</v>
      </c>
      <c r="G148" s="37">
        <f t="shared" si="61"/>
        <v>1132.5069067565516</v>
      </c>
      <c r="H148" s="34">
        <f t="shared" si="62"/>
        <v>6.9291085143097266</v>
      </c>
      <c r="I148" s="34">
        <f t="shared" si="63"/>
        <v>0</v>
      </c>
      <c r="J148" s="34">
        <f t="shared" si="64"/>
        <v>2</v>
      </c>
      <c r="K148" s="34">
        <v>0</v>
      </c>
      <c r="L148" s="34">
        <f>('Specification &amp; Data'!B$22*'Specification &amp; Data'!B$10*'Specification &amp; Data'!B$20*(Simulation!F148^2-'Specification &amp; Data'!B$21^2))/2</f>
        <v>20.234053900710336</v>
      </c>
      <c r="M148" s="34">
        <f t="shared" si="65"/>
        <v>0</v>
      </c>
      <c r="N148" s="34">
        <f>'Specification &amp; Data'!B$26*'Specification &amp; Data'!B$18*8.91</f>
        <v>464.84361000000007</v>
      </c>
      <c r="O148" s="34">
        <f t="shared" si="52"/>
        <v>485.07766390071038</v>
      </c>
      <c r="P148" s="40">
        <f t="shared" si="53"/>
        <v>485.07766390071038</v>
      </c>
      <c r="Q148" s="34">
        <f>IF(J148=1,'Specification &amp; Data'!B$52,IF(Simulation!J148=2,'Specification &amp; Data'!B$53,IF(Simulation!J148=3,'Specification &amp; Data'!B$54)))</f>
        <v>568.92541410528543</v>
      </c>
      <c r="R148" s="34">
        <f>(0.5*'Specification &amp; Data'!B$18*Simulation!F148^2)/1000</f>
        <v>12.524312374607316</v>
      </c>
      <c r="T148" s="40">
        <f>P148*'Specification &amp; Data'!B$14*0.9</f>
        <v>128.73214926595776</v>
      </c>
      <c r="U148" s="40">
        <f>T148/(IF(J148=1,'Specification &amp; Data'!H$7,IF(Simulation!J148=2,'Specification &amp; Data'!H$8,IF(Simulation!J148=3,'Specification &amp; Data'!H$9))))</f>
        <v>7.723266961646468</v>
      </c>
      <c r="V148" s="40">
        <f t="shared" si="66"/>
        <v>9.8804639070606323E-3</v>
      </c>
      <c r="W148" s="40">
        <f t="shared" si="67"/>
        <v>2.3270382772316845E-2</v>
      </c>
      <c r="X148" s="40">
        <f t="shared" si="54"/>
        <v>3.3611557710358841</v>
      </c>
      <c r="Y148" s="40">
        <f t="shared" si="55"/>
        <v>4.5055707386540007</v>
      </c>
      <c r="Z148" s="40">
        <f t="shared" si="68"/>
        <v>4155.8414964967415</v>
      </c>
      <c r="AA148" s="40">
        <f t="shared" si="69"/>
        <v>8</v>
      </c>
      <c r="AB148" s="40">
        <f t="shared" si="70"/>
        <v>4000</v>
      </c>
      <c r="AC148" s="40">
        <f t="shared" si="56"/>
        <v>9.3365438084330114E-4</v>
      </c>
      <c r="AD148" s="40">
        <f t="shared" si="71"/>
        <v>0.100661687291457</v>
      </c>
      <c r="AE148" s="34">
        <f t="shared" si="72"/>
        <v>549.35380468088772</v>
      </c>
      <c r="AF148" s="34">
        <f t="shared" si="73"/>
        <v>3.3611557710358841</v>
      </c>
      <c r="AG148" s="34">
        <f t="shared" si="57"/>
        <v>4.5055707386540007</v>
      </c>
      <c r="AH148" s="34">
        <f>INDEX('Specification &amp; Data'!E$24:R$46,MATCH(Simulation!AA148,'Specification &amp; Data'!D$24:D$46,0),MATCH(Simulation!AB148,'Specification &amp; Data'!E$47:R$47,0))</f>
        <v>536.69450946972677</v>
      </c>
      <c r="AI148" s="34">
        <f t="shared" si="58"/>
        <v>9.3365438084330114E-4</v>
      </c>
      <c r="AJ148" s="34">
        <f t="shared" si="50"/>
        <v>0.50108717994095697</v>
      </c>
      <c r="AK148" s="34">
        <f t="shared" si="74"/>
        <v>50.190014692459421</v>
      </c>
      <c r="AL148" s="34">
        <v>2.3289729133329802</v>
      </c>
    </row>
    <row r="149" spans="2:38" x14ac:dyDescent="0.25">
      <c r="B149" s="36" t="s">
        <v>130</v>
      </c>
      <c r="C149" s="34">
        <f t="shared" si="59"/>
        <v>147</v>
      </c>
      <c r="D149" s="34">
        <v>15.5</v>
      </c>
      <c r="E149" s="34">
        <f t="shared" si="51"/>
        <v>24.944790651515017</v>
      </c>
      <c r="F149" s="34">
        <f t="shared" si="60"/>
        <v>6.9291085143097266</v>
      </c>
      <c r="G149" s="37">
        <f t="shared" si="61"/>
        <v>1139.4360152708614</v>
      </c>
      <c r="H149" s="34">
        <f t="shared" si="62"/>
        <v>6.9291085143097266</v>
      </c>
      <c r="I149" s="34">
        <f t="shared" si="63"/>
        <v>0</v>
      </c>
      <c r="J149" s="34">
        <f t="shared" si="64"/>
        <v>2</v>
      </c>
      <c r="K149" s="34">
        <v>0</v>
      </c>
      <c r="L149" s="34">
        <f>('Specification &amp; Data'!B$22*'Specification &amp; Data'!B$10*'Specification &amp; Data'!B$20*(Simulation!F149^2-'Specification &amp; Data'!B$21^2))/2</f>
        <v>20.234053900710336</v>
      </c>
      <c r="M149" s="34">
        <f t="shared" si="65"/>
        <v>0</v>
      </c>
      <c r="N149" s="34">
        <f>'Specification &amp; Data'!B$26*'Specification &amp; Data'!B$18*8.91</f>
        <v>464.84361000000007</v>
      </c>
      <c r="O149" s="34">
        <f t="shared" si="52"/>
        <v>485.07766390071038</v>
      </c>
      <c r="P149" s="40">
        <f t="shared" si="53"/>
        <v>485.07766390071038</v>
      </c>
      <c r="Q149" s="34">
        <f>IF(J149=1,'Specification &amp; Data'!B$52,IF(Simulation!J149=2,'Specification &amp; Data'!B$53,IF(Simulation!J149=3,'Specification &amp; Data'!B$54)))</f>
        <v>568.92541410528543</v>
      </c>
      <c r="R149" s="34">
        <f>(0.5*'Specification &amp; Data'!B$18*Simulation!F149^2)/1000</f>
        <v>12.524312374607316</v>
      </c>
      <c r="T149" s="40">
        <f>P149*'Specification &amp; Data'!B$14*0.9</f>
        <v>128.73214926595776</v>
      </c>
      <c r="U149" s="40">
        <f>T149/(IF(J149=1,'Specification &amp; Data'!H$7,IF(Simulation!J149=2,'Specification &amp; Data'!H$8,IF(Simulation!J149=3,'Specification &amp; Data'!H$9))))</f>
        <v>7.723266961646468</v>
      </c>
      <c r="V149" s="40">
        <f t="shared" si="66"/>
        <v>9.9194094501613029E-3</v>
      </c>
      <c r="W149" s="40">
        <f t="shared" si="67"/>
        <v>2.3270382772316845E-2</v>
      </c>
      <c r="X149" s="40">
        <f t="shared" si="54"/>
        <v>3.3611557710358841</v>
      </c>
      <c r="Y149" s="40">
        <f t="shared" si="55"/>
        <v>4.5055707386540007</v>
      </c>
      <c r="Z149" s="40">
        <f t="shared" si="68"/>
        <v>4155.8414964967415</v>
      </c>
      <c r="AA149" s="40">
        <f t="shared" si="69"/>
        <v>8</v>
      </c>
      <c r="AB149" s="40">
        <f t="shared" si="70"/>
        <v>4000</v>
      </c>
      <c r="AC149" s="40">
        <f t="shared" si="56"/>
        <v>9.3365438084330114E-4</v>
      </c>
      <c r="AD149" s="40">
        <f t="shared" si="71"/>
        <v>0.1015953416723003</v>
      </c>
      <c r="AE149" s="34">
        <f t="shared" si="72"/>
        <v>552.7149604519235</v>
      </c>
      <c r="AF149" s="34">
        <f t="shared" si="73"/>
        <v>3.3611557710358841</v>
      </c>
      <c r="AG149" s="34">
        <f t="shared" si="57"/>
        <v>4.5055707386540007</v>
      </c>
      <c r="AH149" s="34">
        <f>INDEX('Specification &amp; Data'!E$24:R$46,MATCH(Simulation!AA149,'Specification &amp; Data'!D$24:D$46,0),MATCH(Simulation!AB149,'Specification &amp; Data'!E$47:R$47,0))</f>
        <v>536.69450946972677</v>
      </c>
      <c r="AI149" s="34">
        <f t="shared" si="58"/>
        <v>9.3365438084330114E-4</v>
      </c>
      <c r="AJ149" s="34">
        <f t="shared" si="50"/>
        <v>0.50108717994095697</v>
      </c>
      <c r="AK149" s="34">
        <f t="shared" si="74"/>
        <v>50.691101872400381</v>
      </c>
      <c r="AL149" s="34">
        <v>2.3289729133329802</v>
      </c>
    </row>
    <row r="150" spans="2:38" x14ac:dyDescent="0.25">
      <c r="C150" s="34">
        <f t="shared" si="59"/>
        <v>148</v>
      </c>
      <c r="D150" s="34">
        <v>16</v>
      </c>
      <c r="E150" s="34">
        <f t="shared" si="51"/>
        <v>25.749461317692919</v>
      </c>
      <c r="F150" s="34">
        <f t="shared" si="60"/>
        <v>7.1526281438035886</v>
      </c>
      <c r="G150" s="37">
        <f t="shared" si="61"/>
        <v>1146.476883599918</v>
      </c>
      <c r="H150" s="34">
        <f t="shared" si="62"/>
        <v>7.0408683290566572</v>
      </c>
      <c r="I150" s="34">
        <f t="shared" si="63"/>
        <v>0.22351962949386106</v>
      </c>
      <c r="J150" s="34">
        <f t="shared" si="64"/>
        <v>2</v>
      </c>
      <c r="K150" s="34">
        <v>0</v>
      </c>
      <c r="L150" s="34">
        <f>('Specification &amp; Data'!B$22*'Specification &amp; Data'!B$10*'Specification &amp; Data'!B$20*(Simulation!F150^2-'Specification &amp; Data'!B$21^2))/2</f>
        <v>21.713796277359986</v>
      </c>
      <c r="M150" s="34">
        <f t="shared" si="65"/>
        <v>127.16599777045488</v>
      </c>
      <c r="N150" s="34">
        <f>'Specification &amp; Data'!B$26*'Specification &amp; Data'!B$18*8.91</f>
        <v>464.84361000000007</v>
      </c>
      <c r="O150" s="34">
        <f t="shared" si="52"/>
        <v>613.72340404781494</v>
      </c>
      <c r="P150" s="40">
        <f t="shared" si="53"/>
        <v>613.72340404781494</v>
      </c>
      <c r="Q150" s="34">
        <f>IF(J150=1,'Specification &amp; Data'!B$52,IF(Simulation!J150=2,'Specification &amp; Data'!B$53,IF(Simulation!J150=3,'Specification &amp; Data'!B$54)))</f>
        <v>568.92541410528543</v>
      </c>
      <c r="R150" s="34">
        <f>(0.5*'Specification &amp; Data'!B$18*Simulation!F150^2)/1000</f>
        <v>13.345365110923924</v>
      </c>
      <c r="T150" s="40">
        <f>P150*'Specification &amp; Data'!B$14*0.9</f>
        <v>162.87274953576627</v>
      </c>
      <c r="U150" s="40">
        <f>T150/(IF(J150=1,'Specification &amp; Data'!H$7,IF(Simulation!J150=2,'Specification &amp; Data'!H$8,IF(Simulation!J150=3,'Specification &amp; Data'!H$9))))</f>
        <v>9.7715274126534641</v>
      </c>
      <c r="V150" s="40">
        <f t="shared" si="66"/>
        <v>9.96255131415082E-3</v>
      </c>
      <c r="W150" s="40">
        <f t="shared" si="67"/>
        <v>2.3270382772316845E-2</v>
      </c>
      <c r="X150" s="40">
        <f t="shared" si="54"/>
        <v>4.3897352923033424</v>
      </c>
      <c r="Y150" s="40">
        <f t="shared" si="55"/>
        <v>5.8843636626050166</v>
      </c>
      <c r="Z150" s="40">
        <f t="shared" si="68"/>
        <v>4289.9008996095399</v>
      </c>
      <c r="AA150" s="40">
        <f t="shared" si="69"/>
        <v>10</v>
      </c>
      <c r="AB150" s="40">
        <f t="shared" si="70"/>
        <v>4500</v>
      </c>
      <c r="AC150" s="40">
        <f t="shared" si="56"/>
        <v>1.2193709145287062E-3</v>
      </c>
      <c r="AD150" s="40">
        <f t="shared" si="71"/>
        <v>0.102814712586829</v>
      </c>
      <c r="AE150" s="34">
        <f t="shared" si="72"/>
        <v>703.61969566507219</v>
      </c>
      <c r="AF150" s="34">
        <f t="shared" si="73"/>
        <v>4.3897352923033424</v>
      </c>
      <c r="AG150" s="34">
        <f t="shared" si="57"/>
        <v>5.8843636626050166</v>
      </c>
      <c r="AH150" s="34">
        <f>INDEX('Specification &amp; Data'!E$24:R$46,MATCH(Simulation!AA150,'Specification &amp; Data'!D$24:D$46,0),MATCH(Simulation!AB150,'Specification &amp; Data'!E$47:R$47,0))</f>
        <v>470.31525450000004</v>
      </c>
      <c r="AI150" s="34">
        <f t="shared" si="58"/>
        <v>1.2193709145287062E-3</v>
      </c>
      <c r="AJ150" s="34">
        <f t="shared" si="50"/>
        <v>0.57348874199646627</v>
      </c>
      <c r="AK150" s="34">
        <f t="shared" si="74"/>
        <v>51.264590614396845</v>
      </c>
      <c r="AL150" s="34">
        <v>2.3289729133329802</v>
      </c>
    </row>
    <row r="151" spans="2:38" x14ac:dyDescent="0.25">
      <c r="C151" s="34">
        <f t="shared" si="59"/>
        <v>149</v>
      </c>
      <c r="D151" s="34">
        <v>16.5</v>
      </c>
      <c r="E151" s="34">
        <f t="shared" si="51"/>
        <v>26.554131983870821</v>
      </c>
      <c r="F151" s="34">
        <f t="shared" si="60"/>
        <v>7.3761477732974505</v>
      </c>
      <c r="G151" s="37">
        <f t="shared" si="61"/>
        <v>1153.7412715584685</v>
      </c>
      <c r="H151" s="34">
        <f t="shared" si="62"/>
        <v>7.26438795855052</v>
      </c>
      <c r="I151" s="34">
        <f t="shared" si="63"/>
        <v>0.22351962949386284</v>
      </c>
      <c r="J151" s="34">
        <f t="shared" si="64"/>
        <v>2</v>
      </c>
      <c r="K151" s="34">
        <v>0</v>
      </c>
      <c r="L151" s="34">
        <f>('Specification &amp; Data'!B$22*'Specification &amp; Data'!B$10*'Specification &amp; Data'!B$20*(Simulation!F151^2-'Specification &amp; Data'!B$21^2))/2</f>
        <v>23.240514602474704</v>
      </c>
      <c r="M151" s="34">
        <f t="shared" si="65"/>
        <v>127.16599777045589</v>
      </c>
      <c r="N151" s="34">
        <f>'Specification &amp; Data'!B$26*'Specification &amp; Data'!B$18*8.91</f>
        <v>464.84361000000007</v>
      </c>
      <c r="O151" s="34">
        <f t="shared" si="52"/>
        <v>615.25012237293072</v>
      </c>
      <c r="P151" s="40">
        <f t="shared" si="53"/>
        <v>615.25012237293072</v>
      </c>
      <c r="Q151" s="34">
        <f>IF(J151=1,'Specification &amp; Data'!B$52,IF(Simulation!J151=2,'Specification &amp; Data'!B$53,IF(Simulation!J151=3,'Specification &amp; Data'!B$54)))</f>
        <v>568.92541410528543</v>
      </c>
      <c r="R151" s="34">
        <f>(0.5*'Specification &amp; Data'!B$18*Simulation!F151^2)/1000</f>
        <v>14.192483013472806</v>
      </c>
      <c r="T151" s="40">
        <f>P151*'Specification &amp; Data'!B$14*0.9</f>
        <v>163.27791709127777</v>
      </c>
      <c r="U151" s="40">
        <f>T151/(IF(J151=1,'Specification &amp; Data'!H$7,IF(Simulation!J151=2,'Specification &amp; Data'!H$8,IF(Simulation!J151=3,'Specification &amp; Data'!H$9))))</f>
        <v>9.7958353824438866</v>
      </c>
      <c r="V151" s="40">
        <f t="shared" si="66"/>
        <v>1.0010169500271745E-2</v>
      </c>
      <c r="W151" s="40">
        <f t="shared" si="67"/>
        <v>2.3270382772316845E-2</v>
      </c>
      <c r="X151" s="40">
        <f t="shared" si="54"/>
        <v>4.5381758201620768</v>
      </c>
      <c r="Y151" s="40">
        <f t="shared" si="55"/>
        <v>6.0833456034344193</v>
      </c>
      <c r="Z151" s="40">
        <f t="shared" si="68"/>
        <v>4423.9603027223375</v>
      </c>
      <c r="AA151" s="40">
        <f t="shared" si="69"/>
        <v>10</v>
      </c>
      <c r="AB151" s="40">
        <f t="shared" si="70"/>
        <v>4500</v>
      </c>
      <c r="AC151" s="40">
        <f t="shared" si="56"/>
        <v>1.2606043944894659E-3</v>
      </c>
      <c r="AD151" s="40">
        <f t="shared" si="71"/>
        <v>0.10407531698131847</v>
      </c>
      <c r="AE151" s="34">
        <f t="shared" si="72"/>
        <v>709.8394585130485</v>
      </c>
      <c r="AF151" s="34">
        <f t="shared" si="73"/>
        <v>4.5381758201620768</v>
      </c>
      <c r="AG151" s="34">
        <f t="shared" si="57"/>
        <v>6.0833456034344193</v>
      </c>
      <c r="AH151" s="34">
        <f>INDEX('Specification &amp; Data'!E$24:R$46,MATCH(Simulation!AA151,'Specification &amp; Data'!D$24:D$46,0),MATCH(Simulation!AB151,'Specification &amp; Data'!E$47:R$47,0))</f>
        <v>470.31525450000004</v>
      </c>
      <c r="AI151" s="34">
        <f t="shared" si="58"/>
        <v>1.2606043944894659E-3</v>
      </c>
      <c r="AJ151" s="34">
        <f t="shared" si="50"/>
        <v>0.59288147661813162</v>
      </c>
      <c r="AK151" s="34">
        <f t="shared" si="74"/>
        <v>51.857472091014976</v>
      </c>
      <c r="AL151" s="34">
        <v>2.3289729133329802</v>
      </c>
    </row>
    <row r="152" spans="2:38" x14ac:dyDescent="0.25">
      <c r="C152" s="34">
        <f t="shared" si="59"/>
        <v>150</v>
      </c>
      <c r="D152" s="34">
        <v>17.7</v>
      </c>
      <c r="E152" s="34">
        <f t="shared" si="51"/>
        <v>28.485341582697789</v>
      </c>
      <c r="F152" s="34">
        <f t="shared" si="60"/>
        <v>7.9125948840827194</v>
      </c>
      <c r="G152" s="37">
        <f t="shared" si="61"/>
        <v>1161.3856428871586</v>
      </c>
      <c r="H152" s="34">
        <f t="shared" si="62"/>
        <v>7.6443713286900845</v>
      </c>
      <c r="I152" s="34">
        <f t="shared" si="63"/>
        <v>0.53644711078526797</v>
      </c>
      <c r="J152" s="34">
        <f t="shared" si="64"/>
        <v>2</v>
      </c>
      <c r="K152" s="34">
        <v>0</v>
      </c>
      <c r="L152" s="34">
        <f>('Specification &amp; Data'!B$22*'Specification &amp; Data'!B$10*'Specification &amp; Data'!B$20*(Simulation!F152^2-'Specification &amp; Data'!B$21^2))/2</f>
        <v>27.096300452487512</v>
      </c>
      <c r="M152" s="34">
        <f t="shared" si="65"/>
        <v>305.19839464909251</v>
      </c>
      <c r="N152" s="34">
        <f>'Specification &amp; Data'!B$26*'Specification &amp; Data'!B$18*8.91</f>
        <v>464.84361000000007</v>
      </c>
      <c r="O152" s="34">
        <f t="shared" si="52"/>
        <v>797.13830510158004</v>
      </c>
      <c r="P152" s="40">
        <f t="shared" si="53"/>
        <v>797.13830510158004</v>
      </c>
      <c r="Q152" s="34">
        <f>IF(J152=1,'Specification &amp; Data'!B$52,IF(Simulation!J152=2,'Specification &amp; Data'!B$53,IF(Simulation!J152=3,'Specification &amp; Data'!B$54)))</f>
        <v>568.92541410528543</v>
      </c>
      <c r="R152" s="34">
        <f>(0.5*'Specification &amp; Data'!B$18*Simulation!F152^2)/1000</f>
        <v>16.331911857817794</v>
      </c>
      <c r="T152" s="40">
        <f>P152*'Specification &amp; Data'!B$14*0.9</f>
        <v>211.54824250772702</v>
      </c>
      <c r="U152" s="40">
        <f>T152/(IF(J152=1,'Specification &amp; Data'!H$7,IF(Simulation!J152=2,'Specification &amp; Data'!H$8,IF(Simulation!J152=3,'Specification &amp; Data'!H$9))))</f>
        <v>12.691806681319509</v>
      </c>
      <c r="V152" s="40">
        <f t="shared" si="66"/>
        <v>1.0069725624810056E-2</v>
      </c>
      <c r="W152" s="40">
        <f t="shared" si="67"/>
        <v>2.3270382772316845E-2</v>
      </c>
      <c r="X152" s="40">
        <f t="shared" si="54"/>
        <v>6.3074324748531323</v>
      </c>
      <c r="Y152" s="40">
        <f t="shared" si="55"/>
        <v>8.4550033174974963</v>
      </c>
      <c r="Z152" s="40">
        <f t="shared" si="68"/>
        <v>4745.702870193054</v>
      </c>
      <c r="AA152" s="40">
        <f t="shared" si="69"/>
        <v>13</v>
      </c>
      <c r="AB152" s="40">
        <f t="shared" si="70"/>
        <v>4500</v>
      </c>
      <c r="AC152" s="40">
        <f t="shared" si="56"/>
        <v>1.7520645763480923E-3</v>
      </c>
      <c r="AD152" s="40">
        <f t="shared" si="71"/>
        <v>0.10582738155766656</v>
      </c>
      <c r="AE152" s="34">
        <f t="shared" si="72"/>
        <v>925.78498294037843</v>
      </c>
      <c r="AF152" s="34">
        <f t="shared" si="73"/>
        <v>6.3074324748531323</v>
      </c>
      <c r="AG152" s="34">
        <f t="shared" si="57"/>
        <v>8.4550033174974963</v>
      </c>
      <c r="AH152" s="34">
        <f>INDEX('Specification &amp; Data'!E$24:R$46,MATCH(Simulation!AA152,'Specification &amp; Data'!D$24:D$46,0),MATCH(Simulation!AB152,'Specification &amp; Data'!E$47:R$47,0))</f>
        <v>383.46890400000007</v>
      </c>
      <c r="AI152" s="34">
        <f t="shared" si="58"/>
        <v>1.7520645763480923E-3</v>
      </c>
      <c r="AJ152" s="34">
        <f t="shared" si="50"/>
        <v>0.67186228282942739</v>
      </c>
      <c r="AK152" s="34">
        <f t="shared" si="74"/>
        <v>52.529334373844407</v>
      </c>
      <c r="AL152" s="34">
        <v>2.3289729133329802</v>
      </c>
    </row>
    <row r="153" spans="2:38" x14ac:dyDescent="0.25">
      <c r="C153" s="34">
        <f t="shared" si="59"/>
        <v>151</v>
      </c>
      <c r="D153" s="34">
        <v>18.899999999999999</v>
      </c>
      <c r="E153" s="34">
        <f t="shared" si="51"/>
        <v>30.41655118152476</v>
      </c>
      <c r="F153" s="34">
        <f t="shared" si="60"/>
        <v>8.4490419948679882</v>
      </c>
      <c r="G153" s="37">
        <f t="shared" si="61"/>
        <v>1169.566461326634</v>
      </c>
      <c r="H153" s="34">
        <f t="shared" si="62"/>
        <v>8.1808184394753543</v>
      </c>
      <c r="I153" s="34">
        <f t="shared" si="63"/>
        <v>0.53644711078526974</v>
      </c>
      <c r="J153" s="34">
        <f t="shared" si="64"/>
        <v>2</v>
      </c>
      <c r="K153" s="34">
        <v>0</v>
      </c>
      <c r="L153" s="34">
        <f>('Specification &amp; Data'!B$22*'Specification &amp; Data'!B$10*'Specification &amp; Data'!B$20*(Simulation!F153^2-'Specification &amp; Data'!B$21^2))/2</f>
        <v>31.222667765659114</v>
      </c>
      <c r="M153" s="34">
        <f t="shared" si="65"/>
        <v>305.19839464909353</v>
      </c>
      <c r="N153" s="34">
        <f>'Specification &amp; Data'!B$26*'Specification &amp; Data'!B$18*8.91</f>
        <v>464.84361000000007</v>
      </c>
      <c r="O153" s="34">
        <f t="shared" si="52"/>
        <v>801.26467241475279</v>
      </c>
      <c r="P153" s="40">
        <f t="shared" si="53"/>
        <v>801.26467241475279</v>
      </c>
      <c r="Q153" s="34">
        <f>IF(J153=1,'Specification &amp; Data'!B$52,IF(Simulation!J153=2,'Specification &amp; Data'!B$53,IF(Simulation!J153=3,'Specification &amp; Data'!B$54)))</f>
        <v>568.92541410528543</v>
      </c>
      <c r="R153" s="34">
        <f>(0.5*'Specification &amp; Data'!B$18*Simulation!F153^2)/1000</f>
        <v>18.621476059660679</v>
      </c>
      <c r="T153" s="40">
        <f>P153*'Specification &amp; Data'!B$14*0.9</f>
        <v>212.64331691006902</v>
      </c>
      <c r="U153" s="40">
        <f>T153/(IF(J153=1,'Specification &amp; Data'!H$7,IF(Simulation!J153=2,'Specification &amp; Data'!H$8,IF(Simulation!J153=3,'Specification &amp; Data'!H$9))))</f>
        <v>12.757505514131502</v>
      </c>
      <c r="V153" s="40">
        <f t="shared" si="66"/>
        <v>1.0143003855683352E-2</v>
      </c>
      <c r="W153" s="40">
        <f t="shared" si="67"/>
        <v>2.3270382772316845E-2</v>
      </c>
      <c r="X153" s="40">
        <f t="shared" si="54"/>
        <v>6.7699188662363881</v>
      </c>
      <c r="Y153" s="40">
        <f t="shared" si="55"/>
        <v>9.0749582657324233</v>
      </c>
      <c r="Z153" s="40">
        <f t="shared" si="68"/>
        <v>5067.4454376637686</v>
      </c>
      <c r="AA153" s="40">
        <f t="shared" si="69"/>
        <v>13</v>
      </c>
      <c r="AB153" s="40">
        <f t="shared" si="70"/>
        <v>5000</v>
      </c>
      <c r="AC153" s="40">
        <f t="shared" si="56"/>
        <v>1.8805330183989967E-3</v>
      </c>
      <c r="AD153" s="40">
        <f t="shared" si="71"/>
        <v>0.10770791457606556</v>
      </c>
      <c r="AE153" s="34">
        <f t="shared" si="72"/>
        <v>937.13228750216706</v>
      </c>
      <c r="AF153" s="34">
        <f t="shared" si="73"/>
        <v>6.7699188662363881</v>
      </c>
      <c r="AG153" s="34">
        <f t="shared" si="57"/>
        <v>9.0749582657324233</v>
      </c>
      <c r="AH153" s="34">
        <f>INDEX('Specification &amp; Data'!E$24:R$46,MATCH(Simulation!AA153,'Specification &amp; Data'!D$24:D$46,0),MATCH(Simulation!AB153,'Specification &amp; Data'!E$47:R$47,0))</f>
        <v>340.77733050000001</v>
      </c>
      <c r="AI153" s="34">
        <f t="shared" si="58"/>
        <v>1.8805330183989967E-3</v>
      </c>
      <c r="AJ153" s="34">
        <f t="shared" si="50"/>
        <v>0.64084302192711751</v>
      </c>
      <c r="AK153" s="34">
        <f t="shared" si="74"/>
        <v>53.170177395771525</v>
      </c>
      <c r="AL153" s="34">
        <v>2.3289729133329802</v>
      </c>
    </row>
    <row r="154" spans="2:38" x14ac:dyDescent="0.25">
      <c r="C154" s="34">
        <f t="shared" si="59"/>
        <v>152</v>
      </c>
      <c r="D154" s="34">
        <v>20</v>
      </c>
      <c r="E154" s="34">
        <f t="shared" si="51"/>
        <v>32.186826647116149</v>
      </c>
      <c r="F154" s="34">
        <f t="shared" si="60"/>
        <v>8.9407851797544851</v>
      </c>
      <c r="G154" s="37">
        <f t="shared" si="61"/>
        <v>1178.2613749139452</v>
      </c>
      <c r="H154" s="34">
        <f t="shared" si="62"/>
        <v>8.6949135873112375</v>
      </c>
      <c r="I154" s="34">
        <f t="shared" si="63"/>
        <v>0.4917431848864986</v>
      </c>
      <c r="J154" s="34">
        <f t="shared" si="64"/>
        <v>2</v>
      </c>
      <c r="K154" s="34">
        <v>0</v>
      </c>
      <c r="L154" s="34">
        <f>('Specification &amp; Data'!B$22*'Specification &amp; Data'!B$10*'Specification &amp; Data'!B$20*(Simulation!F154^2-'Specification &amp; Data'!B$21^2))/2</f>
        <v>35.24286943529966</v>
      </c>
      <c r="M154" s="34">
        <f t="shared" si="65"/>
        <v>279.76519509500315</v>
      </c>
      <c r="N154" s="34">
        <f>'Specification &amp; Data'!B$26*'Specification &amp; Data'!B$18*8.91</f>
        <v>464.84361000000007</v>
      </c>
      <c r="O154" s="34">
        <f t="shared" si="52"/>
        <v>779.85167453030294</v>
      </c>
      <c r="P154" s="40">
        <f t="shared" si="53"/>
        <v>779.85167453030294</v>
      </c>
      <c r="Q154" s="34">
        <f>IF(J154=1,'Specification &amp; Data'!B$52,IF(Simulation!J154=2,'Specification &amp; Data'!B$53,IF(Simulation!J154=3,'Specification &amp; Data'!B$54)))</f>
        <v>568.92541410528543</v>
      </c>
      <c r="R154" s="34">
        <f>(0.5*'Specification &amp; Data'!B$18*Simulation!F154^2)/1000</f>
        <v>20.852132985818628</v>
      </c>
      <c r="T154" s="40">
        <f>P154*'Specification &amp; Data'!B$14*0.9</f>
        <v>206.96063670227269</v>
      </c>
      <c r="U154" s="40">
        <f>T154/(IF(J154=1,'Specification &amp; Data'!H$7,IF(Simulation!J154=2,'Specification &amp; Data'!H$8,IF(Simulation!J154=3,'Specification &amp; Data'!H$9))))</f>
        <v>12.416573924371416</v>
      </c>
      <c r="V154" s="40">
        <f t="shared" si="66"/>
        <v>1.0230531334777559E-2</v>
      </c>
      <c r="W154" s="40">
        <f t="shared" si="67"/>
        <v>2.3270382772316845E-2</v>
      </c>
      <c r="X154" s="40">
        <f t="shared" si="54"/>
        <v>6.9724862940472505</v>
      </c>
      <c r="Y154" s="40">
        <f t="shared" si="55"/>
        <v>9.3464963727174943</v>
      </c>
      <c r="Z154" s="40">
        <f t="shared" si="68"/>
        <v>5362.3761245119249</v>
      </c>
      <c r="AA154" s="40">
        <f t="shared" si="69"/>
        <v>12</v>
      </c>
      <c r="AB154" s="40">
        <f t="shared" si="70"/>
        <v>5500</v>
      </c>
      <c r="AC154" s="40">
        <f t="shared" si="56"/>
        <v>1.9368017483464585E-3</v>
      </c>
      <c r="AD154" s="40">
        <f t="shared" si="71"/>
        <v>0.10964471632441201</v>
      </c>
      <c r="AE154" s="34">
        <f t="shared" si="72"/>
        <v>918.86910626101724</v>
      </c>
      <c r="AF154" s="34">
        <f t="shared" si="73"/>
        <v>6.9724862940472505</v>
      </c>
      <c r="AG154" s="34">
        <f t="shared" si="57"/>
        <v>9.3464963727174943</v>
      </c>
      <c r="AH154" s="34">
        <f>INDEX('Specification &amp; Data'!E$24:R$46,MATCH(Simulation!AA154,'Specification &amp; Data'!D$24:D$46,0),MATCH(Simulation!AB154,'Specification &amp; Data'!E$47:R$47,0))</f>
        <v>326.03757274999998</v>
      </c>
      <c r="AI154" s="34">
        <f t="shared" si="58"/>
        <v>1.9368017483464585E-3</v>
      </c>
      <c r="AJ154" s="34">
        <f t="shared" si="50"/>
        <v>0.63147014092883558</v>
      </c>
      <c r="AK154" s="34">
        <f t="shared" si="74"/>
        <v>53.801647536700358</v>
      </c>
      <c r="AL154" s="34">
        <v>2.3289729133329802</v>
      </c>
    </row>
    <row r="155" spans="2:38" x14ac:dyDescent="0.25">
      <c r="C155" s="34">
        <f t="shared" si="59"/>
        <v>153</v>
      </c>
      <c r="D155" s="34">
        <v>20.2</v>
      </c>
      <c r="E155" s="34">
        <f t="shared" si="51"/>
        <v>32.508694913587306</v>
      </c>
      <c r="F155" s="34">
        <f t="shared" si="60"/>
        <v>9.0301930315520291</v>
      </c>
      <c r="G155" s="37">
        <f t="shared" si="61"/>
        <v>1187.2468640195984</v>
      </c>
      <c r="H155" s="34">
        <f t="shared" si="62"/>
        <v>8.985489105653258</v>
      </c>
      <c r="I155" s="34">
        <f t="shared" si="63"/>
        <v>8.9407851797545845E-2</v>
      </c>
      <c r="J155" s="34">
        <f t="shared" si="64"/>
        <v>3</v>
      </c>
      <c r="K155" s="34">
        <v>0</v>
      </c>
      <c r="L155" s="34">
        <f>('Specification &amp; Data'!B$22*'Specification &amp; Data'!B$10*'Specification &amp; Data'!B$20*(Simulation!F155^2-'Specification &amp; Data'!B$21^2))/2</f>
        <v>35.998242686617957</v>
      </c>
      <c r="M155" s="34">
        <f t="shared" si="65"/>
        <v>50.593938462920285</v>
      </c>
      <c r="N155" s="34">
        <f>'Specification &amp; Data'!B$26*'Specification &amp; Data'!B$18*8.91</f>
        <v>464.84361000000007</v>
      </c>
      <c r="O155" s="34">
        <f t="shared" si="52"/>
        <v>551.43579114953832</v>
      </c>
      <c r="P155" s="40">
        <f t="shared" si="53"/>
        <v>551.43579114953832</v>
      </c>
      <c r="Q155" s="34">
        <f>IF(J155=1,'Specification &amp; Data'!B$52,IF(Simulation!J155=2,'Specification &amp; Data'!B$53,IF(Simulation!J155=3,'Specification &amp; Data'!B$54)))</f>
        <v>565.87802352621827</v>
      </c>
      <c r="R155" s="34">
        <f>(0.5*'Specification &amp; Data'!B$18*Simulation!F155^2)/1000</f>
        <v>21.271260858833578</v>
      </c>
      <c r="T155" s="40">
        <f>P155*'Specification &amp; Data'!B$14*0.9</f>
        <v>146.34257534353134</v>
      </c>
      <c r="U155" s="40">
        <f>T155/(IF(J155=1,'Specification &amp; Data'!H$7,IF(Simulation!J155=2,'Specification &amp; Data'!H$8,IF(Simulation!J155=3,'Specification &amp; Data'!H$9))))</f>
        <v>11.498708381483874</v>
      </c>
      <c r="V155" s="40">
        <f t="shared" si="66"/>
        <v>1.032082885707112E-2</v>
      </c>
      <c r="W155" s="40">
        <f t="shared" si="67"/>
        <v>2.3270382772316845E-2</v>
      </c>
      <c r="X155" s="40">
        <f t="shared" si="54"/>
        <v>4.9795716385869406</v>
      </c>
      <c r="Y155" s="40">
        <f t="shared" si="55"/>
        <v>6.6750290061487147</v>
      </c>
      <c r="Z155" s="40">
        <f t="shared" si="68"/>
        <v>4135.3693708982346</v>
      </c>
      <c r="AA155" s="40">
        <f t="shared" si="69"/>
        <v>11</v>
      </c>
      <c r="AB155" s="40">
        <f t="shared" si="70"/>
        <v>4000</v>
      </c>
      <c r="AC155" s="40">
        <f t="shared" si="56"/>
        <v>1.383214344051928E-3</v>
      </c>
      <c r="AD155" s="40">
        <f t="shared" si="71"/>
        <v>0.11102793066846395</v>
      </c>
      <c r="AE155" s="34">
        <f t="shared" si="72"/>
        <v>654.6904137504556</v>
      </c>
      <c r="AF155" s="34">
        <f t="shared" si="73"/>
        <v>4.9795716385869406</v>
      </c>
      <c r="AG155" s="34">
        <f t="shared" si="57"/>
        <v>6.6750290061487147</v>
      </c>
      <c r="AH155" s="34">
        <f>INDEX('Specification &amp; Data'!E$24:R$46,MATCH(Simulation!AA155,'Specification &amp; Data'!D$24:D$46,0),MATCH(Simulation!AB155,'Specification &amp; Data'!E$47:R$47,0))</f>
        <v>471.75459581250004</v>
      </c>
      <c r="AI155" s="34">
        <f t="shared" si="58"/>
        <v>1.383214344051928E-3</v>
      </c>
      <c r="AJ155" s="34">
        <f t="shared" si="50"/>
        <v>0.65253772380026964</v>
      </c>
      <c r="AK155" s="34">
        <f t="shared" si="74"/>
        <v>54.45418526050063</v>
      </c>
      <c r="AL155" s="34">
        <v>2.3289729133329802</v>
      </c>
    </row>
    <row r="156" spans="2:38" x14ac:dyDescent="0.25">
      <c r="B156" s="36" t="s">
        <v>131</v>
      </c>
      <c r="C156" s="34">
        <f t="shared" si="59"/>
        <v>154</v>
      </c>
      <c r="D156" s="34">
        <v>21</v>
      </c>
      <c r="E156" s="34">
        <f t="shared" si="51"/>
        <v>33.796167979471953</v>
      </c>
      <c r="F156" s="34">
        <f t="shared" si="60"/>
        <v>9.387824438742209</v>
      </c>
      <c r="G156" s="37">
        <f t="shared" si="61"/>
        <v>1196.4558727547455</v>
      </c>
      <c r="H156" s="34">
        <f t="shared" si="62"/>
        <v>9.209008735147119</v>
      </c>
      <c r="I156" s="34">
        <f t="shared" si="63"/>
        <v>0.35763140719017983</v>
      </c>
      <c r="J156" s="34">
        <f t="shared" si="64"/>
        <v>3</v>
      </c>
      <c r="K156" s="34">
        <f>-'Specification &amp; Data'!B$18*9.81*'Specification &amp; Data'!L$14</f>
        <v>-1042.6338873720001</v>
      </c>
      <c r="L156" s="34">
        <f>('Specification &amp; Data'!B$22*'Specification &amp; Data'!B$10*'Specification &amp; Data'!B$20*(Simulation!F156^2-'Specification &amp; Data'!B$21^2))/2</f>
        <v>39.094897209435267</v>
      </c>
      <c r="M156" s="34">
        <f t="shared" si="65"/>
        <v>202.37575385167912</v>
      </c>
      <c r="N156" s="34">
        <f>'Specification &amp; Data'!B$26*'Specification &amp; Data'!B$18*8.91</f>
        <v>464.84361000000007</v>
      </c>
      <c r="O156" s="34">
        <f t="shared" si="52"/>
        <v>-336.31962631088555</v>
      </c>
      <c r="P156" s="40">
        <f t="shared" si="53"/>
        <v>336.31962631088555</v>
      </c>
      <c r="Q156" s="34">
        <f>IF(J156=1,'Specification &amp; Data'!B$52,IF(Simulation!J156=2,'Specification &amp; Data'!B$53,IF(Simulation!J156=3,'Specification &amp; Data'!B$54)))</f>
        <v>565.87802352621827</v>
      </c>
      <c r="R156" s="34">
        <f>(0.5*'Specification &amp; Data'!B$18*Simulation!F156^2)/1000</f>
        <v>22.989476616865034</v>
      </c>
      <c r="T156" s="40">
        <f>P156*'Specification &amp; Data'!B$14*0.9</f>
        <v>89.25405467481194</v>
      </c>
      <c r="U156" s="40">
        <f>T156/(IF(J156=1,'Specification &amp; Data'!H$7,IF(Simulation!J156=2,'Specification &amp; Data'!H$8,IF(Simulation!J156=3,'Specification &amp; Data'!H$9))))</f>
        <v>7.0130400818864986</v>
      </c>
      <c r="V156" s="40">
        <f t="shared" si="66"/>
        <v>1.0422777754696912E-2</v>
      </c>
      <c r="W156" s="40">
        <f t="shared" si="67"/>
        <v>2.3270382772316845E-2</v>
      </c>
      <c r="X156" s="40">
        <f t="shared" si="54"/>
        <v>3.1573096071099784</v>
      </c>
      <c r="Y156" s="40">
        <f t="shared" si="55"/>
        <v>4.2323185081903194</v>
      </c>
      <c r="Z156" s="40">
        <f t="shared" si="68"/>
        <v>4299.146375686285</v>
      </c>
      <c r="AA156" s="40">
        <f t="shared" si="69"/>
        <v>7</v>
      </c>
      <c r="AB156" s="40">
        <f t="shared" si="70"/>
        <v>4500</v>
      </c>
      <c r="AC156" s="40">
        <f t="shared" si="56"/>
        <v>8.7703044641943841E-4</v>
      </c>
      <c r="AD156" s="40">
        <f t="shared" si="71"/>
        <v>0.11190496111488339</v>
      </c>
      <c r="AE156" s="34">
        <f t="shared" si="72"/>
        <v>-402.39159202234043</v>
      </c>
      <c r="AF156" s="34">
        <f t="shared" si="73"/>
        <v>-3.1573096071099784</v>
      </c>
      <c r="AG156" s="34">
        <f t="shared" si="57"/>
        <v>-4.2323185081903194</v>
      </c>
      <c r="AH156" s="34">
        <f>INDEX('Specification &amp; Data'!E$24:R$46,MATCH(Simulation!AA156,'Specification &amp; Data'!D$24:D$46,0),MATCH(Simulation!AB156,'Specification &amp; Data'!E$47:R$47,0))</f>
        <v>525.11244421289075</v>
      </c>
      <c r="AI156" s="34">
        <f t="shared" si="58"/>
        <v>-8.7703044641943841E-4</v>
      </c>
      <c r="AJ156" s="34">
        <f t="shared" si="50"/>
        <v>0.46053960136843403</v>
      </c>
      <c r="AK156" s="34">
        <f t="shared" si="74"/>
        <v>54.914724861869061</v>
      </c>
      <c r="AL156" s="34">
        <v>2.3289729133329802</v>
      </c>
    </row>
    <row r="157" spans="2:38" x14ac:dyDescent="0.25">
      <c r="B157" s="36" t="s">
        <v>131</v>
      </c>
      <c r="C157" s="34">
        <f t="shared" si="59"/>
        <v>155</v>
      </c>
      <c r="D157" s="34">
        <v>23</v>
      </c>
      <c r="E157" s="34">
        <f t="shared" si="51"/>
        <v>37.014850644183575</v>
      </c>
      <c r="F157" s="34">
        <f t="shared" si="60"/>
        <v>10.281902956717659</v>
      </c>
      <c r="G157" s="37">
        <f t="shared" si="61"/>
        <v>1206.2907364524756</v>
      </c>
      <c r="H157" s="34">
        <f t="shared" si="62"/>
        <v>9.8348636977299329</v>
      </c>
      <c r="I157" s="34">
        <f t="shared" si="63"/>
        <v>0.8940785179754478</v>
      </c>
      <c r="J157" s="34">
        <f t="shared" si="64"/>
        <v>3</v>
      </c>
      <c r="K157" s="34">
        <f>-'Specification &amp; Data'!B$18*9.81*'Specification &amp; Data'!L$14</f>
        <v>-1042.6338873720001</v>
      </c>
      <c r="L157" s="34">
        <f>('Specification &amp; Data'!B$22*'Specification &amp; Data'!B$10*'Specification &amp; Data'!B$20*(Simulation!F157^2-'Specification &amp; Data'!B$21^2))/2</f>
        <v>47.362664139287297</v>
      </c>
      <c r="M157" s="34">
        <f t="shared" si="65"/>
        <v>505.93938462919681</v>
      </c>
      <c r="N157" s="34">
        <f>'Specification &amp; Data'!B$26*'Specification &amp; Data'!B$18*8.91</f>
        <v>464.84361000000007</v>
      </c>
      <c r="O157" s="34">
        <f t="shared" si="52"/>
        <v>-24.48822860351595</v>
      </c>
      <c r="P157" s="40">
        <f t="shared" si="53"/>
        <v>24.48822860351595</v>
      </c>
      <c r="Q157" s="34">
        <f>IF(J157=1,'Specification &amp; Data'!B$52,IF(Simulation!J157=2,'Specification &amp; Data'!B$53,IF(Simulation!J157=3,'Specification &amp; Data'!B$54)))</f>
        <v>565.87802352621827</v>
      </c>
      <c r="R157" s="34">
        <f>(0.5*'Specification &amp; Data'!B$18*Simulation!F157^2)/1000</f>
        <v>27.576945873745139</v>
      </c>
      <c r="T157" s="40">
        <f>P157*'Specification &amp; Data'!B$14*0.9</f>
        <v>6.4987991293946177</v>
      </c>
      <c r="U157" s="40">
        <f>T157/(IF(J157=1,'Specification &amp; Data'!H$7,IF(Simulation!J157=2,'Specification &amp; Data'!H$8,IF(Simulation!J157=3,'Specification &amp; Data'!H$9))))</f>
        <v>0.51063605955635616</v>
      </c>
      <c r="V157" s="40">
        <f t="shared" si="66"/>
        <v>1.0558049509266846E-2</v>
      </c>
      <c r="W157" s="40">
        <f t="shared" si="67"/>
        <v>2.3270382772316845E-2</v>
      </c>
      <c r="X157" s="40">
        <f t="shared" si="54"/>
        <v>0.25178559008326856</v>
      </c>
      <c r="Y157" s="40">
        <f t="shared" si="55"/>
        <v>0.33751419582207581</v>
      </c>
      <c r="Z157" s="40">
        <f t="shared" si="68"/>
        <v>4708.5888876564068</v>
      </c>
      <c r="AA157" s="40">
        <f t="shared" si="69"/>
        <v>1</v>
      </c>
      <c r="AB157" s="40">
        <f t="shared" si="70"/>
        <v>4500</v>
      </c>
      <c r="AC157" s="40">
        <f t="shared" si="56"/>
        <v>6.9940441689796823E-5</v>
      </c>
      <c r="AD157" s="40">
        <f t="shared" si="71"/>
        <v>0.11197490155657319</v>
      </c>
      <c r="AE157" s="34">
        <f t="shared" si="72"/>
        <v>-29.539923316551832</v>
      </c>
      <c r="AF157" s="34">
        <f t="shared" si="73"/>
        <v>-0.25178559008326856</v>
      </c>
      <c r="AG157" s="34">
        <f t="shared" si="57"/>
        <v>-0.33751419582207581</v>
      </c>
      <c r="AH157" s="34">
        <f>INDEX('Specification &amp; Data'!E$24:R$46,MATCH(Simulation!AA157,'Specification &amp; Data'!D$24:D$46,0),MATCH(Simulation!AB157,'Specification &amp; Data'!E$47:R$47,0))</f>
        <v>917.2780889999998</v>
      </c>
      <c r="AI157" s="34">
        <f t="shared" si="58"/>
        <v>-6.9940441689796823E-5</v>
      </c>
      <c r="AJ157" s="34">
        <f t="shared" si="50"/>
        <v>6.4154834697032745E-2</v>
      </c>
      <c r="AK157" s="34">
        <f t="shared" si="74"/>
        <v>54.978879696566096</v>
      </c>
      <c r="AL157" s="34">
        <v>2.3289729133329802</v>
      </c>
    </row>
    <row r="158" spans="2:38" x14ac:dyDescent="0.25">
      <c r="B158" s="36" t="s">
        <v>131</v>
      </c>
      <c r="C158" s="34">
        <f t="shared" si="59"/>
        <v>156</v>
      </c>
      <c r="D158" s="34">
        <v>25</v>
      </c>
      <c r="E158" s="34">
        <f t="shared" si="51"/>
        <v>40.233533308895183</v>
      </c>
      <c r="F158" s="34">
        <f t="shared" si="60"/>
        <v>11.175981474693106</v>
      </c>
      <c r="G158" s="37">
        <f t="shared" si="61"/>
        <v>1217.0196786681809</v>
      </c>
      <c r="H158" s="34">
        <f t="shared" si="62"/>
        <v>10.728942215705382</v>
      </c>
      <c r="I158" s="34">
        <f t="shared" si="63"/>
        <v>0.8940785179754478</v>
      </c>
      <c r="J158" s="34">
        <f t="shared" si="64"/>
        <v>3</v>
      </c>
      <c r="K158" s="34">
        <f>-'Specification &amp; Data'!B$18*9.81*'Specification &amp; Data'!L$14</f>
        <v>-1042.6338873720001</v>
      </c>
      <c r="L158" s="34">
        <f>('Specification &amp; Data'!B$22*'Specification &amp; Data'!B$10*'Specification &amp; Data'!B$20*(Simulation!F158^2-'Specification &amp; Data'!B$21^2))/2</f>
        <v>56.382046244580415</v>
      </c>
      <c r="M158" s="34">
        <f t="shared" si="65"/>
        <v>505.93938462919681</v>
      </c>
      <c r="N158" s="34">
        <f>'Specification &amp; Data'!B$26*'Specification &amp; Data'!B$18*8.91</f>
        <v>464.84361000000007</v>
      </c>
      <c r="O158" s="34">
        <f t="shared" si="52"/>
        <v>-15.468846498222774</v>
      </c>
      <c r="P158" s="40">
        <f t="shared" si="53"/>
        <v>15.468846498222774</v>
      </c>
      <c r="Q158" s="34">
        <f>IF(J158=1,'Specification &amp; Data'!B$52,IF(Simulation!J158=2,'Specification &amp; Data'!B$53,IF(Simulation!J158=3,'Specification &amp; Data'!B$54)))</f>
        <v>565.87802352621827</v>
      </c>
      <c r="R158" s="34">
        <f>(0.5*'Specification &amp; Data'!B$18*Simulation!F158^2)/1000</f>
        <v>32.581457790341609</v>
      </c>
      <c r="T158" s="40">
        <f>P158*'Specification &amp; Data'!B$14*0.9</f>
        <v>4.1051938783745063</v>
      </c>
      <c r="U158" s="40">
        <f>T158/(IF(J158=1,'Specification &amp; Data'!H$7,IF(Simulation!J158=2,'Specification &amp; Data'!H$8,IF(Simulation!J158=3,'Specification &amp; Data'!H$9))))</f>
        <v>0.32256113537753023</v>
      </c>
      <c r="V158" s="40">
        <f t="shared" si="66"/>
        <v>1.0733084149359823E-2</v>
      </c>
      <c r="W158" s="40">
        <f t="shared" si="67"/>
        <v>2.3270382772316845E-2</v>
      </c>
      <c r="X158" s="40">
        <f t="shared" si="54"/>
        <v>0.17287954189900903</v>
      </c>
      <c r="Y158" s="40">
        <f t="shared" si="55"/>
        <v>0.23174201326944913</v>
      </c>
      <c r="Z158" s="40">
        <f t="shared" si="68"/>
        <v>5118.0313996265277</v>
      </c>
      <c r="AA158" s="40">
        <f t="shared" si="69"/>
        <v>0</v>
      </c>
      <c r="AB158" s="40">
        <f t="shared" si="70"/>
        <v>5000</v>
      </c>
      <c r="AC158" s="40">
        <f t="shared" si="56"/>
        <v>4.8022094971946955E-5</v>
      </c>
      <c r="AD158" s="40">
        <f t="shared" si="71"/>
        <v>0.11202292365154513</v>
      </c>
      <c r="AE158" s="34">
        <f t="shared" si="72"/>
        <v>-18.825890594634497</v>
      </c>
      <c r="AF158" s="34">
        <f t="shared" si="73"/>
        <v>-0.17287954189900903</v>
      </c>
      <c r="AG158" s="34">
        <f t="shared" si="57"/>
        <v>-0.23174201326944913</v>
      </c>
      <c r="AH158" s="34">
        <f>INDEX('Specification &amp; Data'!E$24:R$46,MATCH(Simulation!AA158,'Specification &amp; Data'!D$24:D$46,0),MATCH(Simulation!AB158,'Specification &amp; Data'!E$47:R$47,0))</f>
        <v>950.34029999999973</v>
      </c>
      <c r="AI158" s="34">
        <f t="shared" si="58"/>
        <v>-4.8022094971946955E-5</v>
      </c>
      <c r="AJ158" s="34">
        <f t="shared" si="50"/>
        <v>4.5637332142268547E-2</v>
      </c>
      <c r="AK158" s="34">
        <f t="shared" si="74"/>
        <v>55.024517028708367</v>
      </c>
      <c r="AL158" s="34">
        <v>2.3289729133329802</v>
      </c>
    </row>
    <row r="159" spans="2:38" x14ac:dyDescent="0.25">
      <c r="B159" s="36" t="s">
        <v>131</v>
      </c>
      <c r="C159" s="34">
        <f t="shared" si="59"/>
        <v>157</v>
      </c>
      <c r="D159" s="34">
        <v>27</v>
      </c>
      <c r="E159" s="34">
        <f t="shared" si="51"/>
        <v>43.452215973606805</v>
      </c>
      <c r="F159" s="34">
        <f t="shared" si="60"/>
        <v>12.070059992668556</v>
      </c>
      <c r="G159" s="37">
        <f t="shared" si="61"/>
        <v>1228.6426994018616</v>
      </c>
      <c r="H159" s="34">
        <f t="shared" si="62"/>
        <v>11.623020733680832</v>
      </c>
      <c r="I159" s="34">
        <f t="shared" si="63"/>
        <v>0.89407851797545135</v>
      </c>
      <c r="J159" s="34">
        <f t="shared" si="64"/>
        <v>3</v>
      </c>
      <c r="K159" s="34">
        <f>-'Specification &amp; Data'!B$18*9.81*'Specification &amp; Data'!L$14</f>
        <v>-1042.6338873720001</v>
      </c>
      <c r="L159" s="34">
        <f>('Specification &amp; Data'!B$22*'Specification &amp; Data'!B$10*'Specification &amp; Data'!B$20*(Simulation!F159^2-'Specification &amp; Data'!B$21^2))/2</f>
        <v>66.153043525314629</v>
      </c>
      <c r="M159" s="34">
        <f t="shared" si="65"/>
        <v>505.9393846291988</v>
      </c>
      <c r="N159" s="34">
        <f>'Specification &amp; Data'!B$26*'Specification &amp; Data'!B$18*8.91</f>
        <v>464.84361000000007</v>
      </c>
      <c r="O159" s="34">
        <f t="shared" si="52"/>
        <v>-5.6978492174866346</v>
      </c>
      <c r="P159" s="40">
        <f t="shared" si="53"/>
        <v>5.6978492174866346</v>
      </c>
      <c r="Q159" s="34">
        <f>IF(J159=1,'Specification &amp; Data'!B$52,IF(Simulation!J159=2,'Specification &amp; Data'!B$53,IF(Simulation!J159=3,'Specification &amp; Data'!B$54)))</f>
        <v>565.87802352621827</v>
      </c>
      <c r="R159" s="34">
        <f>(0.5*'Specification &amp; Data'!B$18*Simulation!F159^2)/1000</f>
        <v>38.00301236665446</v>
      </c>
      <c r="T159" s="40">
        <f>P159*'Specification &amp; Data'!B$14*0.9</f>
        <v>1.5121215231022223</v>
      </c>
      <c r="U159" s="40">
        <f>T159/(IF(J159=1,'Specification &amp; Data'!H$7,IF(Simulation!J159=2,'Specification &amp; Data'!H$8,IF(Simulation!J159=3,'Specification &amp; Data'!H$9))))</f>
        <v>0.11881330085042985</v>
      </c>
      <c r="V159" s="40">
        <f t="shared" si="66"/>
        <v>1.0954881706039869E-2</v>
      </c>
      <c r="W159" s="40">
        <f t="shared" si="67"/>
        <v>2.3270382772316845E-2</v>
      </c>
      <c r="X159" s="40">
        <f t="shared" si="54"/>
        <v>6.877338188424327E-2</v>
      </c>
      <c r="Y159" s="40">
        <f t="shared" si="55"/>
        <v>9.2189519952068713E-2</v>
      </c>
      <c r="Z159" s="40">
        <f t="shared" si="68"/>
        <v>5527.4739115966522</v>
      </c>
      <c r="AA159" s="40">
        <f t="shared" si="69"/>
        <v>0</v>
      </c>
      <c r="AB159" s="40">
        <f t="shared" si="70"/>
        <v>5500</v>
      </c>
      <c r="AC159" s="40">
        <f t="shared" si="56"/>
        <v>1.9103717190067574E-5</v>
      </c>
      <c r="AD159" s="40">
        <f t="shared" si="71"/>
        <v>0.1120420273687352</v>
      </c>
      <c r="AE159" s="34">
        <f t="shared" si="72"/>
        <v>-7.0006208433575638</v>
      </c>
      <c r="AF159" s="34">
        <f t="shared" si="73"/>
        <v>-6.877338188424327E-2</v>
      </c>
      <c r="AG159" s="34">
        <f t="shared" si="57"/>
        <v>-9.2189519952068713E-2</v>
      </c>
      <c r="AH159" s="34">
        <f>INDEX('Specification &amp; Data'!E$24:R$46,MATCH(Simulation!AA159,'Specification &amp; Data'!D$24:D$46,0),MATCH(Simulation!AB159,'Specification &amp; Data'!E$47:R$47,0))</f>
        <v>913.5401730000001</v>
      </c>
      <c r="AI159" s="34">
        <f t="shared" si="58"/>
        <v>-1.9103717190067574E-5</v>
      </c>
      <c r="AJ159" s="34">
        <f t="shared" si="50"/>
        <v>1.7452013106757407E-2</v>
      </c>
      <c r="AK159" s="34">
        <f t="shared" si="74"/>
        <v>55.041969041815122</v>
      </c>
      <c r="AL159" s="34">
        <v>2.3289729133329802</v>
      </c>
    </row>
    <row r="160" spans="2:38" x14ac:dyDescent="0.25">
      <c r="B160" s="36" t="s">
        <v>131</v>
      </c>
      <c r="C160" s="34">
        <f t="shared" si="59"/>
        <v>158</v>
      </c>
      <c r="D160" s="34">
        <v>29</v>
      </c>
      <c r="E160" s="34">
        <f t="shared" si="51"/>
        <v>46.670898638318413</v>
      </c>
      <c r="F160" s="34">
        <f t="shared" si="60"/>
        <v>12.964138510644004</v>
      </c>
      <c r="G160" s="37">
        <f t="shared" si="61"/>
        <v>1241.1597986535178</v>
      </c>
      <c r="H160" s="34">
        <f t="shared" si="62"/>
        <v>12.51709925165628</v>
      </c>
      <c r="I160" s="34">
        <f t="shared" si="63"/>
        <v>0.8940785179754478</v>
      </c>
      <c r="J160" s="34">
        <f t="shared" si="64"/>
        <v>3</v>
      </c>
      <c r="K160" s="34">
        <f>-'Specification &amp; Data'!B$18*9.81*'Specification &amp; Data'!L$14</f>
        <v>-1042.6338873720001</v>
      </c>
      <c r="L160" s="34">
        <f>('Specification &amp; Data'!B$22*'Specification &amp; Data'!B$10*'Specification &amp; Data'!B$20*(Simulation!F160^2-'Specification &amp; Data'!B$21^2))/2</f>
        <v>76.675655981489925</v>
      </c>
      <c r="M160" s="34">
        <f t="shared" si="65"/>
        <v>505.93938462919681</v>
      </c>
      <c r="N160" s="34">
        <f>'Specification &amp; Data'!B$26*'Specification &amp; Data'!B$18*8.91</f>
        <v>464.84361000000007</v>
      </c>
      <c r="O160" s="34">
        <f t="shared" si="52"/>
        <v>4.8247632386867281</v>
      </c>
      <c r="P160" s="40">
        <f t="shared" si="53"/>
        <v>4.8247632386867281</v>
      </c>
      <c r="Q160" s="34">
        <f>IF(J160=1,'Specification &amp; Data'!B$52,IF(Simulation!J160=2,'Specification &amp; Data'!B$53,IF(Simulation!J160=3,'Specification &amp; Data'!B$54)))</f>
        <v>565.87802352621827</v>
      </c>
      <c r="R160" s="34">
        <f>(0.5*'Specification &amp; Data'!B$18*Simulation!F160^2)/1000</f>
        <v>43.841609602683668</v>
      </c>
      <c r="T160" s="40">
        <f>P160*'Specification &amp; Data'!B$14*0.9</f>
        <v>1.2804179364207087</v>
      </c>
      <c r="U160" s="40">
        <f>T160/(IF(J160=1,'Specification &amp; Data'!H$7,IF(Simulation!J160=2,'Specification &amp; Data'!H$8,IF(Simulation!J160=3,'Specification &amp; Data'!H$9))))</f>
        <v>0.10060744402482517</v>
      </c>
      <c r="V160" s="40">
        <f t="shared" si="66"/>
        <v>1.1231002212856125E-2</v>
      </c>
      <c r="W160" s="40">
        <f t="shared" si="67"/>
        <v>2.3270382772316845E-2</v>
      </c>
      <c r="X160" s="40">
        <f t="shared" si="54"/>
        <v>6.2548898907398093E-2</v>
      </c>
      <c r="Y160" s="40">
        <f t="shared" si="55"/>
        <v>8.384570899115025E-2</v>
      </c>
      <c r="Z160" s="40">
        <f t="shared" si="68"/>
        <v>5936.916423566774</v>
      </c>
      <c r="AA160" s="40">
        <f t="shared" si="69"/>
        <v>0</v>
      </c>
      <c r="AB160" s="40">
        <f t="shared" si="70"/>
        <v>6000</v>
      </c>
      <c r="AC160" s="40">
        <f t="shared" si="56"/>
        <v>1.7374694140943916E-5</v>
      </c>
      <c r="AD160" s="40">
        <f t="shared" si="71"/>
        <v>0.11205940206287614</v>
      </c>
      <c r="AE160" s="34">
        <f t="shared" si="72"/>
        <v>5.9883021698793133</v>
      </c>
      <c r="AF160" s="34">
        <f t="shared" si="73"/>
        <v>6.2548898907398093E-2</v>
      </c>
      <c r="AG160" s="34">
        <f t="shared" si="57"/>
        <v>8.384570899115025E-2</v>
      </c>
      <c r="AH160" s="34">
        <f>INDEX('Specification &amp; Data'!E$24:R$46,MATCH(Simulation!AA160,'Specification &amp; Data'!D$24:D$46,0),MATCH(Simulation!AB160,'Specification &amp; Data'!E$47:R$47,0))</f>
        <v>907.55826525000055</v>
      </c>
      <c r="AI160" s="34">
        <f t="shared" si="58"/>
        <v>1.7374694140943916E-5</v>
      </c>
      <c r="AJ160" s="34">
        <f t="shared" si="50"/>
        <v>1.5768547273804411E-2</v>
      </c>
      <c r="AK160" s="34">
        <f t="shared" si="74"/>
        <v>55.057737589088923</v>
      </c>
      <c r="AL160" s="34">
        <v>2.3289729133329802</v>
      </c>
    </row>
    <row r="161" spans="2:38" x14ac:dyDescent="0.25">
      <c r="C161" s="34">
        <f t="shared" si="59"/>
        <v>159</v>
      </c>
      <c r="D161" s="34">
        <v>30</v>
      </c>
      <c r="E161" s="34">
        <f t="shared" si="51"/>
        <v>48.280239970674224</v>
      </c>
      <c r="F161" s="34">
        <f t="shared" si="60"/>
        <v>13.411177769631728</v>
      </c>
      <c r="G161" s="37">
        <f t="shared" si="61"/>
        <v>1254.3474567936557</v>
      </c>
      <c r="H161" s="34">
        <f t="shared" si="62"/>
        <v>13.187658140137867</v>
      </c>
      <c r="I161" s="34">
        <f t="shared" si="63"/>
        <v>0.44703925898772567</v>
      </c>
      <c r="J161" s="34">
        <f t="shared" si="64"/>
        <v>3</v>
      </c>
      <c r="K161" s="34">
        <v>0</v>
      </c>
      <c r="L161" s="34">
        <f>('Specification &amp; Data'!B$22*'Specification &amp; Data'!B$10*'Specification &amp; Data'!B$20*(Simulation!F161^2-'Specification &amp; Data'!B$21^2))/2</f>
        <v>82.218817900367981</v>
      </c>
      <c r="M161" s="34">
        <f t="shared" si="65"/>
        <v>252.9696923145994</v>
      </c>
      <c r="N161" s="34">
        <f>'Specification &amp; Data'!B$26*'Specification &amp; Data'!B$18*8.91</f>
        <v>464.84361000000007</v>
      </c>
      <c r="O161" s="34">
        <f t="shared" si="52"/>
        <v>800.03212021496745</v>
      </c>
      <c r="P161" s="40">
        <f t="shared" si="53"/>
        <v>800.03212021496745</v>
      </c>
      <c r="Q161" s="34">
        <f>IF(J161=1,'Specification &amp; Data'!B$52,IF(Simulation!J161=2,'Specification &amp; Data'!B$53,IF(Simulation!J161=3,'Specification &amp; Data'!B$54)))</f>
        <v>565.87802352621827</v>
      </c>
      <c r="R161" s="34">
        <f>(0.5*'Specification &amp; Data'!B$18*Simulation!F161^2)/1000</f>
        <v>46.917299218091912</v>
      </c>
      <c r="T161" s="40">
        <f>P161*'Specification &amp; Data'!B$14*0.9</f>
        <v>212.31621651858754</v>
      </c>
      <c r="U161" s="40">
        <f>T161/(IF(J161=1,'Specification &amp; Data'!H$7,IF(Simulation!J161=2,'Specification &amp; Data'!H$8,IF(Simulation!J161=3,'Specification &amp; Data'!H$9))))</f>
        <v>16.682515342348328</v>
      </c>
      <c r="V161" s="40">
        <f t="shared" si="66"/>
        <v>1.1537294208098018E-2</v>
      </c>
      <c r="W161" s="40">
        <f t="shared" si="67"/>
        <v>2.3270382772316845E-2</v>
      </c>
      <c r="X161" s="40">
        <f t="shared" si="54"/>
        <v>10.729372985618308</v>
      </c>
      <c r="Y161" s="40">
        <f t="shared" si="55"/>
        <v>14.382537514233658</v>
      </c>
      <c r="Z161" s="40">
        <f t="shared" si="68"/>
        <v>6141.6376795518354</v>
      </c>
      <c r="AA161" s="40">
        <f t="shared" si="69"/>
        <v>17</v>
      </c>
      <c r="AB161" s="40">
        <f t="shared" si="70"/>
        <v>6000</v>
      </c>
      <c r="AC161" s="40">
        <f t="shared" si="56"/>
        <v>2.9803813848939746E-3</v>
      </c>
      <c r="AD161" s="40">
        <f t="shared" si="71"/>
        <v>0.11503978344777011</v>
      </c>
      <c r="AE161" s="34">
        <f t="shared" si="72"/>
        <v>1003.5182553448806</v>
      </c>
      <c r="AF161" s="34">
        <f t="shared" si="73"/>
        <v>10.729372985618308</v>
      </c>
      <c r="AG161" s="34">
        <f t="shared" si="57"/>
        <v>14.382537514233658</v>
      </c>
      <c r="AH161" s="34">
        <f>INDEX('Specification &amp; Data'!E$24:R$46,MATCH(Simulation!AA161,'Specification &amp; Data'!D$24:D$46,0),MATCH(Simulation!AB161,'Specification &amp; Data'!E$47:R$47,0))</f>
        <v>404.08190550000012</v>
      </c>
      <c r="AI161" s="34">
        <f t="shared" si="58"/>
        <v>2.9803813848939746E-3</v>
      </c>
      <c r="AJ161" s="34">
        <f t="shared" si="50"/>
        <v>1.2043181891246866</v>
      </c>
      <c r="AK161" s="34">
        <f t="shared" si="74"/>
        <v>56.262055778213607</v>
      </c>
      <c r="AL161" s="34">
        <v>2.3289729133329802</v>
      </c>
    </row>
    <row r="162" spans="2:38" x14ac:dyDescent="0.25">
      <c r="C162" s="34">
        <f t="shared" si="59"/>
        <v>160</v>
      </c>
      <c r="D162" s="34">
        <v>30</v>
      </c>
      <c r="E162" s="34">
        <f t="shared" si="51"/>
        <v>48.280239970674224</v>
      </c>
      <c r="F162" s="34">
        <f t="shared" si="60"/>
        <v>13.411177769631728</v>
      </c>
      <c r="G162" s="37">
        <f t="shared" si="61"/>
        <v>1267.7586345632874</v>
      </c>
      <c r="H162" s="34">
        <f t="shared" si="62"/>
        <v>13.411177769631728</v>
      </c>
      <c r="I162" s="34">
        <f t="shared" si="63"/>
        <v>0</v>
      </c>
      <c r="J162" s="34">
        <f t="shared" si="64"/>
        <v>3</v>
      </c>
      <c r="K162" s="34">
        <v>0</v>
      </c>
      <c r="L162" s="34">
        <f>('Specification &amp; Data'!B$22*'Specification &amp; Data'!B$10*'Specification &amp; Data'!B$20*(Simulation!F162^2-'Specification &amp; Data'!B$21^2))/2</f>
        <v>82.218817900367981</v>
      </c>
      <c r="M162" s="34">
        <f t="shared" si="65"/>
        <v>0</v>
      </c>
      <c r="N162" s="34">
        <f>'Specification &amp; Data'!B$26*'Specification &amp; Data'!B$18*8.91</f>
        <v>464.84361000000007</v>
      </c>
      <c r="O162" s="34">
        <f t="shared" si="52"/>
        <v>547.06242790036799</v>
      </c>
      <c r="P162" s="40">
        <f t="shared" si="53"/>
        <v>547.06242790036799</v>
      </c>
      <c r="Q162" s="34">
        <f>IF(J162=1,'Specification &amp; Data'!B$52,IF(Simulation!J162=2,'Specification &amp; Data'!B$53,IF(Simulation!J162=3,'Specification &amp; Data'!B$54)))</f>
        <v>565.87802352621827</v>
      </c>
      <c r="R162" s="34">
        <f>(0.5*'Specification &amp; Data'!B$18*Simulation!F162^2)/1000</f>
        <v>46.917299218091912</v>
      </c>
      <c r="T162" s="40">
        <f>P162*'Specification &amp; Data'!B$14*0.9</f>
        <v>145.18195201971304</v>
      </c>
      <c r="U162" s="40">
        <f>T162/(IF(J162=1,'Specification &amp; Data'!H$7,IF(Simulation!J162=2,'Specification &amp; Data'!H$8,IF(Simulation!J162=3,'Specification &amp; Data'!H$9))))</f>
        <v>11.407513668598668</v>
      </c>
      <c r="V162" s="40">
        <f t="shared" si="66"/>
        <v>1.1843586203339911E-2</v>
      </c>
      <c r="W162" s="40">
        <f t="shared" si="67"/>
        <v>2.3270382772316845E-2</v>
      </c>
      <c r="X162" s="40">
        <f t="shared" si="54"/>
        <v>7.3367514716581752</v>
      </c>
      <c r="Y162" s="40">
        <f t="shared" si="55"/>
        <v>9.8347874955203416</v>
      </c>
      <c r="Z162" s="40">
        <f t="shared" si="68"/>
        <v>6141.6376795518363</v>
      </c>
      <c r="AA162" s="40">
        <f t="shared" si="69"/>
        <v>11</v>
      </c>
      <c r="AB162" s="40">
        <f t="shared" si="70"/>
        <v>6000</v>
      </c>
      <c r="AC162" s="40">
        <f t="shared" si="56"/>
        <v>2.0379865199050486E-3</v>
      </c>
      <c r="AD162" s="40">
        <f t="shared" si="71"/>
        <v>0.11707776996767516</v>
      </c>
      <c r="AE162" s="34">
        <f t="shared" si="72"/>
        <v>693.54311661584734</v>
      </c>
      <c r="AF162" s="34">
        <f t="shared" si="73"/>
        <v>7.3367514716581752</v>
      </c>
      <c r="AG162" s="34">
        <f t="shared" si="57"/>
        <v>9.8347874955203416</v>
      </c>
      <c r="AH162" s="34">
        <f>INDEX('Specification &amp; Data'!E$24:R$46,MATCH(Simulation!AA162,'Specification &amp; Data'!D$24:D$46,0),MATCH(Simulation!AB162,'Specification &amp; Data'!E$47:R$47,0))</f>
        <v>314.21999700000015</v>
      </c>
      <c r="AI162" s="34">
        <f t="shared" si="58"/>
        <v>2.0379865199050486E-3</v>
      </c>
      <c r="AJ162" s="34">
        <f t="shared" si="50"/>
        <v>0.64037611817060514</v>
      </c>
      <c r="AK162" s="34">
        <f t="shared" si="74"/>
        <v>56.902431896384215</v>
      </c>
      <c r="AL162" s="34">
        <v>2.3289729133329802</v>
      </c>
    </row>
    <row r="163" spans="2:38" x14ac:dyDescent="0.25">
      <c r="C163" s="34">
        <f t="shared" si="59"/>
        <v>161</v>
      </c>
      <c r="D163" s="34">
        <v>30</v>
      </c>
      <c r="E163" s="34">
        <f t="shared" si="51"/>
        <v>48.280239970674224</v>
      </c>
      <c r="F163" s="34">
        <f t="shared" si="60"/>
        <v>13.411177769631728</v>
      </c>
      <c r="G163" s="37">
        <f t="shared" si="61"/>
        <v>1281.169812332919</v>
      </c>
      <c r="H163" s="34">
        <f t="shared" si="62"/>
        <v>13.411177769631728</v>
      </c>
      <c r="I163" s="34">
        <f t="shared" si="63"/>
        <v>0</v>
      </c>
      <c r="J163" s="34">
        <f t="shared" si="64"/>
        <v>3</v>
      </c>
      <c r="K163" s="34">
        <v>0</v>
      </c>
      <c r="L163" s="34">
        <f>('Specification &amp; Data'!B$22*'Specification &amp; Data'!B$10*'Specification &amp; Data'!B$20*(Simulation!F163^2-'Specification &amp; Data'!B$21^2))/2</f>
        <v>82.218817900367981</v>
      </c>
      <c r="M163" s="34">
        <f t="shared" si="65"/>
        <v>0</v>
      </c>
      <c r="N163" s="34">
        <f>'Specification &amp; Data'!B$26*'Specification &amp; Data'!B$18*8.91</f>
        <v>464.84361000000007</v>
      </c>
      <c r="O163" s="34">
        <f t="shared" si="52"/>
        <v>547.06242790036799</v>
      </c>
      <c r="P163" s="40">
        <f t="shared" si="53"/>
        <v>547.06242790036799</v>
      </c>
      <c r="Q163" s="34">
        <f>IF(J163=1,'Specification &amp; Data'!B$52,IF(Simulation!J163=2,'Specification &amp; Data'!B$53,IF(Simulation!J163=3,'Specification &amp; Data'!B$54)))</f>
        <v>565.87802352621827</v>
      </c>
      <c r="R163" s="34">
        <f>(0.5*'Specification &amp; Data'!B$18*Simulation!F163^2)/1000</f>
        <v>46.917299218091912</v>
      </c>
      <c r="T163" s="40">
        <f>P163*'Specification &amp; Data'!B$14*0.9</f>
        <v>145.18195201971304</v>
      </c>
      <c r="U163" s="40">
        <f>T163/(IF(J163=1,'Specification &amp; Data'!H$7,IF(Simulation!J163=2,'Specification &amp; Data'!H$8,IF(Simulation!J163=3,'Specification &amp; Data'!H$9))))</f>
        <v>11.407513668598668</v>
      </c>
      <c r="V163" s="40">
        <f t="shared" si="66"/>
        <v>1.2149878198581803E-2</v>
      </c>
      <c r="W163" s="40">
        <f t="shared" si="67"/>
        <v>2.3270382772316845E-2</v>
      </c>
      <c r="X163" s="40">
        <f t="shared" si="54"/>
        <v>7.3367514716581752</v>
      </c>
      <c r="Y163" s="40">
        <f t="shared" si="55"/>
        <v>9.8347874955203416</v>
      </c>
      <c r="Z163" s="40">
        <f t="shared" si="68"/>
        <v>6141.6376795518363</v>
      </c>
      <c r="AA163" s="40">
        <f t="shared" si="69"/>
        <v>11</v>
      </c>
      <c r="AB163" s="40">
        <f t="shared" si="70"/>
        <v>6000</v>
      </c>
      <c r="AC163" s="40">
        <f t="shared" si="56"/>
        <v>2.0379865199050486E-3</v>
      </c>
      <c r="AD163" s="40">
        <f t="shared" si="71"/>
        <v>0.11911575648758022</v>
      </c>
      <c r="AE163" s="34">
        <f t="shared" si="72"/>
        <v>700.87986808750543</v>
      </c>
      <c r="AF163" s="34">
        <f t="shared" si="73"/>
        <v>7.3367514716581752</v>
      </c>
      <c r="AG163" s="34">
        <f t="shared" si="57"/>
        <v>9.8347874955203416</v>
      </c>
      <c r="AH163" s="34">
        <f>INDEX('Specification &amp; Data'!E$24:R$46,MATCH(Simulation!AA163,'Specification &amp; Data'!D$24:D$46,0),MATCH(Simulation!AB163,'Specification &amp; Data'!E$47:R$47,0))</f>
        <v>314.21999700000015</v>
      </c>
      <c r="AI163" s="34">
        <f t="shared" si="58"/>
        <v>2.0379865199050486E-3</v>
      </c>
      <c r="AJ163" s="34">
        <f t="shared" si="50"/>
        <v>0.64037611817060514</v>
      </c>
      <c r="AK163" s="34">
        <f t="shared" si="74"/>
        <v>57.542808014554822</v>
      </c>
      <c r="AL163" s="34">
        <v>2.3289729133329802</v>
      </c>
    </row>
    <row r="164" spans="2:38" x14ac:dyDescent="0.25">
      <c r="C164" s="34">
        <f t="shared" si="59"/>
        <v>162</v>
      </c>
      <c r="D164" s="34">
        <v>28</v>
      </c>
      <c r="E164" s="34">
        <f t="shared" si="51"/>
        <v>45.061557305962609</v>
      </c>
      <c r="F164" s="34">
        <f t="shared" si="60"/>
        <v>12.51709925165628</v>
      </c>
      <c r="G164" s="37">
        <f t="shared" si="61"/>
        <v>1294.1339508435631</v>
      </c>
      <c r="H164" s="34">
        <f t="shared" si="62"/>
        <v>12.964138510644004</v>
      </c>
      <c r="I164" s="34">
        <f t="shared" si="63"/>
        <v>-0.8940785179754478</v>
      </c>
      <c r="J164" s="34">
        <f t="shared" si="64"/>
        <v>3</v>
      </c>
      <c r="K164" s="34">
        <v>0</v>
      </c>
      <c r="L164" s="34">
        <f>('Specification &amp; Data'!B$22*'Specification &amp; Data'!B$10*'Specification &amp; Data'!B$20*(Simulation!F164^2-'Specification &amp; Data'!B$21^2))/2</f>
        <v>71.320397856472141</v>
      </c>
      <c r="M164" s="34">
        <f t="shared" si="65"/>
        <v>-505.93938462919681</v>
      </c>
      <c r="N164" s="34">
        <f>'Specification &amp; Data'!B$26*'Specification &amp; Data'!B$18*8.91</f>
        <v>464.84361000000007</v>
      </c>
      <c r="O164" s="34">
        <f t="shared" si="52"/>
        <v>30.224623227275401</v>
      </c>
      <c r="P164" s="40">
        <f t="shared" si="53"/>
        <v>30.224623227275401</v>
      </c>
      <c r="Q164" s="34">
        <f>IF(J164=1,'Specification &amp; Data'!B$52,IF(Simulation!J164=2,'Specification &amp; Data'!B$53,IF(Simulation!J164=3,'Specification &amp; Data'!B$54)))</f>
        <v>565.87802352621827</v>
      </c>
      <c r="R164" s="34">
        <f>(0.5*'Specification &amp; Data'!B$18*Simulation!F164^2)/1000</f>
        <v>40.870180652204517</v>
      </c>
      <c r="T164" s="40">
        <f>P164*'Specification &amp; Data'!B$14*0.9</f>
        <v>8.0211500103153952</v>
      </c>
      <c r="U164" s="40">
        <f>T164/(IF(J164=1,'Specification &amp; Data'!H$7,IF(Simulation!J164=2,'Specification &amp; Data'!H$8,IF(Simulation!J164=3,'Specification &amp; Data'!H$9))))</f>
        <v>0.63025312104998432</v>
      </c>
      <c r="V164" s="40">
        <f t="shared" si="66"/>
        <v>1.2397857225980991E-2</v>
      </c>
      <c r="W164" s="40">
        <f t="shared" si="67"/>
        <v>2.3375472941422323E-2</v>
      </c>
      <c r="X164" s="40">
        <f t="shared" si="54"/>
        <v>0.3783246087797219</v>
      </c>
      <c r="Y164" s="40">
        <f t="shared" si="55"/>
        <v>0.50713754528112864</v>
      </c>
      <c r="Z164" s="40">
        <f t="shared" si="68"/>
        <v>5732.1951675817127</v>
      </c>
      <c r="AA164" s="40">
        <f t="shared" si="69"/>
        <v>1</v>
      </c>
      <c r="AB164" s="40">
        <f t="shared" si="70"/>
        <v>5500</v>
      </c>
      <c r="AC164" s="40">
        <f t="shared" si="56"/>
        <v>1.050901691054783E-4</v>
      </c>
      <c r="AD164" s="40">
        <f t="shared" si="71"/>
        <v>0.1192208466566857</v>
      </c>
      <c r="AE164" s="34">
        <f t="shared" si="72"/>
        <v>39.114711069872037</v>
      </c>
      <c r="AF164" s="34">
        <f t="shared" si="73"/>
        <v>0.3783246087797219</v>
      </c>
      <c r="AG164" s="34">
        <f t="shared" si="57"/>
        <v>0.50713754528112864</v>
      </c>
      <c r="AH164" s="34">
        <f>INDEX('Specification &amp; Data'!E$24:R$46,MATCH(Simulation!AA164,'Specification &amp; Data'!D$24:D$46,0),MATCH(Simulation!AB164,'Specification &amp; Data'!E$47:R$47,0))</f>
        <v>863.13181500000007</v>
      </c>
      <c r="AI164" s="34">
        <f t="shared" si="58"/>
        <v>1.050901691054783E-4</v>
      </c>
      <c r="AJ164" s="34">
        <f t="shared" si="50"/>
        <v>9.0706668398668422E-2</v>
      </c>
      <c r="AK164" s="34">
        <f t="shared" si="74"/>
        <v>57.633514682953489</v>
      </c>
      <c r="AL164" s="34">
        <v>2.3289729133329802</v>
      </c>
    </row>
    <row r="165" spans="2:38" x14ac:dyDescent="0.25">
      <c r="C165" s="34">
        <f t="shared" si="59"/>
        <v>163</v>
      </c>
      <c r="D165" s="34">
        <v>26</v>
      </c>
      <c r="E165" s="34">
        <f t="shared" si="51"/>
        <v>41.842874641250987</v>
      </c>
      <c r="F165" s="34">
        <f t="shared" si="60"/>
        <v>11.62302073368083</v>
      </c>
      <c r="G165" s="37">
        <f t="shared" si="61"/>
        <v>1306.2040108362316</v>
      </c>
      <c r="H165" s="34">
        <f t="shared" si="62"/>
        <v>12.070059992668554</v>
      </c>
      <c r="I165" s="34">
        <f t="shared" si="63"/>
        <v>-0.89407851797545135</v>
      </c>
      <c r="J165" s="34">
        <f t="shared" si="64"/>
        <v>3</v>
      </c>
      <c r="K165" s="34">
        <v>0</v>
      </c>
      <c r="L165" s="34">
        <f>('Specification &amp; Data'!B$22*'Specification &amp; Data'!B$10*'Specification &amp; Data'!B$20*(Simulation!F165^2-'Specification &amp; Data'!B$21^2))/2</f>
        <v>61.173592988017361</v>
      </c>
      <c r="M165" s="34">
        <f t="shared" si="65"/>
        <v>-505.9393846291988</v>
      </c>
      <c r="N165" s="34">
        <f>'Specification &amp; Data'!B$26*'Specification &amp; Data'!B$18*8.91</f>
        <v>464.84361000000007</v>
      </c>
      <c r="O165" s="34">
        <f t="shared" si="52"/>
        <v>20.077818358818661</v>
      </c>
      <c r="P165" s="40">
        <f t="shared" si="53"/>
        <v>20.077818358818661</v>
      </c>
      <c r="Q165" s="34">
        <f>IF(J165=1,'Specification &amp; Data'!B$52,IF(Simulation!J165=2,'Specification &amp; Data'!B$53,IF(Simulation!J165=3,'Specification &amp; Data'!B$54)))</f>
        <v>565.87802352621827</v>
      </c>
      <c r="R165" s="34">
        <f>(0.5*'Specification &amp; Data'!B$18*Simulation!F165^2)/1000</f>
        <v>35.240104746033474</v>
      </c>
      <c r="T165" s="40">
        <f>P165*'Specification &amp; Data'!B$14*0.9</f>
        <v>5.32834410291726</v>
      </c>
      <c r="U165" s="40">
        <f>T165/(IF(J165=1,'Specification &amp; Data'!H$7,IF(Simulation!J165=2,'Specification &amp; Data'!H$8,IF(Simulation!J165=3,'Specification &amp; Data'!H$9))))</f>
        <v>0.41866883134876515</v>
      </c>
      <c r="V165" s="40">
        <f t="shared" si="66"/>
        <v>1.259536332032918E-2</v>
      </c>
      <c r="W165" s="40">
        <f t="shared" si="67"/>
        <v>2.3440296524497774E-2</v>
      </c>
      <c r="X165" s="40">
        <f t="shared" si="54"/>
        <v>0.23336489907162691</v>
      </c>
      <c r="Y165" s="40">
        <f t="shared" si="55"/>
        <v>0.31282158052496906</v>
      </c>
      <c r="Z165" s="40">
        <f t="shared" si="68"/>
        <v>5322.7526556115909</v>
      </c>
      <c r="AA165" s="40">
        <f t="shared" si="69"/>
        <v>0</v>
      </c>
      <c r="AB165" s="40">
        <f t="shared" si="70"/>
        <v>5500</v>
      </c>
      <c r="AC165" s="40">
        <f t="shared" si="56"/>
        <v>6.482358307545192E-5</v>
      </c>
      <c r="AD165" s="40">
        <f t="shared" si="71"/>
        <v>0.11928567023976115</v>
      </c>
      <c r="AE165" s="34">
        <f t="shared" si="72"/>
        <v>26.225726869130259</v>
      </c>
      <c r="AF165" s="34">
        <f t="shared" si="73"/>
        <v>0.23336489907162691</v>
      </c>
      <c r="AG165" s="34">
        <f t="shared" si="57"/>
        <v>0.31282158052496906</v>
      </c>
      <c r="AH165" s="34">
        <f>INDEX('Specification &amp; Data'!E$24:R$46,MATCH(Simulation!AA165,'Specification &amp; Data'!D$24:D$46,0),MATCH(Simulation!AB165,'Specification &amp; Data'!E$47:R$47,0))</f>
        <v>913.5401730000001</v>
      </c>
      <c r="AI165" s="34">
        <f t="shared" si="58"/>
        <v>6.482358307545192E-5</v>
      </c>
      <c r="AJ165" s="34">
        <f t="shared" si="50"/>
        <v>5.9218947297228222E-2</v>
      </c>
      <c r="AK165" s="34">
        <f t="shared" si="74"/>
        <v>57.692733630250714</v>
      </c>
      <c r="AL165" s="34">
        <v>2.3289729133329802</v>
      </c>
    </row>
    <row r="166" spans="2:38" x14ac:dyDescent="0.25">
      <c r="C166" s="34">
        <f t="shared" si="59"/>
        <v>164</v>
      </c>
      <c r="D166" s="34">
        <v>24</v>
      </c>
      <c r="E166" s="34">
        <f t="shared" si="51"/>
        <v>38.624191976539379</v>
      </c>
      <c r="F166" s="34">
        <f t="shared" si="60"/>
        <v>10.728942215705382</v>
      </c>
      <c r="G166" s="37">
        <f t="shared" si="61"/>
        <v>1317.3799923109248</v>
      </c>
      <c r="H166" s="34">
        <f t="shared" si="62"/>
        <v>11.175981474693106</v>
      </c>
      <c r="I166" s="34">
        <f t="shared" si="63"/>
        <v>-0.8940785179754478</v>
      </c>
      <c r="J166" s="34">
        <f t="shared" si="64"/>
        <v>3</v>
      </c>
      <c r="K166" s="34">
        <v>0</v>
      </c>
      <c r="L166" s="34">
        <f>('Specification &amp; Data'!B$22*'Specification &amp; Data'!B$10*'Specification &amp; Data'!B$20*(Simulation!F166^2-'Specification &amp; Data'!B$21^2))/2</f>
        <v>51.77840329500372</v>
      </c>
      <c r="M166" s="34">
        <f t="shared" si="65"/>
        <v>-505.93938462919681</v>
      </c>
      <c r="N166" s="34">
        <f>'Specification &amp; Data'!B$26*'Specification &amp; Data'!B$18*8.91</f>
        <v>464.84361000000007</v>
      </c>
      <c r="O166" s="34">
        <f t="shared" si="52"/>
        <v>10.682628665806988</v>
      </c>
      <c r="P166" s="40">
        <f t="shared" si="53"/>
        <v>10.682628665806988</v>
      </c>
      <c r="Q166" s="34">
        <f>IF(J166=1,'Specification &amp; Data'!B$52,IF(Simulation!J166=2,'Specification &amp; Data'!B$53,IF(Simulation!J166=3,'Specification &amp; Data'!B$54)))</f>
        <v>565.87802352621827</v>
      </c>
      <c r="R166" s="34">
        <f>(0.5*'Specification &amp; Data'!B$18*Simulation!F166^2)/1000</f>
        <v>30.027071499578831</v>
      </c>
      <c r="T166" s="40">
        <f>P166*'Specification &amp; Data'!B$14*0.9</f>
        <v>2.8350052997718547</v>
      </c>
      <c r="U166" s="40">
        <f>T166/(IF(J166=1,'Specification &amp; Data'!H$7,IF(Simulation!J166=2,'Specification &amp; Data'!H$8,IF(Simulation!J166=3,'Specification &amp; Data'!H$9))))</f>
        <v>0.22275745199586425</v>
      </c>
      <c r="V166" s="40">
        <f t="shared" si="66"/>
        <v>1.2749676513932953E-2</v>
      </c>
      <c r="W166" s="40">
        <f t="shared" si="67"/>
        <v>2.3472133553849799E-2</v>
      </c>
      <c r="X166" s="40">
        <f t="shared" si="54"/>
        <v>0.11461330566728105</v>
      </c>
      <c r="Y166" s="40">
        <f t="shared" si="55"/>
        <v>0.15363713896418371</v>
      </c>
      <c r="Z166" s="40">
        <f t="shared" si="68"/>
        <v>4913.310143641469</v>
      </c>
      <c r="AA166" s="40">
        <f t="shared" si="69"/>
        <v>0</v>
      </c>
      <c r="AB166" s="40">
        <f t="shared" si="70"/>
        <v>5000</v>
      </c>
      <c r="AC166" s="40">
        <f t="shared" si="56"/>
        <v>3.1837029352022515E-5</v>
      </c>
      <c r="AD166" s="40">
        <f t="shared" si="71"/>
        <v>0.11931750726911318</v>
      </c>
      <c r="AE166" s="34">
        <f t="shared" si="72"/>
        <v>14.073081269621275</v>
      </c>
      <c r="AF166" s="34">
        <f t="shared" si="73"/>
        <v>0.11461330566728105</v>
      </c>
      <c r="AG166" s="34">
        <f t="shared" si="57"/>
        <v>0.15363713896418371</v>
      </c>
      <c r="AH166" s="34">
        <f>INDEX('Specification &amp; Data'!E$24:R$46,MATCH(Simulation!AA166,'Specification &amp; Data'!D$24:D$46,0),MATCH(Simulation!AB166,'Specification &amp; Data'!E$47:R$47,0))</f>
        <v>950.34029999999973</v>
      </c>
      <c r="AI166" s="34">
        <f t="shared" si="58"/>
        <v>3.1837029352022515E-5</v>
      </c>
      <c r="AJ166" s="34">
        <f t="shared" si="50"/>
        <v>3.0256012025509874E-2</v>
      </c>
      <c r="AK166" s="34">
        <f t="shared" si="74"/>
        <v>57.722989642276225</v>
      </c>
      <c r="AL166" s="34">
        <v>2.3289729133329802</v>
      </c>
    </row>
    <row r="167" spans="2:38" x14ac:dyDescent="0.25">
      <c r="C167" s="34">
        <f t="shared" si="59"/>
        <v>165</v>
      </c>
      <c r="D167" s="34">
        <v>22</v>
      </c>
      <c r="E167" s="34">
        <f t="shared" si="51"/>
        <v>35.405509311827764</v>
      </c>
      <c r="F167" s="34">
        <f t="shared" si="60"/>
        <v>9.8348636977299346</v>
      </c>
      <c r="G167" s="37">
        <f t="shared" si="61"/>
        <v>1327.6618952676424</v>
      </c>
      <c r="H167" s="34">
        <f t="shared" si="62"/>
        <v>10.281902956717659</v>
      </c>
      <c r="I167" s="34">
        <f t="shared" si="63"/>
        <v>-0.8940785179754478</v>
      </c>
      <c r="J167" s="34">
        <f t="shared" si="64"/>
        <v>3</v>
      </c>
      <c r="K167" s="34">
        <v>0</v>
      </c>
      <c r="L167" s="34">
        <f>('Specification &amp; Data'!B$22*'Specification &amp; Data'!B$10*'Specification &amp; Data'!B$20*(Simulation!F167^2-'Specification &amp; Data'!B$21^2))/2</f>
        <v>43.134828777431153</v>
      </c>
      <c r="M167" s="34">
        <f t="shared" si="65"/>
        <v>-505.93938462919681</v>
      </c>
      <c r="N167" s="34">
        <f>'Specification &amp; Data'!B$26*'Specification &amp; Data'!B$18*8.91</f>
        <v>464.84361000000007</v>
      </c>
      <c r="O167" s="34">
        <f t="shared" si="52"/>
        <v>2.0390541482344133</v>
      </c>
      <c r="P167" s="40">
        <f t="shared" si="53"/>
        <v>2.0390541482344133</v>
      </c>
      <c r="Q167" s="34">
        <f>IF(J167=1,'Specification &amp; Data'!B$52,IF(Simulation!J167=2,'Specification &amp; Data'!B$53,IF(Simulation!J167=3,'Specification &amp; Data'!B$54)))</f>
        <v>565.87802352621827</v>
      </c>
      <c r="R167" s="34">
        <f>(0.5*'Specification &amp; Data'!B$18*Simulation!F167^2)/1000</f>
        <v>25.231080912840547</v>
      </c>
      <c r="T167" s="40">
        <f>P167*'Specification &amp; Data'!B$14*0.9</f>
        <v>0.54113360087759432</v>
      </c>
      <c r="U167" s="40">
        <f>T167/(IF(J167=1,'Specification &amp; Data'!H$7,IF(Simulation!J167=2,'Specification &amp; Data'!H$8,IF(Simulation!J167=3,'Specification &amp; Data'!H$9))))</f>
        <v>4.251898299115716E-2</v>
      </c>
      <c r="V167" s="40">
        <f t="shared" si="66"/>
        <v>1.2867516836613774E-2</v>
      </c>
      <c r="W167" s="40">
        <f t="shared" si="67"/>
        <v>2.3477704059299848E-2</v>
      </c>
      <c r="X167" s="40">
        <f t="shared" si="54"/>
        <v>2.0053819620176262E-2</v>
      </c>
      <c r="Y167" s="40">
        <f t="shared" si="55"/>
        <v>2.6881795737501692E-2</v>
      </c>
      <c r="Z167" s="40">
        <f t="shared" si="68"/>
        <v>4503.8676316713454</v>
      </c>
      <c r="AA167" s="40">
        <f t="shared" si="69"/>
        <v>0</v>
      </c>
      <c r="AB167" s="40">
        <f t="shared" si="70"/>
        <v>4500</v>
      </c>
      <c r="AC167" s="40">
        <f t="shared" si="56"/>
        <v>5.5705054500489614E-6</v>
      </c>
      <c r="AD167" s="40">
        <f t="shared" si="71"/>
        <v>0.11932307777456323</v>
      </c>
      <c r="AE167" s="34">
        <f t="shared" si="72"/>
        <v>2.7071744949982492</v>
      </c>
      <c r="AF167" s="34">
        <f t="shared" si="73"/>
        <v>2.0053819620176262E-2</v>
      </c>
      <c r="AG167" s="34">
        <f t="shared" si="57"/>
        <v>2.6881795737501692E-2</v>
      </c>
      <c r="AH167" s="34">
        <f>INDEX('Specification &amp; Data'!E$24:R$46,MATCH(Simulation!AA167,'Specification &amp; Data'!D$24:D$46,0),MATCH(Simulation!AB167,'Specification &amp; Data'!E$47:R$47,0))</f>
        <v>987.1404269999997</v>
      </c>
      <c r="AI167" s="34">
        <f t="shared" si="58"/>
        <v>5.5705054500489614E-6</v>
      </c>
      <c r="AJ167" s="34">
        <f t="shared" si="50"/>
        <v>5.4988711285671576E-3</v>
      </c>
      <c r="AK167" s="34">
        <f t="shared" si="74"/>
        <v>57.728488513404791</v>
      </c>
      <c r="AL167" s="34">
        <v>2.3289729133329802</v>
      </c>
    </row>
    <row r="168" spans="2:38" x14ac:dyDescent="0.25">
      <c r="C168" s="34">
        <f t="shared" si="59"/>
        <v>166</v>
      </c>
      <c r="D168" s="34">
        <v>21</v>
      </c>
      <c r="E168" s="34">
        <f t="shared" si="51"/>
        <v>33.796167979471953</v>
      </c>
      <c r="F168" s="34">
        <f t="shared" si="60"/>
        <v>9.387824438742209</v>
      </c>
      <c r="G168" s="37">
        <f t="shared" si="61"/>
        <v>1337.2732393358785</v>
      </c>
      <c r="H168" s="34">
        <f t="shared" si="62"/>
        <v>9.6113440682360718</v>
      </c>
      <c r="I168" s="34">
        <f t="shared" si="63"/>
        <v>-0.44703925898772567</v>
      </c>
      <c r="J168" s="34">
        <f t="shared" si="64"/>
        <v>3</v>
      </c>
      <c r="K168" s="34">
        <v>0</v>
      </c>
      <c r="L168" s="34">
        <f>('Specification &amp; Data'!B$22*'Specification &amp; Data'!B$10*'Specification &amp; Data'!B$20*(Simulation!F168^2-'Specification &amp; Data'!B$21^2))/2</f>
        <v>39.094897209435267</v>
      </c>
      <c r="M168" s="34">
        <f t="shared" si="65"/>
        <v>-252.9696923145994</v>
      </c>
      <c r="N168" s="34">
        <f>'Specification &amp; Data'!B$26*'Specification &amp; Data'!B$18*8.91</f>
        <v>464.84361000000007</v>
      </c>
      <c r="O168" s="34">
        <f t="shared" si="52"/>
        <v>250.96881489483593</v>
      </c>
      <c r="P168" s="40">
        <f t="shared" si="53"/>
        <v>250.96881489483593</v>
      </c>
      <c r="Q168" s="34">
        <f>IF(J168=1,'Specification &amp; Data'!B$52,IF(Simulation!J168=2,'Specification &amp; Data'!B$53,IF(Simulation!J168=3,'Specification &amp; Data'!B$54)))</f>
        <v>565.87802352621827</v>
      </c>
      <c r="R168" s="34">
        <f>(0.5*'Specification &amp; Data'!B$18*Simulation!F168^2)/1000</f>
        <v>22.989476616865034</v>
      </c>
      <c r="T168" s="40">
        <f>P168*'Specification &amp; Data'!B$14*0.9</f>
        <v>66.60326241439877</v>
      </c>
      <c r="U168" s="40">
        <f>T168/(IF(J168=1,'Specification &amp; Data'!H$7,IF(Simulation!J168=2,'Specification &amp; Data'!H$8,IF(Simulation!J168=3,'Specification &amp; Data'!H$9))))</f>
        <v>5.2332787636190075</v>
      </c>
      <c r="V168" s="40">
        <f t="shared" si="66"/>
        <v>1.2969465734239566E-2</v>
      </c>
      <c r="W168" s="40">
        <f t="shared" si="67"/>
        <v>2.41321627186976E-2</v>
      </c>
      <c r="X168" s="40">
        <f t="shared" si="54"/>
        <v>2.3560511738319105</v>
      </c>
      <c r="Y168" s="40">
        <f t="shared" si="55"/>
        <v>3.1582455413296389</v>
      </c>
      <c r="Z168" s="40">
        <f t="shared" si="68"/>
        <v>4299.146375686284</v>
      </c>
      <c r="AA168" s="40">
        <f t="shared" si="69"/>
        <v>5</v>
      </c>
      <c r="AB168" s="40">
        <f t="shared" si="70"/>
        <v>4500</v>
      </c>
      <c r="AC168" s="40">
        <f t="shared" si="56"/>
        <v>6.5445865939775289E-4</v>
      </c>
      <c r="AD168" s="40">
        <f t="shared" si="71"/>
        <v>0.11997753643396099</v>
      </c>
      <c r="AE168" s="34">
        <f t="shared" si="72"/>
        <v>335.6138800667037</v>
      </c>
      <c r="AF168" s="34">
        <f t="shared" si="73"/>
        <v>2.3560511738319105</v>
      </c>
      <c r="AG168" s="34">
        <f t="shared" si="57"/>
        <v>3.1582455413296389</v>
      </c>
      <c r="AH168" s="34">
        <f>INDEX('Specification &amp; Data'!E$24:R$46,MATCH(Simulation!AA168,'Specification &amp; Data'!D$24:D$46,0),MATCH(Simulation!AB168,'Specification &amp; Data'!E$47:R$47,0))</f>
        <v>620.28480150000007</v>
      </c>
      <c r="AI168" s="34">
        <f t="shared" si="58"/>
        <v>6.5445865939775289E-4</v>
      </c>
      <c r="AJ168" s="34">
        <f t="shared" si="50"/>
        <v>0.40595075963449129</v>
      </c>
      <c r="AK168" s="34">
        <f t="shared" si="74"/>
        <v>58.134439273039284</v>
      </c>
      <c r="AL168" s="34">
        <v>2.3289729133329802</v>
      </c>
    </row>
    <row r="169" spans="2:38" x14ac:dyDescent="0.25">
      <c r="C169" s="34">
        <f t="shared" si="59"/>
        <v>167</v>
      </c>
      <c r="D169" s="34">
        <v>20</v>
      </c>
      <c r="E169" s="34">
        <f t="shared" si="51"/>
        <v>32.186826647116149</v>
      </c>
      <c r="F169" s="34">
        <f t="shared" si="60"/>
        <v>8.9407851797544851</v>
      </c>
      <c r="G169" s="37">
        <f t="shared" si="61"/>
        <v>1346.4375441451268</v>
      </c>
      <c r="H169" s="34">
        <f t="shared" si="62"/>
        <v>9.1643048092483461</v>
      </c>
      <c r="I169" s="34">
        <f t="shared" si="63"/>
        <v>-0.44703925898772567</v>
      </c>
      <c r="J169" s="34">
        <f t="shared" si="64"/>
        <v>2</v>
      </c>
      <c r="K169" s="34">
        <v>0</v>
      </c>
      <c r="L169" s="34">
        <f>('Specification &amp; Data'!B$22*'Specification &amp; Data'!B$10*'Specification &amp; Data'!B$20*(Simulation!F169^2-'Specification &amp; Data'!B$21^2))/2</f>
        <v>35.24286943529966</v>
      </c>
      <c r="M169" s="34">
        <f t="shared" si="65"/>
        <v>-254.33199554091178</v>
      </c>
      <c r="N169" s="34">
        <f>'Specification &amp; Data'!B$26*'Specification &amp; Data'!B$18*8.91</f>
        <v>464.84361000000007</v>
      </c>
      <c r="O169" s="34">
        <f t="shared" si="52"/>
        <v>245.75448389438796</v>
      </c>
      <c r="P169" s="40">
        <f t="shared" si="53"/>
        <v>245.75448389438796</v>
      </c>
      <c r="Q169" s="34">
        <f>IF(J169=1,'Specification &amp; Data'!B$52,IF(Simulation!J169=2,'Specification &amp; Data'!B$53,IF(Simulation!J169=3,'Specification &amp; Data'!B$54)))</f>
        <v>568.92541410528543</v>
      </c>
      <c r="R169" s="34">
        <f>(0.5*'Specification &amp; Data'!B$18*Simulation!F169^2)/1000</f>
        <v>20.852132985818628</v>
      </c>
      <c r="T169" s="40">
        <f>P169*'Specification &amp; Data'!B$14*0.9</f>
        <v>65.219459187356804</v>
      </c>
      <c r="U169" s="40">
        <f>T169/(IF(J169=1,'Specification &amp; Data'!H$7,IF(Simulation!J169=2,'Specification &amp; Data'!H$8,IF(Simulation!J169=3,'Specification &amp; Data'!H$9))))</f>
        <v>3.9128321656272118</v>
      </c>
      <c r="V169" s="40">
        <f t="shared" si="66"/>
        <v>1.3056993213333774E-2</v>
      </c>
      <c r="W169" s="40">
        <f t="shared" si="67"/>
        <v>2.4742506620770145E-2</v>
      </c>
      <c r="X169" s="40">
        <f t="shared" si="54"/>
        <v>2.1972380474611564</v>
      </c>
      <c r="Y169" s="40">
        <f t="shared" si="55"/>
        <v>2.9453593129506119</v>
      </c>
      <c r="Z169" s="40">
        <f t="shared" si="68"/>
        <v>5362.3761245119258</v>
      </c>
      <c r="AA169" s="40">
        <f t="shared" si="69"/>
        <v>4</v>
      </c>
      <c r="AB169" s="40">
        <f t="shared" si="70"/>
        <v>5500</v>
      </c>
      <c r="AC169" s="40">
        <f t="shared" si="56"/>
        <v>6.1034390207254346E-4</v>
      </c>
      <c r="AD169" s="40">
        <f t="shared" si="71"/>
        <v>0.12058788033603353</v>
      </c>
      <c r="AE169" s="34">
        <f t="shared" si="72"/>
        <v>330.89306375741285</v>
      </c>
      <c r="AF169" s="34">
        <f t="shared" si="73"/>
        <v>2.1972380474611564</v>
      </c>
      <c r="AG169" s="34">
        <f t="shared" si="57"/>
        <v>2.9453593129506119</v>
      </c>
      <c r="AH169" s="34">
        <f>INDEX('Specification &amp; Data'!E$24:R$46,MATCH(Simulation!AA169,'Specification &amp; Data'!D$24:D$46,0),MATCH(Simulation!AB169,'Specification &amp; Data'!E$47:R$47,0))</f>
        <v>654.57674099999997</v>
      </c>
      <c r="AI169" s="34">
        <f t="shared" si="58"/>
        <v>6.1034390207254346E-4</v>
      </c>
      <c r="AJ169" s="34">
        <f t="shared" si="50"/>
        <v>0.39951692230786862</v>
      </c>
      <c r="AK169" s="34">
        <f t="shared" si="74"/>
        <v>58.533956195347152</v>
      </c>
      <c r="AL169" s="34">
        <v>2.3289729133329802</v>
      </c>
    </row>
    <row r="170" spans="2:38" x14ac:dyDescent="0.25">
      <c r="C170" s="34">
        <f t="shared" si="59"/>
        <v>168</v>
      </c>
      <c r="D170" s="34">
        <v>19.8</v>
      </c>
      <c r="E170" s="34">
        <f t="shared" si="51"/>
        <v>31.864958380644989</v>
      </c>
      <c r="F170" s="34">
        <f t="shared" si="60"/>
        <v>8.851377327956941</v>
      </c>
      <c r="G170" s="37">
        <f t="shared" si="61"/>
        <v>1355.3336253989826</v>
      </c>
      <c r="H170" s="34">
        <f t="shared" si="62"/>
        <v>8.8960812538557121</v>
      </c>
      <c r="I170" s="34">
        <f t="shared" si="63"/>
        <v>-8.9407851797545845E-2</v>
      </c>
      <c r="J170" s="34">
        <f t="shared" si="64"/>
        <v>2</v>
      </c>
      <c r="K170" s="34">
        <v>0</v>
      </c>
      <c r="L170" s="34">
        <f>('Specification &amp; Data'!B$22*'Specification &amp; Data'!B$10*'Specification &amp; Data'!B$20*(Simulation!F170^2-'Specification &amp; Data'!B$21^2))/2</f>
        <v>34.49501233573578</v>
      </c>
      <c r="M170" s="34">
        <f t="shared" si="65"/>
        <v>-50.866399108182755</v>
      </c>
      <c r="N170" s="34">
        <f>'Specification &amp; Data'!B$26*'Specification &amp; Data'!B$18*8.91</f>
        <v>464.84361000000007</v>
      </c>
      <c r="O170" s="34">
        <f t="shared" si="52"/>
        <v>448.47222322755312</v>
      </c>
      <c r="P170" s="40">
        <f t="shared" si="53"/>
        <v>448.47222322755312</v>
      </c>
      <c r="Q170" s="34">
        <f>IF(J170=1,'Specification &amp; Data'!B$52,IF(Simulation!J170=2,'Specification &amp; Data'!B$53,IF(Simulation!J170=3,'Specification &amp; Data'!B$54)))</f>
        <v>568.92541410528543</v>
      </c>
      <c r="R170" s="34">
        <f>(0.5*'Specification &amp; Data'!B$18*Simulation!F170^2)/1000</f>
        <v>20.43717553940084</v>
      </c>
      <c r="T170" s="40">
        <f>P170*'Specification &amp; Data'!B$14*0.9</f>
        <v>119.01762847192755</v>
      </c>
      <c r="U170" s="40">
        <f>T170/(IF(J170=1,'Specification &amp; Data'!H$7,IF(Simulation!J170=2,'Specification &amp; Data'!H$8,IF(Simulation!J170=3,'Specification &amp; Data'!H$9))))</f>
        <v>7.1404456701153576</v>
      </c>
      <c r="V170" s="40">
        <f t="shared" si="66"/>
        <v>1.3141806649477143E-2</v>
      </c>
      <c r="W170" s="40">
        <f t="shared" si="67"/>
        <v>2.5845172417685369E-2</v>
      </c>
      <c r="X170" s="40">
        <f t="shared" si="54"/>
        <v>3.9695968688948078</v>
      </c>
      <c r="Y170" s="40">
        <f t="shared" si="55"/>
        <v>5.3211754274729328</v>
      </c>
      <c r="Z170" s="40">
        <f t="shared" si="68"/>
        <v>5308.7523632668081</v>
      </c>
      <c r="AA170" s="40">
        <f t="shared" si="69"/>
        <v>7</v>
      </c>
      <c r="AB170" s="40">
        <f t="shared" si="70"/>
        <v>5500</v>
      </c>
      <c r="AC170" s="40">
        <f t="shared" si="56"/>
        <v>1.1026657969152244E-3</v>
      </c>
      <c r="AD170" s="40">
        <f t="shared" si="71"/>
        <v>0.12169054613294876</v>
      </c>
      <c r="AE170" s="34">
        <f t="shared" si="72"/>
        <v>607.82948419774141</v>
      </c>
      <c r="AF170" s="34">
        <f t="shared" si="73"/>
        <v>3.9695968688948078</v>
      </c>
      <c r="AG170" s="34">
        <f t="shared" si="57"/>
        <v>5.3211754274729328</v>
      </c>
      <c r="AH170" s="34">
        <f>INDEX('Specification &amp; Data'!E$24:R$46,MATCH(Simulation!AA170,'Specification &amp; Data'!D$24:D$46,0),MATCH(Simulation!AB170,'Specification &amp; Data'!E$47:R$47,0))</f>
        <v>464.79867524999986</v>
      </c>
      <c r="AI170" s="34">
        <f t="shared" si="58"/>
        <v>1.1026657969152244E-3</v>
      </c>
      <c r="AJ170" s="34">
        <f t="shared" si="50"/>
        <v>0.51251760164968174</v>
      </c>
      <c r="AK170" s="34">
        <f t="shared" si="74"/>
        <v>59.046473796996835</v>
      </c>
      <c r="AL170" s="34">
        <v>2.3289729133329802</v>
      </c>
    </row>
    <row r="171" spans="2:38" x14ac:dyDescent="0.25">
      <c r="B171" s="36" t="s">
        <v>132</v>
      </c>
      <c r="C171" s="34">
        <f t="shared" si="59"/>
        <v>169</v>
      </c>
      <c r="D171" s="34">
        <v>17.5</v>
      </c>
      <c r="E171" s="34">
        <f t="shared" si="51"/>
        <v>28.163473316226629</v>
      </c>
      <c r="F171" s="34">
        <f t="shared" si="60"/>
        <v>7.8231870322851744</v>
      </c>
      <c r="G171" s="37">
        <f t="shared" si="61"/>
        <v>1363.6709075791036</v>
      </c>
      <c r="H171" s="34">
        <f t="shared" si="62"/>
        <v>8.3372821801210577</v>
      </c>
      <c r="I171" s="34">
        <f t="shared" si="63"/>
        <v>-1.0281902956717666</v>
      </c>
      <c r="J171" s="34">
        <f t="shared" si="64"/>
        <v>2</v>
      </c>
      <c r="K171" s="34">
        <v>0</v>
      </c>
      <c r="L171" s="34">
        <f>('Specification &amp; Data'!B$22*'Specification &amp; Data'!B$10*'Specification &amp; Data'!B$20*(Simulation!F171^2-'Specification &amp; Data'!B$21^2))/2</f>
        <v>26.434879098099351</v>
      </c>
      <c r="M171" s="34">
        <f t="shared" si="65"/>
        <v>-584.96358974409566</v>
      </c>
      <c r="N171" s="34">
        <f>'Specification &amp; Data'!B$26*'Specification &amp; Data'!B$18*8.91</f>
        <v>464.84361000000007</v>
      </c>
      <c r="O171" s="34">
        <f t="shared" si="52"/>
        <v>-93.685100645996215</v>
      </c>
      <c r="P171" s="40">
        <f t="shared" si="53"/>
        <v>93.685100645996215</v>
      </c>
      <c r="Q171" s="34">
        <f>IF(J171=1,'Specification &amp; Data'!B$52,IF(Simulation!J171=2,'Specification &amp; Data'!B$53,IF(Simulation!J171=3,'Specification &amp; Data'!B$54)))</f>
        <v>568.92541410528543</v>
      </c>
      <c r="R171" s="34">
        <f>(0.5*'Specification &amp; Data'!B$18*Simulation!F171^2)/1000</f>
        <v>15.964914317267388</v>
      </c>
      <c r="T171" s="40">
        <f>P171*'Specification &amp; Data'!B$14*0.9</f>
        <v>24.862584402206689</v>
      </c>
      <c r="U171" s="40">
        <f>T171/(IF(J171=1,'Specification &amp; Data'!H$7,IF(Simulation!J171=2,'Specification &amp; Data'!H$8,IF(Simulation!J171=3,'Specification &amp; Data'!H$9))))</f>
        <v>1.4916272103715125</v>
      </c>
      <c r="V171" s="40">
        <f t="shared" si="66"/>
        <v>1.3199252483743887E-2</v>
      </c>
      <c r="W171" s="40">
        <f t="shared" si="67"/>
        <v>2.6048760213377615E-2</v>
      </c>
      <c r="X171" s="40">
        <f t="shared" si="54"/>
        <v>0.73291606449208901</v>
      </c>
      <c r="Y171" s="40">
        <f t="shared" si="55"/>
        <v>0.98246121245588347</v>
      </c>
      <c r="Z171" s="40">
        <f t="shared" si="68"/>
        <v>4692.0791089479335</v>
      </c>
      <c r="AA171" s="40">
        <f t="shared" si="69"/>
        <v>1</v>
      </c>
      <c r="AB171" s="40">
        <f t="shared" si="70"/>
        <v>4500</v>
      </c>
      <c r="AC171" s="40">
        <f t="shared" si="56"/>
        <v>2.0358779569224696E-4</v>
      </c>
      <c r="AD171" s="40">
        <f t="shared" si="71"/>
        <v>0.12189413392864101</v>
      </c>
      <c r="AE171" s="34">
        <f t="shared" si="72"/>
        <v>-127.75564622456533</v>
      </c>
      <c r="AF171" s="34">
        <f t="shared" si="73"/>
        <v>-0.73291606449208901</v>
      </c>
      <c r="AG171" s="34">
        <f t="shared" si="57"/>
        <v>-0.98246121245588347</v>
      </c>
      <c r="AH171" s="34">
        <f>INDEX('Specification &amp; Data'!E$24:R$46,MATCH(Simulation!AA171,'Specification &amp; Data'!D$24:D$46,0),MATCH(Simulation!AB171,'Specification &amp; Data'!E$47:R$47,0))</f>
        <v>917.2780889999998</v>
      </c>
      <c r="AI171" s="34">
        <f t="shared" si="58"/>
        <v>-2.0358779569224696E-4</v>
      </c>
      <c r="AJ171" s="34">
        <f t="shared" si="50"/>
        <v>0.18674662417630666</v>
      </c>
      <c r="AK171" s="34">
        <f t="shared" si="74"/>
        <v>59.233220421173144</v>
      </c>
      <c r="AL171" s="34">
        <v>2.3289729133329802</v>
      </c>
    </row>
    <row r="172" spans="2:38" x14ac:dyDescent="0.25">
      <c r="C172" s="34">
        <f t="shared" si="59"/>
        <v>170</v>
      </c>
      <c r="D172" s="34">
        <v>17.5</v>
      </c>
      <c r="E172" s="34">
        <f t="shared" si="51"/>
        <v>28.163473316226629</v>
      </c>
      <c r="F172" s="34">
        <f t="shared" si="60"/>
        <v>7.8231870322851744</v>
      </c>
      <c r="G172" s="37">
        <f t="shared" si="61"/>
        <v>1371.4940946113888</v>
      </c>
      <c r="H172" s="34">
        <f t="shared" si="62"/>
        <v>7.8231870322851744</v>
      </c>
      <c r="I172" s="34">
        <f t="shared" si="63"/>
        <v>0</v>
      </c>
      <c r="J172" s="34">
        <f t="shared" si="64"/>
        <v>2</v>
      </c>
      <c r="K172" s="34">
        <v>0</v>
      </c>
      <c r="L172" s="34">
        <f>('Specification &amp; Data'!B$22*'Specification &amp; Data'!B$10*'Specification &amp; Data'!B$20*(Simulation!F172^2-'Specification &amp; Data'!B$21^2))/2</f>
        <v>26.434879098099351</v>
      </c>
      <c r="M172" s="34">
        <f t="shared" si="65"/>
        <v>0</v>
      </c>
      <c r="N172" s="34">
        <f>'Specification &amp; Data'!B$26*'Specification &amp; Data'!B$18*8.91</f>
        <v>464.84361000000007</v>
      </c>
      <c r="O172" s="34">
        <f t="shared" si="52"/>
        <v>491.27848909809944</v>
      </c>
      <c r="P172" s="40">
        <f t="shared" si="53"/>
        <v>491.27848909809944</v>
      </c>
      <c r="Q172" s="34">
        <f>IF(J172=1,'Specification &amp; Data'!B$52,IF(Simulation!J172=2,'Specification &amp; Data'!B$53,IF(Simulation!J172=3,'Specification &amp; Data'!B$54)))</f>
        <v>568.92541410528543</v>
      </c>
      <c r="R172" s="34">
        <f>(0.5*'Specification &amp; Data'!B$18*Simulation!F172^2)/1000</f>
        <v>15.964914317267388</v>
      </c>
      <c r="T172" s="40">
        <f>P172*'Specification &amp; Data'!B$14*0.9</f>
        <v>130.37775287603409</v>
      </c>
      <c r="U172" s="40">
        <f>T172/(IF(J172=1,'Specification &amp; Data'!H$7,IF(Simulation!J172=2,'Specification &amp; Data'!H$8,IF(Simulation!J172=3,'Specification &amp; Data'!H$9))))</f>
        <v>7.8219947158721146</v>
      </c>
      <c r="V172" s="40">
        <f t="shared" si="66"/>
        <v>1.3256698318010631E-2</v>
      </c>
      <c r="W172" s="40">
        <f t="shared" si="67"/>
        <v>2.6048760213377615E-2</v>
      </c>
      <c r="X172" s="40">
        <f t="shared" si="54"/>
        <v>3.8433635051529049</v>
      </c>
      <c r="Y172" s="40">
        <f t="shared" si="55"/>
        <v>5.1519618031540277</v>
      </c>
      <c r="Z172" s="40">
        <f t="shared" si="68"/>
        <v>4692.0791089479335</v>
      </c>
      <c r="AA172" s="40">
        <f t="shared" si="69"/>
        <v>8</v>
      </c>
      <c r="AB172" s="40">
        <f t="shared" si="70"/>
        <v>4500</v>
      </c>
      <c r="AC172" s="40">
        <f t="shared" si="56"/>
        <v>1.0676009736535848E-3</v>
      </c>
      <c r="AD172" s="40">
        <f t="shared" si="71"/>
        <v>0.1229617349022946</v>
      </c>
      <c r="AE172" s="34">
        <f t="shared" si="72"/>
        <v>673.78554660764894</v>
      </c>
      <c r="AF172" s="34">
        <f t="shared" si="73"/>
        <v>3.8433635051529049</v>
      </c>
      <c r="AG172" s="34">
        <f t="shared" si="57"/>
        <v>5.1519618031540277</v>
      </c>
      <c r="AH172" s="34">
        <f>INDEX('Specification &amp; Data'!E$24:R$46,MATCH(Simulation!AA172,'Specification &amp; Data'!D$24:D$46,0),MATCH(Simulation!AB172,'Specification &amp; Data'!E$47:R$47,0))</f>
        <v>489.46439267578143</v>
      </c>
      <c r="AI172" s="34">
        <f t="shared" si="58"/>
        <v>1.0676009736535848E-3</v>
      </c>
      <c r="AJ172" s="34">
        <f t="shared" si="50"/>
        <v>0.52255266218942475</v>
      </c>
      <c r="AK172" s="34">
        <f t="shared" si="74"/>
        <v>59.75577308336257</v>
      </c>
      <c r="AL172" s="34">
        <v>2.3289729133329802</v>
      </c>
    </row>
    <row r="173" spans="2:38" x14ac:dyDescent="0.25">
      <c r="C173" s="34">
        <f t="shared" si="59"/>
        <v>171</v>
      </c>
      <c r="D173" s="34">
        <v>17.5</v>
      </c>
      <c r="E173" s="34">
        <f t="shared" si="51"/>
        <v>28.163473316226629</v>
      </c>
      <c r="F173" s="34">
        <f t="shared" si="60"/>
        <v>7.8231870322851744</v>
      </c>
      <c r="G173" s="37">
        <f t="shared" si="61"/>
        <v>1379.3172816436741</v>
      </c>
      <c r="H173" s="34">
        <f t="shared" si="62"/>
        <v>7.8231870322851744</v>
      </c>
      <c r="I173" s="34">
        <f t="shared" si="63"/>
        <v>0</v>
      </c>
      <c r="J173" s="34">
        <f t="shared" si="64"/>
        <v>2</v>
      </c>
      <c r="K173" s="34">
        <v>0</v>
      </c>
      <c r="L173" s="34">
        <f>('Specification &amp; Data'!B$22*'Specification &amp; Data'!B$10*'Specification &amp; Data'!B$20*(Simulation!F173^2-'Specification &amp; Data'!B$21^2))/2</f>
        <v>26.434879098099351</v>
      </c>
      <c r="M173" s="34">
        <f t="shared" si="65"/>
        <v>0</v>
      </c>
      <c r="N173" s="34">
        <f>'Specification &amp; Data'!B$26*'Specification &amp; Data'!B$18*8.91</f>
        <v>464.84361000000007</v>
      </c>
      <c r="O173" s="34">
        <f t="shared" si="52"/>
        <v>491.27848909809944</v>
      </c>
      <c r="P173" s="40">
        <f t="shared" si="53"/>
        <v>491.27848909809944</v>
      </c>
      <c r="Q173" s="34">
        <f>IF(J173=1,'Specification &amp; Data'!B$52,IF(Simulation!J173=2,'Specification &amp; Data'!B$53,IF(Simulation!J173=3,'Specification &amp; Data'!B$54)))</f>
        <v>568.92541410528543</v>
      </c>
      <c r="R173" s="34">
        <f>(0.5*'Specification &amp; Data'!B$18*Simulation!F173^2)/1000</f>
        <v>15.964914317267388</v>
      </c>
      <c r="T173" s="40">
        <f>P173*'Specification &amp; Data'!B$14*0.9</f>
        <v>130.37775287603409</v>
      </c>
      <c r="U173" s="40">
        <f>T173/(IF(J173=1,'Specification &amp; Data'!H$7,IF(Simulation!J173=2,'Specification &amp; Data'!H$8,IF(Simulation!J173=3,'Specification &amp; Data'!H$9))))</f>
        <v>7.8219947158721146</v>
      </c>
      <c r="V173" s="40">
        <f t="shared" si="66"/>
        <v>1.3314144152277375E-2</v>
      </c>
      <c r="W173" s="40">
        <f t="shared" si="67"/>
        <v>2.6048760213377615E-2</v>
      </c>
      <c r="X173" s="40">
        <f t="shared" si="54"/>
        <v>3.8433635051529049</v>
      </c>
      <c r="Y173" s="40">
        <f t="shared" si="55"/>
        <v>5.1519618031540277</v>
      </c>
      <c r="Z173" s="40">
        <f t="shared" si="68"/>
        <v>4692.0791089479335</v>
      </c>
      <c r="AA173" s="40">
        <f t="shared" si="69"/>
        <v>8</v>
      </c>
      <c r="AB173" s="40">
        <f t="shared" si="70"/>
        <v>4500</v>
      </c>
      <c r="AC173" s="40">
        <f t="shared" si="56"/>
        <v>1.0676009736535848E-3</v>
      </c>
      <c r="AD173" s="40">
        <f t="shared" si="71"/>
        <v>0.12402933587594819</v>
      </c>
      <c r="AE173" s="34">
        <f t="shared" si="72"/>
        <v>677.6289101128018</v>
      </c>
      <c r="AF173" s="34">
        <f t="shared" si="73"/>
        <v>3.8433635051529049</v>
      </c>
      <c r="AG173" s="34">
        <f t="shared" si="57"/>
        <v>5.1519618031540277</v>
      </c>
      <c r="AH173" s="34">
        <f>INDEX('Specification &amp; Data'!E$24:R$46,MATCH(Simulation!AA173,'Specification &amp; Data'!D$24:D$46,0),MATCH(Simulation!AB173,'Specification &amp; Data'!E$47:R$47,0))</f>
        <v>489.46439267578143</v>
      </c>
      <c r="AI173" s="34">
        <f t="shared" si="58"/>
        <v>1.0676009736535848E-3</v>
      </c>
      <c r="AJ173" s="34">
        <f t="shared" si="50"/>
        <v>0.52255266218942475</v>
      </c>
      <c r="AK173" s="34">
        <f t="shared" si="74"/>
        <v>60.278325745551996</v>
      </c>
      <c r="AL173" s="34">
        <v>2.3289729133329802</v>
      </c>
    </row>
    <row r="174" spans="2:38" x14ac:dyDescent="0.25">
      <c r="C174" s="34">
        <f t="shared" si="59"/>
        <v>172</v>
      </c>
      <c r="D174" s="34">
        <v>17.5</v>
      </c>
      <c r="E174" s="34">
        <f t="shared" si="51"/>
        <v>28.163473316226629</v>
      </c>
      <c r="F174" s="34">
        <f t="shared" si="60"/>
        <v>7.8231870322851744</v>
      </c>
      <c r="G174" s="37">
        <f t="shared" si="61"/>
        <v>1387.1404686759593</v>
      </c>
      <c r="H174" s="34">
        <f t="shared" si="62"/>
        <v>7.8231870322851744</v>
      </c>
      <c r="I174" s="34">
        <f t="shared" si="63"/>
        <v>0</v>
      </c>
      <c r="J174" s="34">
        <f t="shared" si="64"/>
        <v>2</v>
      </c>
      <c r="K174" s="34">
        <v>0</v>
      </c>
      <c r="L174" s="34">
        <f>('Specification &amp; Data'!B$22*'Specification &amp; Data'!B$10*'Specification &amp; Data'!B$20*(Simulation!F174^2-'Specification &amp; Data'!B$21^2))/2</f>
        <v>26.434879098099351</v>
      </c>
      <c r="M174" s="34">
        <f t="shared" si="65"/>
        <v>0</v>
      </c>
      <c r="N174" s="34">
        <f>'Specification &amp; Data'!B$26*'Specification &amp; Data'!B$18*8.91</f>
        <v>464.84361000000007</v>
      </c>
      <c r="O174" s="34">
        <f t="shared" si="52"/>
        <v>491.27848909809944</v>
      </c>
      <c r="P174" s="40">
        <f t="shared" si="53"/>
        <v>491.27848909809944</v>
      </c>
      <c r="Q174" s="34">
        <f>IF(J174=1,'Specification &amp; Data'!B$52,IF(Simulation!J174=2,'Specification &amp; Data'!B$53,IF(Simulation!J174=3,'Specification &amp; Data'!B$54)))</f>
        <v>568.92541410528543</v>
      </c>
      <c r="R174" s="34">
        <f>(0.5*'Specification &amp; Data'!B$18*Simulation!F174^2)/1000</f>
        <v>15.964914317267388</v>
      </c>
      <c r="T174" s="40">
        <f>P174*'Specification &amp; Data'!B$14*0.9</f>
        <v>130.37775287603409</v>
      </c>
      <c r="U174" s="40">
        <f>T174/(IF(J174=1,'Specification &amp; Data'!H$7,IF(Simulation!J174=2,'Specification &amp; Data'!H$8,IF(Simulation!J174=3,'Specification &amp; Data'!H$9))))</f>
        <v>7.8219947158721146</v>
      </c>
      <c r="V174" s="40">
        <f t="shared" si="66"/>
        <v>1.3371589986544119E-2</v>
      </c>
      <c r="W174" s="40">
        <f t="shared" si="67"/>
        <v>2.6048760213377615E-2</v>
      </c>
      <c r="X174" s="40">
        <f t="shared" si="54"/>
        <v>3.8433635051529049</v>
      </c>
      <c r="Y174" s="40">
        <f t="shared" si="55"/>
        <v>5.1519618031540277</v>
      </c>
      <c r="Z174" s="40">
        <f t="shared" si="68"/>
        <v>4692.0791089479335</v>
      </c>
      <c r="AA174" s="40">
        <f t="shared" si="69"/>
        <v>8</v>
      </c>
      <c r="AB174" s="40">
        <f t="shared" si="70"/>
        <v>4500</v>
      </c>
      <c r="AC174" s="40">
        <f t="shared" si="56"/>
        <v>1.0676009736535848E-3</v>
      </c>
      <c r="AD174" s="40">
        <f t="shared" si="71"/>
        <v>0.12509693684960177</v>
      </c>
      <c r="AE174" s="34">
        <f t="shared" si="72"/>
        <v>681.47227361795478</v>
      </c>
      <c r="AF174" s="34">
        <f t="shared" si="73"/>
        <v>3.8433635051529049</v>
      </c>
      <c r="AG174" s="34">
        <f t="shared" si="57"/>
        <v>5.1519618031540277</v>
      </c>
      <c r="AH174" s="34">
        <f>INDEX('Specification &amp; Data'!E$24:R$46,MATCH(Simulation!AA174,'Specification &amp; Data'!D$24:D$46,0),MATCH(Simulation!AB174,'Specification &amp; Data'!E$47:R$47,0))</f>
        <v>489.46439267578143</v>
      </c>
      <c r="AI174" s="34">
        <f t="shared" si="58"/>
        <v>1.0676009736535848E-3</v>
      </c>
      <c r="AJ174" s="34">
        <f t="shared" si="50"/>
        <v>0.52255266218942475</v>
      </c>
      <c r="AK174" s="34">
        <f t="shared" si="74"/>
        <v>60.800878407741422</v>
      </c>
      <c r="AL174" s="34">
        <v>2.3289729133329802</v>
      </c>
    </row>
    <row r="175" spans="2:38" x14ac:dyDescent="0.25">
      <c r="C175" s="34">
        <f t="shared" si="59"/>
        <v>173</v>
      </c>
      <c r="D175" s="34">
        <v>17.5</v>
      </c>
      <c r="E175" s="34">
        <f t="shared" si="51"/>
        <v>28.163473316226629</v>
      </c>
      <c r="F175" s="34">
        <f t="shared" si="60"/>
        <v>7.8231870322851744</v>
      </c>
      <c r="G175" s="37">
        <f t="shared" si="61"/>
        <v>1394.9636557082445</v>
      </c>
      <c r="H175" s="34">
        <f t="shared" si="62"/>
        <v>7.8231870322851744</v>
      </c>
      <c r="I175" s="34">
        <f t="shared" si="63"/>
        <v>0</v>
      </c>
      <c r="J175" s="34">
        <f t="shared" si="64"/>
        <v>2</v>
      </c>
      <c r="K175" s="34">
        <v>0</v>
      </c>
      <c r="L175" s="34">
        <f>('Specification &amp; Data'!B$22*'Specification &amp; Data'!B$10*'Specification &amp; Data'!B$20*(Simulation!F175^2-'Specification &amp; Data'!B$21^2))/2</f>
        <v>26.434879098099351</v>
      </c>
      <c r="M175" s="34">
        <f t="shared" si="65"/>
        <v>0</v>
      </c>
      <c r="N175" s="34">
        <f>'Specification &amp; Data'!B$26*'Specification &amp; Data'!B$18*8.91</f>
        <v>464.84361000000007</v>
      </c>
      <c r="O175" s="34">
        <f t="shared" si="52"/>
        <v>491.27848909809944</v>
      </c>
      <c r="P175" s="40">
        <f t="shared" si="53"/>
        <v>491.27848909809944</v>
      </c>
      <c r="Q175" s="34">
        <f>IF(J175=1,'Specification &amp; Data'!B$52,IF(Simulation!J175=2,'Specification &amp; Data'!B$53,IF(Simulation!J175=3,'Specification &amp; Data'!B$54)))</f>
        <v>568.92541410528543</v>
      </c>
      <c r="R175" s="34">
        <f>(0.5*'Specification &amp; Data'!B$18*Simulation!F175^2)/1000</f>
        <v>15.964914317267388</v>
      </c>
      <c r="T175" s="40">
        <f>P175*'Specification &amp; Data'!B$14*0.9</f>
        <v>130.37775287603409</v>
      </c>
      <c r="U175" s="40">
        <f>T175/(IF(J175=1,'Specification &amp; Data'!H$7,IF(Simulation!J175=2,'Specification &amp; Data'!H$8,IF(Simulation!J175=3,'Specification &amp; Data'!H$9))))</f>
        <v>7.8219947158721146</v>
      </c>
      <c r="V175" s="40">
        <f t="shared" si="66"/>
        <v>1.3429035820810863E-2</v>
      </c>
      <c r="W175" s="40">
        <f t="shared" si="67"/>
        <v>2.6048760213377615E-2</v>
      </c>
      <c r="X175" s="40">
        <f t="shared" si="54"/>
        <v>3.8433635051529049</v>
      </c>
      <c r="Y175" s="40">
        <f t="shared" si="55"/>
        <v>5.1519618031540277</v>
      </c>
      <c r="Z175" s="40">
        <f t="shared" si="68"/>
        <v>4692.0791089479335</v>
      </c>
      <c r="AA175" s="40">
        <f t="shared" si="69"/>
        <v>8</v>
      </c>
      <c r="AB175" s="40">
        <f t="shared" si="70"/>
        <v>4500</v>
      </c>
      <c r="AC175" s="40">
        <f t="shared" si="56"/>
        <v>1.0676009736535848E-3</v>
      </c>
      <c r="AD175" s="40">
        <f t="shared" si="71"/>
        <v>0.12616453782325535</v>
      </c>
      <c r="AE175" s="34">
        <f t="shared" si="72"/>
        <v>685.31563712310765</v>
      </c>
      <c r="AF175" s="34">
        <f t="shared" si="73"/>
        <v>3.8433635051529049</v>
      </c>
      <c r="AG175" s="34">
        <f t="shared" si="57"/>
        <v>5.1519618031540277</v>
      </c>
      <c r="AH175" s="34">
        <f>INDEX('Specification &amp; Data'!E$24:R$46,MATCH(Simulation!AA175,'Specification &amp; Data'!D$24:D$46,0),MATCH(Simulation!AB175,'Specification &amp; Data'!E$47:R$47,0))</f>
        <v>489.46439267578143</v>
      </c>
      <c r="AI175" s="34">
        <f t="shared" si="58"/>
        <v>1.0676009736535848E-3</v>
      </c>
      <c r="AJ175" s="34">
        <f t="shared" si="50"/>
        <v>0.52255266218942475</v>
      </c>
      <c r="AK175" s="34">
        <f t="shared" si="74"/>
        <v>61.323431069930848</v>
      </c>
      <c r="AL175" s="34">
        <v>2.3289729133329802</v>
      </c>
    </row>
    <row r="176" spans="2:38" x14ac:dyDescent="0.25">
      <c r="C176" s="34">
        <f t="shared" si="59"/>
        <v>174</v>
      </c>
      <c r="D176" s="34">
        <v>17.5</v>
      </c>
      <c r="E176" s="34">
        <f t="shared" si="51"/>
        <v>28.163473316226629</v>
      </c>
      <c r="F176" s="34">
        <f t="shared" si="60"/>
        <v>7.8231870322851744</v>
      </c>
      <c r="G176" s="37">
        <f t="shared" si="61"/>
        <v>1402.7868427405297</v>
      </c>
      <c r="H176" s="34">
        <f t="shared" si="62"/>
        <v>7.8231870322851744</v>
      </c>
      <c r="I176" s="34">
        <f t="shared" si="63"/>
        <v>0</v>
      </c>
      <c r="J176" s="34">
        <f t="shared" si="64"/>
        <v>2</v>
      </c>
      <c r="K176" s="34">
        <v>0</v>
      </c>
      <c r="L176" s="34">
        <f>('Specification &amp; Data'!B$22*'Specification &amp; Data'!B$10*'Specification &amp; Data'!B$20*(Simulation!F176^2-'Specification &amp; Data'!B$21^2))/2</f>
        <v>26.434879098099351</v>
      </c>
      <c r="M176" s="34">
        <f t="shared" si="65"/>
        <v>0</v>
      </c>
      <c r="N176" s="34">
        <f>'Specification &amp; Data'!B$26*'Specification &amp; Data'!B$18*8.91</f>
        <v>464.84361000000007</v>
      </c>
      <c r="O176" s="34">
        <f t="shared" si="52"/>
        <v>491.27848909809944</v>
      </c>
      <c r="P176" s="40">
        <f t="shared" si="53"/>
        <v>491.27848909809944</v>
      </c>
      <c r="Q176" s="34">
        <f>IF(J176=1,'Specification &amp; Data'!B$52,IF(Simulation!J176=2,'Specification &amp; Data'!B$53,IF(Simulation!J176=3,'Specification &amp; Data'!B$54)))</f>
        <v>568.92541410528543</v>
      </c>
      <c r="R176" s="34">
        <f>(0.5*'Specification &amp; Data'!B$18*Simulation!F176^2)/1000</f>
        <v>15.964914317267388</v>
      </c>
      <c r="T176" s="40">
        <f>P176*'Specification &amp; Data'!B$14*0.9</f>
        <v>130.37775287603409</v>
      </c>
      <c r="U176" s="40">
        <f>T176/(IF(J176=1,'Specification &amp; Data'!H$7,IF(Simulation!J176=2,'Specification &amp; Data'!H$8,IF(Simulation!J176=3,'Specification &amp; Data'!H$9))))</f>
        <v>7.8219947158721146</v>
      </c>
      <c r="V176" s="40">
        <f t="shared" si="66"/>
        <v>1.3486481655077607E-2</v>
      </c>
      <c r="W176" s="40">
        <f t="shared" si="67"/>
        <v>2.6048760213377615E-2</v>
      </c>
      <c r="X176" s="40">
        <f t="shared" si="54"/>
        <v>3.8433635051529049</v>
      </c>
      <c r="Y176" s="40">
        <f t="shared" si="55"/>
        <v>5.1519618031540277</v>
      </c>
      <c r="Z176" s="40">
        <f t="shared" si="68"/>
        <v>4692.0791089479335</v>
      </c>
      <c r="AA176" s="40">
        <f t="shared" si="69"/>
        <v>8</v>
      </c>
      <c r="AB176" s="40">
        <f t="shared" si="70"/>
        <v>4500</v>
      </c>
      <c r="AC176" s="40">
        <f t="shared" si="56"/>
        <v>1.0676009736535848E-3</v>
      </c>
      <c r="AD176" s="40">
        <f t="shared" si="71"/>
        <v>0.12723213879690892</v>
      </c>
      <c r="AE176" s="34">
        <f t="shared" si="72"/>
        <v>689.15900062826063</v>
      </c>
      <c r="AF176" s="34">
        <f t="shared" si="73"/>
        <v>3.8433635051529049</v>
      </c>
      <c r="AG176" s="34">
        <f t="shared" si="57"/>
        <v>5.1519618031540277</v>
      </c>
      <c r="AH176" s="34">
        <f>INDEX('Specification &amp; Data'!E$24:R$46,MATCH(Simulation!AA176,'Specification &amp; Data'!D$24:D$46,0),MATCH(Simulation!AB176,'Specification &amp; Data'!E$47:R$47,0))</f>
        <v>489.46439267578143</v>
      </c>
      <c r="AI176" s="34">
        <f t="shared" si="58"/>
        <v>1.0676009736535848E-3</v>
      </c>
      <c r="AJ176" s="34">
        <f t="shared" si="50"/>
        <v>0.52255266218942475</v>
      </c>
      <c r="AK176" s="34">
        <f t="shared" si="74"/>
        <v>61.845983732120274</v>
      </c>
      <c r="AL176" s="34">
        <v>2.3289729133329802</v>
      </c>
    </row>
    <row r="177" spans="1:38" x14ac:dyDescent="0.25">
      <c r="C177" s="34">
        <f t="shared" si="59"/>
        <v>175</v>
      </c>
      <c r="D177" s="34">
        <v>17.5</v>
      </c>
      <c r="E177" s="34">
        <f t="shared" si="51"/>
        <v>28.163473316226629</v>
      </c>
      <c r="F177" s="34">
        <f t="shared" si="60"/>
        <v>7.8231870322851744</v>
      </c>
      <c r="G177" s="37">
        <f t="shared" si="61"/>
        <v>1410.6100297728149</v>
      </c>
      <c r="H177" s="34">
        <f t="shared" si="62"/>
        <v>7.8231870322851744</v>
      </c>
      <c r="I177" s="34">
        <f t="shared" si="63"/>
        <v>0</v>
      </c>
      <c r="J177" s="34">
        <f t="shared" si="64"/>
        <v>2</v>
      </c>
      <c r="K177" s="34">
        <v>0</v>
      </c>
      <c r="L177" s="34">
        <f>('Specification &amp; Data'!B$22*'Specification &amp; Data'!B$10*'Specification &amp; Data'!B$20*(Simulation!F177^2-'Specification &amp; Data'!B$21^2))/2</f>
        <v>26.434879098099351</v>
      </c>
      <c r="M177" s="34">
        <f t="shared" si="65"/>
        <v>0</v>
      </c>
      <c r="N177" s="34">
        <f>'Specification &amp; Data'!B$26*'Specification &amp; Data'!B$18*8.91</f>
        <v>464.84361000000007</v>
      </c>
      <c r="O177" s="34">
        <f t="shared" si="52"/>
        <v>491.27848909809944</v>
      </c>
      <c r="P177" s="40">
        <f t="shared" si="53"/>
        <v>491.27848909809944</v>
      </c>
      <c r="Q177" s="34">
        <f>IF(J177=1,'Specification &amp; Data'!B$52,IF(Simulation!J177=2,'Specification &amp; Data'!B$53,IF(Simulation!J177=3,'Specification &amp; Data'!B$54)))</f>
        <v>568.92541410528543</v>
      </c>
      <c r="R177" s="34">
        <f>(0.5*'Specification &amp; Data'!B$18*Simulation!F177^2)/1000</f>
        <v>15.964914317267388</v>
      </c>
      <c r="T177" s="40">
        <f>P177*'Specification &amp; Data'!B$14*0.9</f>
        <v>130.37775287603409</v>
      </c>
      <c r="U177" s="40">
        <f>T177/(IF(J177=1,'Specification &amp; Data'!H$7,IF(Simulation!J177=2,'Specification &amp; Data'!H$8,IF(Simulation!J177=3,'Specification &amp; Data'!H$9))))</f>
        <v>7.8219947158721146</v>
      </c>
      <c r="V177" s="40">
        <f t="shared" si="66"/>
        <v>1.3543927489344351E-2</v>
      </c>
      <c r="W177" s="40">
        <f t="shared" si="67"/>
        <v>2.6048760213377615E-2</v>
      </c>
      <c r="X177" s="40">
        <f t="shared" si="54"/>
        <v>3.8433635051529049</v>
      </c>
      <c r="Y177" s="40">
        <f t="shared" si="55"/>
        <v>5.1519618031540277</v>
      </c>
      <c r="Z177" s="40">
        <f t="shared" si="68"/>
        <v>4692.0791089479335</v>
      </c>
      <c r="AA177" s="40">
        <f t="shared" si="69"/>
        <v>8</v>
      </c>
      <c r="AB177" s="40">
        <f t="shared" si="70"/>
        <v>4500</v>
      </c>
      <c r="AC177" s="40">
        <f t="shared" si="56"/>
        <v>1.0676009736535848E-3</v>
      </c>
      <c r="AD177" s="40">
        <f t="shared" si="71"/>
        <v>0.1282997397705625</v>
      </c>
      <c r="AE177" s="34">
        <f t="shared" si="72"/>
        <v>693.00236413341349</v>
      </c>
      <c r="AF177" s="34">
        <f t="shared" si="73"/>
        <v>3.8433635051529049</v>
      </c>
      <c r="AG177" s="34">
        <f t="shared" si="57"/>
        <v>5.1519618031540277</v>
      </c>
      <c r="AH177" s="34">
        <f>INDEX('Specification &amp; Data'!E$24:R$46,MATCH(Simulation!AA177,'Specification &amp; Data'!D$24:D$46,0),MATCH(Simulation!AB177,'Specification &amp; Data'!E$47:R$47,0))</f>
        <v>489.46439267578143</v>
      </c>
      <c r="AI177" s="34">
        <f t="shared" si="58"/>
        <v>1.0676009736535848E-3</v>
      </c>
      <c r="AJ177" s="34">
        <f t="shared" si="50"/>
        <v>0.52255266218942475</v>
      </c>
      <c r="AK177" s="34">
        <f t="shared" si="74"/>
        <v>62.3685363943097</v>
      </c>
      <c r="AL177" s="34">
        <v>2.3289729133329802</v>
      </c>
    </row>
    <row r="178" spans="1:38" x14ac:dyDescent="0.25">
      <c r="C178" s="34">
        <f t="shared" si="59"/>
        <v>176</v>
      </c>
      <c r="D178" s="34">
        <v>17.5</v>
      </c>
      <c r="E178" s="34">
        <f t="shared" si="51"/>
        <v>28.163473316226629</v>
      </c>
      <c r="F178" s="34">
        <f t="shared" si="60"/>
        <v>7.8231870322851744</v>
      </c>
      <c r="G178" s="37">
        <f t="shared" si="61"/>
        <v>1418.4332168051001</v>
      </c>
      <c r="H178" s="34">
        <f t="shared" si="62"/>
        <v>7.8231870322851744</v>
      </c>
      <c r="I178" s="34">
        <f t="shared" si="63"/>
        <v>0</v>
      </c>
      <c r="J178" s="34">
        <f t="shared" si="64"/>
        <v>2</v>
      </c>
      <c r="K178" s="34">
        <v>0</v>
      </c>
      <c r="L178" s="34">
        <f>('Specification &amp; Data'!B$22*'Specification &amp; Data'!B$10*'Specification &amp; Data'!B$20*(Simulation!F178^2-'Specification &amp; Data'!B$21^2))/2</f>
        <v>26.434879098099351</v>
      </c>
      <c r="M178" s="34">
        <f t="shared" si="65"/>
        <v>0</v>
      </c>
      <c r="N178" s="34">
        <f>'Specification &amp; Data'!B$26*'Specification &amp; Data'!B$18*8.91</f>
        <v>464.84361000000007</v>
      </c>
      <c r="O178" s="34">
        <f t="shared" si="52"/>
        <v>491.27848909809944</v>
      </c>
      <c r="P178" s="40">
        <f t="shared" si="53"/>
        <v>491.27848909809944</v>
      </c>
      <c r="Q178" s="34">
        <f>IF(J178=1,'Specification &amp; Data'!B$52,IF(Simulation!J178=2,'Specification &amp; Data'!B$53,IF(Simulation!J178=3,'Specification &amp; Data'!B$54)))</f>
        <v>568.92541410528543</v>
      </c>
      <c r="R178" s="34">
        <f>(0.5*'Specification &amp; Data'!B$18*Simulation!F178^2)/1000</f>
        <v>15.964914317267388</v>
      </c>
      <c r="T178" s="40">
        <f>P178*'Specification &amp; Data'!B$14*0.9</f>
        <v>130.37775287603409</v>
      </c>
      <c r="U178" s="40">
        <f>T178/(IF(J178=1,'Specification &amp; Data'!H$7,IF(Simulation!J178=2,'Specification &amp; Data'!H$8,IF(Simulation!J178=3,'Specification &amp; Data'!H$9))))</f>
        <v>7.8219947158721146</v>
      </c>
      <c r="V178" s="40">
        <f t="shared" si="66"/>
        <v>1.3601373323611094E-2</v>
      </c>
      <c r="W178" s="40">
        <f t="shared" si="67"/>
        <v>2.6048760213377615E-2</v>
      </c>
      <c r="X178" s="40">
        <f t="shared" si="54"/>
        <v>3.8433635051529049</v>
      </c>
      <c r="Y178" s="40">
        <f t="shared" si="55"/>
        <v>5.1519618031540277</v>
      </c>
      <c r="Z178" s="40">
        <f t="shared" si="68"/>
        <v>4692.0791089479335</v>
      </c>
      <c r="AA178" s="40">
        <f t="shared" si="69"/>
        <v>8</v>
      </c>
      <c r="AB178" s="40">
        <f t="shared" si="70"/>
        <v>4500</v>
      </c>
      <c r="AC178" s="40">
        <f t="shared" si="56"/>
        <v>1.0676009736535848E-3</v>
      </c>
      <c r="AD178" s="40">
        <f t="shared" si="71"/>
        <v>0.12936734074421607</v>
      </c>
      <c r="AE178" s="34">
        <f t="shared" si="72"/>
        <v>696.84572763856647</v>
      </c>
      <c r="AF178" s="34">
        <f t="shared" si="73"/>
        <v>3.8433635051529049</v>
      </c>
      <c r="AG178" s="34">
        <f t="shared" si="57"/>
        <v>5.1519618031540277</v>
      </c>
      <c r="AH178" s="34">
        <f>INDEX('Specification &amp; Data'!E$24:R$46,MATCH(Simulation!AA178,'Specification &amp; Data'!D$24:D$46,0),MATCH(Simulation!AB178,'Specification &amp; Data'!E$47:R$47,0))</f>
        <v>489.46439267578143</v>
      </c>
      <c r="AI178" s="34">
        <f t="shared" si="58"/>
        <v>1.0676009736535848E-3</v>
      </c>
      <c r="AJ178" s="34">
        <f t="shared" si="50"/>
        <v>0.52255266218942475</v>
      </c>
      <c r="AK178" s="34">
        <f t="shared" si="74"/>
        <v>62.891089056499126</v>
      </c>
      <c r="AL178" s="34">
        <v>2.3289729133329802</v>
      </c>
    </row>
    <row r="179" spans="1:38" x14ac:dyDescent="0.25">
      <c r="C179" s="34">
        <f t="shared" si="59"/>
        <v>177</v>
      </c>
      <c r="D179" s="34">
        <v>17.5</v>
      </c>
      <c r="E179" s="34">
        <f t="shared" si="51"/>
        <v>28.163473316226629</v>
      </c>
      <c r="F179" s="34">
        <f t="shared" si="60"/>
        <v>7.8231870322851744</v>
      </c>
      <c r="G179" s="37">
        <f t="shared" si="61"/>
        <v>1426.2564038373853</v>
      </c>
      <c r="H179" s="34">
        <f t="shared" si="62"/>
        <v>7.8231870322851744</v>
      </c>
      <c r="I179" s="34">
        <f t="shared" si="63"/>
        <v>0</v>
      </c>
      <c r="J179" s="34">
        <f t="shared" si="64"/>
        <v>2</v>
      </c>
      <c r="K179" s="34">
        <v>0</v>
      </c>
      <c r="L179" s="34">
        <f>('Specification &amp; Data'!B$22*'Specification &amp; Data'!B$10*'Specification &amp; Data'!B$20*(Simulation!F179^2-'Specification &amp; Data'!B$21^2))/2</f>
        <v>26.434879098099351</v>
      </c>
      <c r="M179" s="34">
        <f t="shared" si="65"/>
        <v>0</v>
      </c>
      <c r="N179" s="34">
        <f>'Specification &amp; Data'!B$26*'Specification &amp; Data'!B$18*8.91</f>
        <v>464.84361000000007</v>
      </c>
      <c r="O179" s="34">
        <f t="shared" si="52"/>
        <v>491.27848909809944</v>
      </c>
      <c r="P179" s="40">
        <f t="shared" si="53"/>
        <v>491.27848909809944</v>
      </c>
      <c r="Q179" s="34">
        <f>IF(J179=1,'Specification &amp; Data'!B$52,IF(Simulation!J179=2,'Specification &amp; Data'!B$53,IF(Simulation!J179=3,'Specification &amp; Data'!B$54)))</f>
        <v>568.92541410528543</v>
      </c>
      <c r="R179" s="34">
        <f>(0.5*'Specification &amp; Data'!B$18*Simulation!F179^2)/1000</f>
        <v>15.964914317267388</v>
      </c>
      <c r="T179" s="40">
        <f>P179*'Specification &amp; Data'!B$14*0.9</f>
        <v>130.37775287603409</v>
      </c>
      <c r="U179" s="40">
        <f>T179/(IF(J179=1,'Specification &amp; Data'!H$7,IF(Simulation!J179=2,'Specification &amp; Data'!H$8,IF(Simulation!J179=3,'Specification &amp; Data'!H$9))))</f>
        <v>7.8219947158721146</v>
      </c>
      <c r="V179" s="40">
        <f t="shared" si="66"/>
        <v>1.3658819157877838E-2</v>
      </c>
      <c r="W179" s="40">
        <f t="shared" si="67"/>
        <v>2.6048760213377615E-2</v>
      </c>
      <c r="X179" s="40">
        <f t="shared" si="54"/>
        <v>3.8433635051529049</v>
      </c>
      <c r="Y179" s="40">
        <f t="shared" si="55"/>
        <v>5.1519618031540277</v>
      </c>
      <c r="Z179" s="40">
        <f t="shared" si="68"/>
        <v>4692.0791089479335</v>
      </c>
      <c r="AA179" s="40">
        <f t="shared" si="69"/>
        <v>8</v>
      </c>
      <c r="AB179" s="40">
        <f t="shared" si="70"/>
        <v>4500</v>
      </c>
      <c r="AC179" s="40">
        <f t="shared" si="56"/>
        <v>1.0676009736535848E-3</v>
      </c>
      <c r="AD179" s="40">
        <f t="shared" si="71"/>
        <v>0.13043494171786965</v>
      </c>
      <c r="AE179" s="34">
        <f t="shared" si="72"/>
        <v>700.68909114371934</v>
      </c>
      <c r="AF179" s="34">
        <f t="shared" si="73"/>
        <v>3.8433635051529049</v>
      </c>
      <c r="AG179" s="34">
        <f t="shared" si="57"/>
        <v>5.1519618031540277</v>
      </c>
      <c r="AH179" s="34">
        <f>INDEX('Specification &amp; Data'!E$24:R$46,MATCH(Simulation!AA179,'Specification &amp; Data'!D$24:D$46,0),MATCH(Simulation!AB179,'Specification &amp; Data'!E$47:R$47,0))</f>
        <v>489.46439267578143</v>
      </c>
      <c r="AI179" s="34">
        <f t="shared" si="58"/>
        <v>1.0676009736535848E-3</v>
      </c>
      <c r="AJ179" s="34">
        <f t="shared" si="50"/>
        <v>0.52255266218942475</v>
      </c>
      <c r="AK179" s="34">
        <f t="shared" si="74"/>
        <v>63.413641718688552</v>
      </c>
      <c r="AL179" s="34">
        <v>2.3289729133329802</v>
      </c>
    </row>
    <row r="180" spans="1:38" x14ac:dyDescent="0.25">
      <c r="C180" s="34">
        <f t="shared" si="59"/>
        <v>178</v>
      </c>
      <c r="D180" s="34">
        <v>17.5</v>
      </c>
      <c r="E180" s="34">
        <f t="shared" si="51"/>
        <v>28.163473316226629</v>
      </c>
      <c r="F180" s="34">
        <f t="shared" si="60"/>
        <v>7.8231870322851744</v>
      </c>
      <c r="G180" s="37">
        <f t="shared" si="61"/>
        <v>1434.0795908696705</v>
      </c>
      <c r="H180" s="34">
        <f t="shared" si="62"/>
        <v>7.8231870322851744</v>
      </c>
      <c r="I180" s="34">
        <f t="shared" si="63"/>
        <v>0</v>
      </c>
      <c r="J180" s="34">
        <f t="shared" si="64"/>
        <v>2</v>
      </c>
      <c r="K180" s="34">
        <v>0</v>
      </c>
      <c r="L180" s="34">
        <f>('Specification &amp; Data'!B$22*'Specification &amp; Data'!B$10*'Specification &amp; Data'!B$20*(Simulation!F180^2-'Specification &amp; Data'!B$21^2))/2</f>
        <v>26.434879098099351</v>
      </c>
      <c r="M180" s="34">
        <f t="shared" si="65"/>
        <v>0</v>
      </c>
      <c r="N180" s="34">
        <f>'Specification &amp; Data'!B$26*'Specification &amp; Data'!B$18*8.91</f>
        <v>464.84361000000007</v>
      </c>
      <c r="O180" s="34">
        <f t="shared" si="52"/>
        <v>491.27848909809944</v>
      </c>
      <c r="P180" s="40">
        <f t="shared" si="53"/>
        <v>491.27848909809944</v>
      </c>
      <c r="Q180" s="34">
        <f>IF(J180=1,'Specification &amp; Data'!B$52,IF(Simulation!J180=2,'Specification &amp; Data'!B$53,IF(Simulation!J180=3,'Specification &amp; Data'!B$54)))</f>
        <v>568.92541410528543</v>
      </c>
      <c r="R180" s="34">
        <f>(0.5*'Specification &amp; Data'!B$18*Simulation!F180^2)/1000</f>
        <v>15.964914317267388</v>
      </c>
      <c r="T180" s="40">
        <f>P180*'Specification &amp; Data'!B$14*0.9</f>
        <v>130.37775287603409</v>
      </c>
      <c r="U180" s="40">
        <f>T180/(IF(J180=1,'Specification &amp; Data'!H$7,IF(Simulation!J180=2,'Specification &amp; Data'!H$8,IF(Simulation!J180=3,'Specification &amp; Data'!H$9))))</f>
        <v>7.8219947158721146</v>
      </c>
      <c r="V180" s="40">
        <f t="shared" si="66"/>
        <v>1.3716264992144582E-2</v>
      </c>
      <c r="W180" s="40">
        <f t="shared" si="67"/>
        <v>2.6048760213377615E-2</v>
      </c>
      <c r="X180" s="40">
        <f t="shared" si="54"/>
        <v>3.8433635051529049</v>
      </c>
      <c r="Y180" s="40">
        <f t="shared" si="55"/>
        <v>5.1519618031540277</v>
      </c>
      <c r="Z180" s="40">
        <f t="shared" si="68"/>
        <v>4692.0791089479335</v>
      </c>
      <c r="AA180" s="40">
        <f t="shared" si="69"/>
        <v>8</v>
      </c>
      <c r="AB180" s="40">
        <f t="shared" si="70"/>
        <v>4500</v>
      </c>
      <c r="AC180" s="40">
        <f t="shared" si="56"/>
        <v>1.0676009736535848E-3</v>
      </c>
      <c r="AD180" s="40">
        <f t="shared" si="71"/>
        <v>0.13150254269152323</v>
      </c>
      <c r="AE180" s="34">
        <f t="shared" si="72"/>
        <v>704.53245464887232</v>
      </c>
      <c r="AF180" s="34">
        <f t="shared" si="73"/>
        <v>3.8433635051529049</v>
      </c>
      <c r="AG180" s="34">
        <f t="shared" si="57"/>
        <v>5.1519618031540277</v>
      </c>
      <c r="AH180" s="34">
        <f>INDEX('Specification &amp; Data'!E$24:R$46,MATCH(Simulation!AA180,'Specification &amp; Data'!D$24:D$46,0),MATCH(Simulation!AB180,'Specification &amp; Data'!E$47:R$47,0))</f>
        <v>489.46439267578143</v>
      </c>
      <c r="AI180" s="34">
        <f t="shared" si="58"/>
        <v>1.0676009736535848E-3</v>
      </c>
      <c r="AJ180" s="34">
        <f t="shared" si="50"/>
        <v>0.52255266218942475</v>
      </c>
      <c r="AK180" s="34">
        <f t="shared" si="74"/>
        <v>63.936194380877978</v>
      </c>
      <c r="AL180" s="34">
        <v>2.3289729133329802</v>
      </c>
    </row>
    <row r="181" spans="1:38" x14ac:dyDescent="0.25">
      <c r="A181" s="34" t="s">
        <v>133</v>
      </c>
      <c r="B181" s="36" t="s">
        <v>134</v>
      </c>
      <c r="C181" s="34">
        <f t="shared" si="59"/>
        <v>179</v>
      </c>
      <c r="D181" s="34">
        <v>17.5</v>
      </c>
      <c r="E181" s="34">
        <f t="shared" si="51"/>
        <v>28.163473316226629</v>
      </c>
      <c r="F181" s="34">
        <f t="shared" si="60"/>
        <v>7.8231870322851744</v>
      </c>
      <c r="G181" s="37">
        <f t="shared" si="61"/>
        <v>1441.9027779019557</v>
      </c>
      <c r="H181" s="34">
        <f t="shared" si="62"/>
        <v>7.8231870322851744</v>
      </c>
      <c r="I181" s="34">
        <f t="shared" si="63"/>
        <v>0</v>
      </c>
      <c r="J181" s="34">
        <f t="shared" si="64"/>
        <v>2</v>
      </c>
      <c r="K181" s="34">
        <v>0</v>
      </c>
      <c r="L181" s="34">
        <f>('Specification &amp; Data'!B$22*'Specification &amp; Data'!B$10*'Specification &amp; Data'!B$20*(Simulation!F181^2-'Specification &amp; Data'!B$21^2))/2</f>
        <v>26.434879098099351</v>
      </c>
      <c r="M181" s="34">
        <f t="shared" si="65"/>
        <v>0</v>
      </c>
      <c r="N181" s="34">
        <f>'Specification &amp; Data'!B$26*'Specification &amp; Data'!B$18*8.91</f>
        <v>464.84361000000007</v>
      </c>
      <c r="O181" s="34">
        <f t="shared" si="52"/>
        <v>491.27848909809944</v>
      </c>
      <c r="P181" s="40">
        <f t="shared" si="53"/>
        <v>491.27848909809944</v>
      </c>
      <c r="Q181" s="34">
        <f>IF(J181=1,'Specification &amp; Data'!B$52,IF(Simulation!J181=2,'Specification &amp; Data'!B$53,IF(Simulation!J181=3,'Specification &amp; Data'!B$54)))</f>
        <v>568.92541410528543</v>
      </c>
      <c r="R181" s="34">
        <f>(0.5*'Specification &amp; Data'!B$18*Simulation!F181^2)/1000</f>
        <v>15.964914317267388</v>
      </c>
      <c r="T181" s="40">
        <f>P181*'Specification &amp; Data'!B$14*0.9</f>
        <v>130.37775287603409</v>
      </c>
      <c r="U181" s="40">
        <f>T181/(IF(J181=1,'Specification &amp; Data'!H$7,IF(Simulation!J181=2,'Specification &amp; Data'!H$8,IF(Simulation!J181=3,'Specification &amp; Data'!H$9))))</f>
        <v>7.8219947158721146</v>
      </c>
      <c r="V181" s="40">
        <f t="shared" si="66"/>
        <v>1.3773710826411326E-2</v>
      </c>
      <c r="W181" s="40">
        <f t="shared" si="67"/>
        <v>2.6048760213377615E-2</v>
      </c>
      <c r="X181" s="40">
        <f t="shared" si="54"/>
        <v>3.8433635051529049</v>
      </c>
      <c r="Y181" s="40">
        <f t="shared" si="55"/>
        <v>5.1519618031540277</v>
      </c>
      <c r="Z181" s="40">
        <f t="shared" si="68"/>
        <v>4692.0791089479335</v>
      </c>
      <c r="AA181" s="40">
        <f t="shared" si="69"/>
        <v>8</v>
      </c>
      <c r="AB181" s="40">
        <f t="shared" si="70"/>
        <v>4500</v>
      </c>
      <c r="AC181" s="40">
        <f t="shared" si="56"/>
        <v>1.0676009736535848E-3</v>
      </c>
      <c r="AD181" s="40">
        <f t="shared" si="71"/>
        <v>0.1325701436651768</v>
      </c>
      <c r="AE181" s="34">
        <f t="shared" si="72"/>
        <v>708.3758181540253</v>
      </c>
      <c r="AF181" s="34">
        <f t="shared" si="73"/>
        <v>3.8433635051529049</v>
      </c>
      <c r="AG181" s="34">
        <f t="shared" si="57"/>
        <v>5.1519618031540277</v>
      </c>
      <c r="AH181" s="34">
        <f>INDEX('Specification &amp; Data'!E$24:R$46,MATCH(Simulation!AA181,'Specification &amp; Data'!D$24:D$46,0),MATCH(Simulation!AB181,'Specification &amp; Data'!E$47:R$47,0))</f>
        <v>489.46439267578143</v>
      </c>
      <c r="AI181" s="34">
        <f t="shared" si="58"/>
        <v>1.0676009736535848E-3</v>
      </c>
      <c r="AJ181" s="34">
        <f t="shared" si="50"/>
        <v>0.52255266218942475</v>
      </c>
      <c r="AK181" s="34">
        <f t="shared" si="74"/>
        <v>64.458747043067405</v>
      </c>
      <c r="AL181" s="34">
        <v>2.3289729133329802</v>
      </c>
    </row>
    <row r="182" spans="1:38" x14ac:dyDescent="0.25">
      <c r="A182" s="34" t="s">
        <v>135</v>
      </c>
      <c r="C182" s="34">
        <f t="shared" si="59"/>
        <v>180</v>
      </c>
      <c r="D182" s="34">
        <v>18</v>
      </c>
      <c r="E182" s="34">
        <f t="shared" si="51"/>
        <v>28.968143982404534</v>
      </c>
      <c r="F182" s="34">
        <f t="shared" si="60"/>
        <v>8.0467066617790373</v>
      </c>
      <c r="G182" s="37">
        <f t="shared" si="61"/>
        <v>1449.8377247489877</v>
      </c>
      <c r="H182" s="34">
        <f t="shared" si="62"/>
        <v>7.9349468470321058</v>
      </c>
      <c r="I182" s="34">
        <f t="shared" si="63"/>
        <v>0.22351962949386284</v>
      </c>
      <c r="J182" s="34">
        <f t="shared" si="64"/>
        <v>2</v>
      </c>
      <c r="K182" s="34">
        <v>0</v>
      </c>
      <c r="L182" s="34">
        <f>('Specification &amp; Data'!B$22*'Specification &amp; Data'!B$10*'Specification &amp; Data'!B$20*(Simulation!F182^2-'Specification &amp; Data'!B$21^2))/2</f>
        <v>28.102525268609277</v>
      </c>
      <c r="M182" s="34">
        <f t="shared" si="65"/>
        <v>127.16599777045589</v>
      </c>
      <c r="N182" s="34">
        <f>'Specification &amp; Data'!B$24*'Specification &amp; Data'!B$18*8.91</f>
        <v>92.968722</v>
      </c>
      <c r="O182" s="34">
        <f t="shared" si="52"/>
        <v>248.23724503906516</v>
      </c>
      <c r="P182" s="40">
        <f t="shared" si="53"/>
        <v>248.23724503906516</v>
      </c>
      <c r="Q182" s="34">
        <f>IF(J182=1,'Specification &amp; Data'!B$52,IF(Simulation!J182=2,'Specification &amp; Data'!B$53,IF(Simulation!J182=3,'Specification &amp; Data'!B$54)))</f>
        <v>568.92541410528543</v>
      </c>
      <c r="R182" s="34">
        <f>(0.5*'Specification &amp; Data'!B$18*Simulation!F182^2)/1000</f>
        <v>16.890227718513092</v>
      </c>
      <c r="T182" s="40">
        <f>P182*'Specification &amp; Data'!B$14*0.9</f>
        <v>65.878345798828846</v>
      </c>
      <c r="U182" s="40">
        <f>T182/(IF(J182=1,'Specification &amp; Data'!H$7,IF(Simulation!J182=2,'Specification &amp; Data'!H$8,IF(Simulation!J182=3,'Specification &amp; Data'!H$9))))</f>
        <v>3.9523619740462412</v>
      </c>
      <c r="V182" s="40">
        <f t="shared" si="66"/>
        <v>1.383652548677014E-2</v>
      </c>
      <c r="W182" s="40">
        <f t="shared" si="67"/>
        <v>2.6048760213377615E-2</v>
      </c>
      <c r="X182" s="40">
        <f t="shared" si="54"/>
        <v>1.9974922933575208</v>
      </c>
      <c r="Y182" s="40">
        <f t="shared" si="55"/>
        <v>2.6776036103988212</v>
      </c>
      <c r="Z182" s="40">
        <f t="shared" si="68"/>
        <v>4826.138512060732</v>
      </c>
      <c r="AA182" s="40">
        <f t="shared" si="69"/>
        <v>4</v>
      </c>
      <c r="AB182" s="40">
        <f t="shared" si="70"/>
        <v>5000</v>
      </c>
      <c r="AC182" s="40">
        <f t="shared" si="56"/>
        <v>5.548589703770891E-4</v>
      </c>
      <c r="AD182" s="40">
        <f t="shared" si="71"/>
        <v>0.13312500263555388</v>
      </c>
      <c r="AE182" s="34">
        <f t="shared" si="72"/>
        <v>359.90372254539523</v>
      </c>
      <c r="AF182" s="34">
        <f t="shared" si="73"/>
        <v>1.9974922933575208</v>
      </c>
      <c r="AG182" s="34">
        <f t="shared" si="57"/>
        <v>2.6776036103988212</v>
      </c>
      <c r="AH182" s="34">
        <f>INDEX('Specification &amp; Data'!E$24:R$46,MATCH(Simulation!AA182,'Specification &amp; Data'!D$24:D$46,0),MATCH(Simulation!AB182,'Specification &amp; Data'!E$47:R$47,0))</f>
        <v>660.32120700000007</v>
      </c>
      <c r="AI182" s="34">
        <f t="shared" si="58"/>
        <v>5.548589703770891E-4</v>
      </c>
      <c r="AJ182" s="34">
        <f t="shared" si="50"/>
        <v>0.36638514503417674</v>
      </c>
      <c r="AK182" s="34">
        <f t="shared" si="74"/>
        <v>64.825132188101577</v>
      </c>
      <c r="AL182" s="34">
        <v>2.3289729133329802</v>
      </c>
    </row>
    <row r="183" spans="1:38" x14ac:dyDescent="0.25">
      <c r="C183" s="34">
        <f t="shared" si="59"/>
        <v>181</v>
      </c>
      <c r="D183" s="34">
        <v>19</v>
      </c>
      <c r="E183" s="34">
        <f t="shared" si="51"/>
        <v>30.577485314760342</v>
      </c>
      <c r="F183" s="34">
        <f t="shared" si="60"/>
        <v>8.4937459207667612</v>
      </c>
      <c r="G183" s="37">
        <f t="shared" si="61"/>
        <v>1458.1079510402606</v>
      </c>
      <c r="H183" s="34">
        <f t="shared" si="62"/>
        <v>8.2702262912728983</v>
      </c>
      <c r="I183" s="34">
        <f t="shared" si="63"/>
        <v>0.44703925898772212</v>
      </c>
      <c r="J183" s="34">
        <f t="shared" si="64"/>
        <v>2</v>
      </c>
      <c r="K183" s="34">
        <v>0</v>
      </c>
      <c r="L183" s="34">
        <f>('Specification &amp; Data'!B$22*'Specification &amp; Data'!B$10*'Specification &amp; Data'!B$20*(Simulation!F183^2-'Specification &amp; Data'!B$21^2))/2</f>
        <v>31.578745455024336</v>
      </c>
      <c r="M183" s="34">
        <f t="shared" si="65"/>
        <v>254.33199554090976</v>
      </c>
      <c r="N183" s="34">
        <f>'Specification &amp; Data'!B$24*'Specification &amp; Data'!B$18*8.91</f>
        <v>92.968722</v>
      </c>
      <c r="O183" s="34">
        <f t="shared" si="52"/>
        <v>378.87946299593409</v>
      </c>
      <c r="P183" s="40">
        <f t="shared" si="53"/>
        <v>378.87946299593409</v>
      </c>
      <c r="Q183" s="34">
        <f>IF(J183=1,'Specification &amp; Data'!B$52,IF(Simulation!J183=2,'Specification &amp; Data'!B$53,IF(Simulation!J183=3,'Specification &amp; Data'!B$54)))</f>
        <v>568.92541410528543</v>
      </c>
      <c r="R183" s="34">
        <f>(0.5*'Specification &amp; Data'!B$18*Simulation!F183^2)/1000</f>
        <v>18.819050019701315</v>
      </c>
      <c r="T183" s="40">
        <f>P183*'Specification &amp; Data'!B$14*0.9</f>
        <v>100.5487805643056</v>
      </c>
      <c r="U183" s="40">
        <f>T183/(IF(J183=1,'Specification &amp; Data'!H$7,IF(Simulation!J183=2,'Specification &amp; Data'!H$8,IF(Simulation!J183=3,'Specification &amp; Data'!H$9))))</f>
        <v>6.0324097701637509</v>
      </c>
      <c r="V183" s="40">
        <f t="shared" si="66"/>
        <v>1.391103155354557E-2</v>
      </c>
      <c r="W183" s="40">
        <f t="shared" si="67"/>
        <v>2.6048760213377615E-2</v>
      </c>
      <c r="X183" s="40">
        <f t="shared" si="54"/>
        <v>3.2181058932840161</v>
      </c>
      <c r="Y183" s="40">
        <f t="shared" si="55"/>
        <v>4.3138148703539088</v>
      </c>
      <c r="Z183" s="40">
        <f t="shared" si="68"/>
        <v>5094.2573182863289</v>
      </c>
      <c r="AA183" s="40">
        <f t="shared" si="69"/>
        <v>6</v>
      </c>
      <c r="AB183" s="40">
        <f t="shared" si="70"/>
        <v>5000</v>
      </c>
      <c r="AC183" s="40">
        <f t="shared" si="56"/>
        <v>8.9391830369000452E-4</v>
      </c>
      <c r="AD183" s="40">
        <f t="shared" si="71"/>
        <v>0.13401892093924389</v>
      </c>
      <c r="AE183" s="34">
        <f t="shared" si="72"/>
        <v>552.44715748023566</v>
      </c>
      <c r="AF183" s="34">
        <f t="shared" si="73"/>
        <v>3.2181058932840161</v>
      </c>
      <c r="AG183" s="34">
        <f t="shared" si="57"/>
        <v>4.3138148703539088</v>
      </c>
      <c r="AH183" s="34">
        <f>INDEX('Specification &amp; Data'!E$24:R$46,MATCH(Simulation!AA183,'Specification &amp; Data'!D$24:D$46,0),MATCH(Simulation!AB183,'Specification &amp; Data'!E$47:R$47,0))</f>
        <v>501.88401900000008</v>
      </c>
      <c r="AI183" s="34">
        <f t="shared" si="58"/>
        <v>8.9391830369000452E-4</v>
      </c>
      <c r="AJ183" s="34">
        <f t="shared" si="50"/>
        <v>0.44864331091360204</v>
      </c>
      <c r="AK183" s="34">
        <f t="shared" si="74"/>
        <v>65.273775499015173</v>
      </c>
      <c r="AL183" s="34">
        <v>2.3289729133329802</v>
      </c>
    </row>
    <row r="184" spans="1:38" x14ac:dyDescent="0.25">
      <c r="C184" s="34">
        <f t="shared" si="59"/>
        <v>182</v>
      </c>
      <c r="D184" s="34">
        <v>20</v>
      </c>
      <c r="E184" s="34">
        <f t="shared" si="51"/>
        <v>32.186826647116149</v>
      </c>
      <c r="F184" s="34">
        <f t="shared" si="60"/>
        <v>8.9407851797544851</v>
      </c>
      <c r="G184" s="37">
        <f t="shared" si="61"/>
        <v>1466.8252165905212</v>
      </c>
      <c r="H184" s="34">
        <f t="shared" si="62"/>
        <v>8.717265550260624</v>
      </c>
      <c r="I184" s="34">
        <f t="shared" si="63"/>
        <v>0.44703925898772567</v>
      </c>
      <c r="J184" s="34">
        <f t="shared" si="64"/>
        <v>2</v>
      </c>
      <c r="K184" s="34">
        <v>0</v>
      </c>
      <c r="L184" s="34">
        <f>('Specification &amp; Data'!B$22*'Specification &amp; Data'!B$10*'Specification &amp; Data'!B$20*(Simulation!F184^2-'Specification &amp; Data'!B$21^2))/2</f>
        <v>35.24286943529966</v>
      </c>
      <c r="M184" s="34">
        <f t="shared" si="65"/>
        <v>254.33199554091178</v>
      </c>
      <c r="N184" s="34">
        <f>'Specification &amp; Data'!B$24*'Specification &amp; Data'!B$18*8.91</f>
        <v>92.968722</v>
      </c>
      <c r="O184" s="34">
        <f t="shared" si="52"/>
        <v>382.54358697621143</v>
      </c>
      <c r="P184" s="40">
        <f t="shared" si="53"/>
        <v>382.54358697621143</v>
      </c>
      <c r="Q184" s="34">
        <f>IF(J184=1,'Specification &amp; Data'!B$52,IF(Simulation!J184=2,'Specification &amp; Data'!B$53,IF(Simulation!J184=3,'Specification &amp; Data'!B$54)))</f>
        <v>568.92541410528543</v>
      </c>
      <c r="R184" s="34">
        <f>(0.5*'Specification &amp; Data'!B$18*Simulation!F184^2)/1000</f>
        <v>20.852132985818628</v>
      </c>
      <c r="T184" s="40">
        <f>P184*'Specification &amp; Data'!B$14*0.9</f>
        <v>101.52118269753304</v>
      </c>
      <c r="U184" s="40">
        <f>T184/(IF(J184=1,'Specification &amp; Data'!H$7,IF(Simulation!J184=2,'Specification &amp; Data'!H$8,IF(Simulation!J184=3,'Specification &amp; Data'!H$9))))</f>
        <v>6.0907488976607542</v>
      </c>
      <c r="V184" s="40">
        <f t="shared" si="66"/>
        <v>1.3998559032639777E-2</v>
      </c>
      <c r="W184" s="40">
        <f t="shared" si="67"/>
        <v>2.6048760213377615E-2</v>
      </c>
      <c r="X184" s="40">
        <f t="shared" si="54"/>
        <v>3.4202400330470319</v>
      </c>
      <c r="Y184" s="40">
        <f t="shared" si="55"/>
        <v>4.5847721622614364</v>
      </c>
      <c r="Z184" s="40">
        <f t="shared" si="68"/>
        <v>5362.3761245119249</v>
      </c>
      <c r="AA184" s="40">
        <f t="shared" si="69"/>
        <v>6</v>
      </c>
      <c r="AB184" s="40">
        <f t="shared" si="70"/>
        <v>5500</v>
      </c>
      <c r="AC184" s="40">
        <f t="shared" si="56"/>
        <v>9.5006667584639779E-4</v>
      </c>
      <c r="AD184" s="40">
        <f t="shared" si="71"/>
        <v>0.1349689876150903</v>
      </c>
      <c r="AE184" s="34">
        <f t="shared" si="72"/>
        <v>561.12457982169622</v>
      </c>
      <c r="AF184" s="34">
        <f t="shared" si="73"/>
        <v>3.4202400330470319</v>
      </c>
      <c r="AG184" s="34">
        <f t="shared" si="57"/>
        <v>4.5847721622614364</v>
      </c>
      <c r="AH184" s="34">
        <f>INDEX('Specification &amp; Data'!E$24:R$46,MATCH(Simulation!AA184,'Specification &amp; Data'!D$24:D$46,0),MATCH(Simulation!AB184,'Specification &amp; Data'!E$47:R$47,0))</f>
        <v>488.66658750000005</v>
      </c>
      <c r="AI184" s="34">
        <f t="shared" si="58"/>
        <v>9.5006667584639779E-4</v>
      </c>
      <c r="AJ184" s="34">
        <f t="shared" si="50"/>
        <v>0.46426584038332791</v>
      </c>
      <c r="AK184" s="34">
        <f t="shared" si="74"/>
        <v>65.738041339398507</v>
      </c>
      <c r="AL184" s="34">
        <v>2.3289729133329802</v>
      </c>
    </row>
    <row r="185" spans="1:38" x14ac:dyDescent="0.25">
      <c r="C185" s="34">
        <f t="shared" si="59"/>
        <v>183</v>
      </c>
      <c r="D185" s="34">
        <v>20</v>
      </c>
      <c r="E185" s="34">
        <f t="shared" si="51"/>
        <v>32.186826647116149</v>
      </c>
      <c r="F185" s="34">
        <f t="shared" si="60"/>
        <v>8.9407851797544851</v>
      </c>
      <c r="G185" s="37">
        <f t="shared" si="61"/>
        <v>1475.7660017702758</v>
      </c>
      <c r="H185" s="34">
        <f t="shared" si="62"/>
        <v>8.9407851797544851</v>
      </c>
      <c r="I185" s="34">
        <f t="shared" si="63"/>
        <v>0</v>
      </c>
      <c r="J185" s="34">
        <f t="shared" si="64"/>
        <v>2</v>
      </c>
      <c r="K185" s="34">
        <v>0</v>
      </c>
      <c r="L185" s="34">
        <f>('Specification &amp; Data'!B$22*'Specification &amp; Data'!B$10*'Specification &amp; Data'!B$20*(Simulation!F185^2-'Specification &amp; Data'!B$21^2))/2</f>
        <v>35.24286943529966</v>
      </c>
      <c r="M185" s="34">
        <f t="shared" si="65"/>
        <v>0</v>
      </c>
      <c r="N185" s="34">
        <f>'Specification &amp; Data'!B$24*'Specification &amp; Data'!B$18*8.91</f>
        <v>92.968722</v>
      </c>
      <c r="O185" s="34">
        <f t="shared" si="52"/>
        <v>128.21159143529965</v>
      </c>
      <c r="P185" s="40">
        <f t="shared" si="53"/>
        <v>128.21159143529965</v>
      </c>
      <c r="Q185" s="34">
        <f>IF(J185=1,'Specification &amp; Data'!B$52,IF(Simulation!J185=2,'Specification &amp; Data'!B$53,IF(Simulation!J185=3,'Specification &amp; Data'!B$54)))</f>
        <v>568.92541410528543</v>
      </c>
      <c r="R185" s="34">
        <f>(0.5*'Specification &amp; Data'!B$18*Simulation!F185^2)/1000</f>
        <v>20.852132985818628</v>
      </c>
      <c r="T185" s="40">
        <f>P185*'Specification &amp; Data'!B$14*0.9</f>
        <v>34.025383880906453</v>
      </c>
      <c r="U185" s="40">
        <f>T185/(IF(J185=1,'Specification &amp; Data'!H$7,IF(Simulation!J185=2,'Specification &amp; Data'!H$8,IF(Simulation!J185=3,'Specification &amp; Data'!H$9))))</f>
        <v>2.0413480601635161</v>
      </c>
      <c r="V185" s="40">
        <f t="shared" si="66"/>
        <v>1.4086086511733984E-2</v>
      </c>
      <c r="W185" s="40">
        <f t="shared" si="67"/>
        <v>2.6048760213377615E-2</v>
      </c>
      <c r="X185" s="40">
        <f t="shared" si="54"/>
        <v>1.1463122965774641</v>
      </c>
      <c r="Y185" s="40">
        <f t="shared" si="55"/>
        <v>1.5366116576105417</v>
      </c>
      <c r="Z185" s="40">
        <f t="shared" si="68"/>
        <v>5362.3761245119249</v>
      </c>
      <c r="AA185" s="40">
        <f t="shared" si="69"/>
        <v>2</v>
      </c>
      <c r="AB185" s="40">
        <f t="shared" si="70"/>
        <v>5500</v>
      </c>
      <c r="AC185" s="40">
        <f t="shared" si="56"/>
        <v>3.1842008238262891E-4</v>
      </c>
      <c r="AD185" s="40">
        <f t="shared" si="71"/>
        <v>0.13528740769747294</v>
      </c>
      <c r="AE185" s="34">
        <f t="shared" si="72"/>
        <v>189.2103076730763</v>
      </c>
      <c r="AF185" s="34">
        <f t="shared" si="73"/>
        <v>1.1463122965774641</v>
      </c>
      <c r="AG185" s="34">
        <f t="shared" si="57"/>
        <v>1.5366116576105417</v>
      </c>
      <c r="AH185" s="34">
        <f>INDEX('Specification &amp; Data'!E$24:R$46,MATCH(Simulation!AA185,'Specification &amp; Data'!D$24:D$46,0),MATCH(Simulation!AB185,'Specification &amp; Data'!E$47:R$47,0))</f>
        <v>793.61345700000015</v>
      </c>
      <c r="AI185" s="34">
        <f t="shared" si="58"/>
        <v>3.1842008238262891E-4</v>
      </c>
      <c r="AJ185" s="34">
        <f t="shared" si="50"/>
        <v>0.25270246235790295</v>
      </c>
      <c r="AK185" s="34">
        <f t="shared" si="74"/>
        <v>65.990743801756409</v>
      </c>
      <c r="AL185" s="34">
        <v>2.3289729133329802</v>
      </c>
    </row>
    <row r="186" spans="1:38" x14ac:dyDescent="0.25">
      <c r="C186" s="34">
        <f t="shared" si="59"/>
        <v>184</v>
      </c>
      <c r="D186" s="34">
        <v>19</v>
      </c>
      <c r="E186" s="34">
        <f t="shared" si="51"/>
        <v>30.577485314760342</v>
      </c>
      <c r="F186" s="34">
        <f t="shared" si="60"/>
        <v>8.4937459207667612</v>
      </c>
      <c r="G186" s="37">
        <f t="shared" si="61"/>
        <v>1484.4832673205365</v>
      </c>
      <c r="H186" s="34">
        <f t="shared" si="62"/>
        <v>8.717265550260624</v>
      </c>
      <c r="I186" s="34">
        <f t="shared" si="63"/>
        <v>-0.44703925898772212</v>
      </c>
      <c r="J186" s="34">
        <f t="shared" si="64"/>
        <v>2</v>
      </c>
      <c r="K186" s="34">
        <v>0</v>
      </c>
      <c r="L186" s="34">
        <f>('Specification &amp; Data'!B$22*'Specification &amp; Data'!B$10*'Specification &amp; Data'!B$20*(Simulation!F186^2-'Specification &amp; Data'!B$21^2))/2</f>
        <v>31.578745455024336</v>
      </c>
      <c r="M186" s="34">
        <f t="shared" si="65"/>
        <v>-254.33199554090976</v>
      </c>
      <c r="N186" s="34">
        <f>'Specification &amp; Data'!B$24*'Specification &amp; Data'!B$18*8.91</f>
        <v>92.968722</v>
      </c>
      <c r="O186" s="34">
        <f t="shared" si="52"/>
        <v>-129.78452808588543</v>
      </c>
      <c r="P186" s="40">
        <f t="shared" si="53"/>
        <v>129.78452808588543</v>
      </c>
      <c r="Q186" s="34">
        <f>IF(J186=1,'Specification &amp; Data'!B$52,IF(Simulation!J186=2,'Specification &amp; Data'!B$53,IF(Simulation!J186=3,'Specification &amp; Data'!B$54)))</f>
        <v>568.92541410528543</v>
      </c>
      <c r="R186" s="34">
        <f>(0.5*'Specification &amp; Data'!B$18*Simulation!F186^2)/1000</f>
        <v>18.819050019701315</v>
      </c>
      <c r="T186" s="40">
        <f>P186*'Specification &amp; Data'!B$14*0.9</f>
        <v>34.442817068946518</v>
      </c>
      <c r="U186" s="40">
        <f>T186/(IF(J186=1,'Specification &amp; Data'!H$7,IF(Simulation!J186=2,'Specification &amp; Data'!H$8,IF(Simulation!J186=3,'Specification &amp; Data'!H$9))))</f>
        <v>2.0663919048306627</v>
      </c>
      <c r="V186" s="40">
        <f t="shared" si="66"/>
        <v>1.4160592578509414E-2</v>
      </c>
      <c r="W186" s="40">
        <f t="shared" si="67"/>
        <v>2.6354970437268761E-2</v>
      </c>
      <c r="X186" s="40">
        <f t="shared" si="54"/>
        <v>1.1023568060081284</v>
      </c>
      <c r="Y186" s="40">
        <f t="shared" si="55"/>
        <v>1.4776900884827457</v>
      </c>
      <c r="Z186" s="40">
        <f t="shared" si="68"/>
        <v>5094.257318286328</v>
      </c>
      <c r="AA186" s="40">
        <f t="shared" si="69"/>
        <v>2</v>
      </c>
      <c r="AB186" s="40">
        <f t="shared" si="70"/>
        <v>5000</v>
      </c>
      <c r="AC186" s="40">
        <f t="shared" si="56"/>
        <v>3.0621022389114679E-4</v>
      </c>
      <c r="AD186" s="40">
        <f t="shared" si="71"/>
        <v>0.1355936179213641</v>
      </c>
      <c r="AE186" s="34">
        <f t="shared" si="72"/>
        <v>-192.66296030058913</v>
      </c>
      <c r="AF186" s="34">
        <f t="shared" si="73"/>
        <v>-1.1023568060081284</v>
      </c>
      <c r="AG186" s="34">
        <f t="shared" si="57"/>
        <v>-1.4776900884827457</v>
      </c>
      <c r="AH186" s="34">
        <f>INDEX('Specification &amp; Data'!E$24:R$46,MATCH(Simulation!AA186,'Specification &amp; Data'!D$24:D$46,0),MATCH(Simulation!AB186,'Specification &amp; Data'!E$47:R$47,0))</f>
        <v>810.95960400000001</v>
      </c>
      <c r="AI186" s="34">
        <f t="shared" si="58"/>
        <v>-3.0621022389114679E-4</v>
      </c>
      <c r="AJ186" s="34">
        <f t="shared" si="50"/>
        <v>0.24832412190751574</v>
      </c>
      <c r="AK186" s="34">
        <f t="shared" si="74"/>
        <v>66.239067923663924</v>
      </c>
      <c r="AL186" s="34">
        <v>2.3289729133329802</v>
      </c>
    </row>
    <row r="187" spans="1:38" x14ac:dyDescent="0.25">
      <c r="C187" s="34">
        <f t="shared" si="59"/>
        <v>185</v>
      </c>
      <c r="D187" s="34">
        <v>18</v>
      </c>
      <c r="E187" s="34">
        <f t="shared" si="51"/>
        <v>28.968143982404534</v>
      </c>
      <c r="F187" s="34">
        <f t="shared" si="60"/>
        <v>8.0467066617790373</v>
      </c>
      <c r="G187" s="37">
        <f t="shared" si="61"/>
        <v>1492.7534936118093</v>
      </c>
      <c r="H187" s="34">
        <f t="shared" si="62"/>
        <v>8.2702262912728983</v>
      </c>
      <c r="I187" s="34">
        <f t="shared" si="63"/>
        <v>-0.44703925898772567</v>
      </c>
      <c r="J187" s="34">
        <f t="shared" si="64"/>
        <v>2</v>
      </c>
      <c r="K187" s="34">
        <v>0</v>
      </c>
      <c r="L187" s="34">
        <f>('Specification &amp; Data'!B$22*'Specification &amp; Data'!B$10*'Specification &amp; Data'!B$20*(Simulation!F187^2-'Specification &amp; Data'!B$21^2))/2</f>
        <v>28.102525268609277</v>
      </c>
      <c r="M187" s="34">
        <f t="shared" si="65"/>
        <v>-254.33199554091178</v>
      </c>
      <c r="N187" s="34">
        <f>'Specification &amp; Data'!B$24*'Specification &amp; Data'!B$18*8.91</f>
        <v>92.968722</v>
      </c>
      <c r="O187" s="34">
        <f t="shared" si="52"/>
        <v>-133.26074827230252</v>
      </c>
      <c r="P187" s="40">
        <f t="shared" si="53"/>
        <v>133.26074827230252</v>
      </c>
      <c r="Q187" s="34">
        <f>IF(J187=1,'Specification &amp; Data'!B$52,IF(Simulation!J187=2,'Specification &amp; Data'!B$53,IF(Simulation!J187=3,'Specification &amp; Data'!B$54)))</f>
        <v>568.92541410528543</v>
      </c>
      <c r="R187" s="34">
        <f>(0.5*'Specification &amp; Data'!B$18*Simulation!F187^2)/1000</f>
        <v>16.890227718513092</v>
      </c>
      <c r="T187" s="40">
        <f>P187*'Specification &amp; Data'!B$14*0.9</f>
        <v>35.365352426111052</v>
      </c>
      <c r="U187" s="40">
        <f>T187/(IF(J187=1,'Specification &amp; Data'!H$7,IF(Simulation!J187=2,'Specification &amp; Data'!H$8,IF(Simulation!J187=3,'Specification &amp; Data'!H$9))))</f>
        <v>2.1217392821996177</v>
      </c>
      <c r="V187" s="40">
        <f t="shared" si="66"/>
        <v>1.4223407238868228E-2</v>
      </c>
      <c r="W187" s="40">
        <f t="shared" si="67"/>
        <v>2.6652834368067761E-2</v>
      </c>
      <c r="X187" s="40">
        <f t="shared" si="54"/>
        <v>1.0723101508763959</v>
      </c>
      <c r="Y187" s="40">
        <f t="shared" si="55"/>
        <v>1.4374130708798873</v>
      </c>
      <c r="Z187" s="40">
        <f t="shared" si="68"/>
        <v>4826.1385120607329</v>
      </c>
      <c r="AA187" s="40">
        <f t="shared" si="69"/>
        <v>2</v>
      </c>
      <c r="AB187" s="40">
        <f t="shared" si="70"/>
        <v>5000</v>
      </c>
      <c r="AC187" s="40">
        <f t="shared" si="56"/>
        <v>2.9786393079899885E-4</v>
      </c>
      <c r="AD187" s="40">
        <f t="shared" si="71"/>
        <v>0.1358914818521631</v>
      </c>
      <c r="AE187" s="34">
        <f t="shared" si="72"/>
        <v>-198.92544754480346</v>
      </c>
      <c r="AF187" s="34">
        <f t="shared" si="73"/>
        <v>-1.0723101508763959</v>
      </c>
      <c r="AG187" s="34">
        <f t="shared" si="57"/>
        <v>-1.4374130708798873</v>
      </c>
      <c r="AH187" s="34">
        <f>INDEX('Specification &amp; Data'!E$24:R$46,MATCH(Simulation!AA187,'Specification &amp; Data'!D$24:D$46,0),MATCH(Simulation!AB187,'Specification &amp; Data'!E$47:R$47,0))</f>
        <v>810.95960400000001</v>
      </c>
      <c r="AI187" s="34">
        <f t="shared" si="58"/>
        <v>-2.9786393079899885E-4</v>
      </c>
      <c r="AJ187" s="34">
        <f t="shared" si="50"/>
        <v>0.24155561536663953</v>
      </c>
      <c r="AK187" s="34">
        <f t="shared" si="74"/>
        <v>66.48062353903056</v>
      </c>
      <c r="AL187" s="34">
        <v>2.3289729133329802</v>
      </c>
    </row>
    <row r="188" spans="1:38" x14ac:dyDescent="0.25">
      <c r="C188" s="34">
        <f t="shared" si="59"/>
        <v>186</v>
      </c>
      <c r="D188" s="34">
        <v>16.8</v>
      </c>
      <c r="E188" s="34">
        <f t="shared" si="51"/>
        <v>27.036934383577567</v>
      </c>
      <c r="F188" s="34">
        <f t="shared" si="60"/>
        <v>7.5102595509937684</v>
      </c>
      <c r="G188" s="37">
        <f t="shared" si="61"/>
        <v>1500.5319767181957</v>
      </c>
      <c r="H188" s="34">
        <f t="shared" si="62"/>
        <v>7.7784831063864033</v>
      </c>
      <c r="I188" s="34">
        <f t="shared" si="63"/>
        <v>-0.53644711078526797</v>
      </c>
      <c r="J188" s="34">
        <f t="shared" si="64"/>
        <v>2</v>
      </c>
      <c r="K188" s="34">
        <v>0</v>
      </c>
      <c r="L188" s="34">
        <f>('Specification &amp; Data'!B$22*'Specification &amp; Data'!B$10*'Specification &amp; Data'!B$20*(Simulation!F188^2-'Specification &amp; Data'!B$21^2))/2</f>
        <v>24.179094052806775</v>
      </c>
      <c r="M188" s="34">
        <f t="shared" si="65"/>
        <v>-305.19839464909251</v>
      </c>
      <c r="N188" s="34">
        <f>'Specification &amp; Data'!B$24*'Specification &amp; Data'!B$18*8.91</f>
        <v>92.968722</v>
      </c>
      <c r="O188" s="34">
        <f t="shared" si="52"/>
        <v>-188.05057859628573</v>
      </c>
      <c r="P188" s="40">
        <f t="shared" si="53"/>
        <v>188.05057859628573</v>
      </c>
      <c r="Q188" s="34">
        <f>IF(J188=1,'Specification &amp; Data'!B$52,IF(Simulation!J188=2,'Specification &amp; Data'!B$53,IF(Simulation!J188=3,'Specification &amp; Data'!B$54)))</f>
        <v>568.92541410528543</v>
      </c>
      <c r="R188" s="34">
        <f>(0.5*'Specification &amp; Data'!B$18*Simulation!F188^2)/1000</f>
        <v>14.713265034793627</v>
      </c>
      <c r="T188" s="40">
        <f>P188*'Specification &amp; Data'!B$14*0.9</f>
        <v>49.905730473629674</v>
      </c>
      <c r="U188" s="40">
        <f>T188/(IF(J188=1,'Specification &amp; Data'!H$7,IF(Simulation!J188=2,'Specification &amp; Data'!H$8,IF(Simulation!J188=3,'Specification &amp; Data'!H$9))))</f>
        <v>2.9940871923727204</v>
      </c>
      <c r="V188" s="40">
        <f t="shared" si="66"/>
        <v>1.427384925888058E-2</v>
      </c>
      <c r="W188" s="40">
        <f t="shared" si="67"/>
        <v>2.7045142327504611E-2</v>
      </c>
      <c r="X188" s="40">
        <f t="shared" si="54"/>
        <v>1.4123086539726593</v>
      </c>
      <c r="Y188" s="40">
        <f t="shared" si="55"/>
        <v>1.8931751393735377</v>
      </c>
      <c r="Z188" s="40">
        <f t="shared" si="68"/>
        <v>4504.3959445900182</v>
      </c>
      <c r="AA188" s="40">
        <f t="shared" si="69"/>
        <v>3</v>
      </c>
      <c r="AB188" s="40">
        <f t="shared" si="70"/>
        <v>4500</v>
      </c>
      <c r="AC188" s="40">
        <f t="shared" si="56"/>
        <v>3.9230795943684979E-4</v>
      </c>
      <c r="AD188" s="40">
        <f t="shared" si="71"/>
        <v>0.13628378981159994</v>
      </c>
      <c r="AE188" s="34">
        <f t="shared" si="72"/>
        <v>-282.17590642408504</v>
      </c>
      <c r="AF188" s="34">
        <f t="shared" si="73"/>
        <v>-1.4123086539726593</v>
      </c>
      <c r="AG188" s="34">
        <f t="shared" si="57"/>
        <v>-1.8931751393735377</v>
      </c>
      <c r="AH188" s="34">
        <f>INDEX('Specification &amp; Data'!E$24:R$46,MATCH(Simulation!AA188,'Specification &amp; Data'!D$24:D$46,0),MATCH(Simulation!AB188,'Specification &amp; Data'!E$47:R$47,0))</f>
        <v>739.33341300000006</v>
      </c>
      <c r="AI188" s="34">
        <f t="shared" si="58"/>
        <v>-3.9230795943684979E-4</v>
      </c>
      <c r="AJ188" s="34">
        <f t="shared" si="50"/>
        <v>0.29004638259751175</v>
      </c>
      <c r="AK188" s="34">
        <f t="shared" si="74"/>
        <v>66.77066992162807</v>
      </c>
      <c r="AL188" s="34">
        <v>2.3289729133329802</v>
      </c>
    </row>
    <row r="189" spans="1:38" x14ac:dyDescent="0.25">
      <c r="C189" s="34">
        <f t="shared" si="59"/>
        <v>187</v>
      </c>
      <c r="D189" s="34">
        <v>15.6</v>
      </c>
      <c r="E189" s="34">
        <f t="shared" si="51"/>
        <v>25.105724784750596</v>
      </c>
      <c r="F189" s="34">
        <f t="shared" si="60"/>
        <v>6.9738124402084987</v>
      </c>
      <c r="G189" s="37">
        <f t="shared" si="61"/>
        <v>1507.7740127137968</v>
      </c>
      <c r="H189" s="34">
        <f t="shared" si="62"/>
        <v>7.2420359956011335</v>
      </c>
      <c r="I189" s="34">
        <f t="shared" si="63"/>
        <v>-0.53644711078526974</v>
      </c>
      <c r="J189" s="34">
        <f t="shared" si="64"/>
        <v>2</v>
      </c>
      <c r="K189" s="34">
        <v>0</v>
      </c>
      <c r="L189" s="34">
        <f>('Specification &amp; Data'!B$22*'Specification &amp; Data'!B$10*'Specification &amp; Data'!B$20*(Simulation!F189^2-'Specification &amp; Data'!B$21^2))/2</f>
        <v>20.526244300163057</v>
      </c>
      <c r="M189" s="34">
        <f t="shared" si="65"/>
        <v>-305.19839464909353</v>
      </c>
      <c r="N189" s="34">
        <f>'Specification &amp; Data'!B$24*'Specification &amp; Data'!B$18*8.91</f>
        <v>92.968722</v>
      </c>
      <c r="O189" s="34">
        <f t="shared" si="52"/>
        <v>-191.70342834893046</v>
      </c>
      <c r="P189" s="40">
        <f t="shared" si="53"/>
        <v>191.70342834893046</v>
      </c>
      <c r="Q189" s="34">
        <f>IF(J189=1,'Specification &amp; Data'!B$52,IF(Simulation!J189=2,'Specification &amp; Data'!B$53,IF(Simulation!J189=3,'Specification &amp; Data'!B$54)))</f>
        <v>568.92541410528543</v>
      </c>
      <c r="R189" s="34">
        <f>(0.5*'Specification &amp; Data'!B$18*Simulation!F189^2)/1000</f>
        <v>12.686437708572056</v>
      </c>
      <c r="T189" s="40">
        <f>P189*'Specification &amp; Data'!B$14*0.9</f>
        <v>50.875140600293086</v>
      </c>
      <c r="U189" s="40">
        <f>T189/(IF(J189=1,'Specification &amp; Data'!H$7,IF(Simulation!J189=2,'Specification &amp; Data'!H$8,IF(Simulation!J189=3,'Specification &amp; Data'!H$9))))</f>
        <v>3.0522468148620256</v>
      </c>
      <c r="V189" s="40">
        <f t="shared" si="66"/>
        <v>1.4313612086061479E-2</v>
      </c>
      <c r="W189" s="40">
        <f t="shared" si="67"/>
        <v>2.741650448124083E-2</v>
      </c>
      <c r="X189" s="40">
        <f t="shared" si="54"/>
        <v>1.3369037534503898</v>
      </c>
      <c r="Y189" s="40">
        <f t="shared" si="55"/>
        <v>1.7920961842498522</v>
      </c>
      <c r="Z189" s="40">
        <f t="shared" si="68"/>
        <v>4182.6533771193017</v>
      </c>
      <c r="AA189" s="40">
        <f t="shared" si="69"/>
        <v>3</v>
      </c>
      <c r="AB189" s="40">
        <f t="shared" si="70"/>
        <v>4000</v>
      </c>
      <c r="AC189" s="40">
        <f t="shared" si="56"/>
        <v>3.7136215373621937E-4</v>
      </c>
      <c r="AD189" s="40">
        <f t="shared" si="71"/>
        <v>0.13665515196533617</v>
      </c>
      <c r="AE189" s="34">
        <f t="shared" si="72"/>
        <v>-289.04544741265869</v>
      </c>
      <c r="AF189" s="34">
        <f t="shared" si="73"/>
        <v>-1.3369037534503898</v>
      </c>
      <c r="AG189" s="34">
        <f t="shared" si="57"/>
        <v>-1.7920961842498522</v>
      </c>
      <c r="AH189" s="34">
        <f>INDEX('Specification &amp; Data'!E$24:R$46,MATCH(Simulation!AA189,'Specification &amp; Data'!D$24:D$46,0),MATCH(Simulation!AB189,'Specification &amp; Data'!E$47:R$47,0))</f>
        <v>746.95257000000004</v>
      </c>
      <c r="AI189" s="34">
        <f t="shared" si="58"/>
        <v>-3.7136215373621937E-4</v>
      </c>
      <c r="AJ189" s="34">
        <f t="shared" si="50"/>
        <v>0.27738991513400418</v>
      </c>
      <c r="AK189" s="34">
        <f t="shared" si="74"/>
        <v>67.048059836762079</v>
      </c>
      <c r="AL189" s="34">
        <v>2.3289729133329802</v>
      </c>
    </row>
    <row r="190" spans="1:38" x14ac:dyDescent="0.25">
      <c r="C190" s="34">
        <f t="shared" si="59"/>
        <v>188</v>
      </c>
      <c r="D190" s="34">
        <v>13.8</v>
      </c>
      <c r="E190" s="34">
        <f t="shared" si="51"/>
        <v>22.208910386510141</v>
      </c>
      <c r="F190" s="34">
        <f t="shared" si="60"/>
        <v>6.1691417740305949</v>
      </c>
      <c r="G190" s="37">
        <f t="shared" si="61"/>
        <v>1514.3454898209163</v>
      </c>
      <c r="H190" s="34">
        <f t="shared" si="62"/>
        <v>6.5714771071195468</v>
      </c>
      <c r="I190" s="34">
        <f t="shared" si="63"/>
        <v>-0.80467066617790373</v>
      </c>
      <c r="J190" s="34">
        <f t="shared" si="64"/>
        <v>2</v>
      </c>
      <c r="K190" s="34">
        <v>0</v>
      </c>
      <c r="L190" s="34">
        <f>('Specification &amp; Data'!B$22*'Specification &amp; Data'!B$10*'Specification &amp; Data'!B$20*(Simulation!F190^2-'Specification &amp; Data'!B$21^2))/2</f>
        <v>15.554309914620223</v>
      </c>
      <c r="M190" s="34">
        <f t="shared" si="65"/>
        <v>-457.79759197363978</v>
      </c>
      <c r="N190" s="34">
        <f>'Specification &amp; Data'!B$24*'Specification &amp; Data'!B$18*8.91</f>
        <v>92.968722</v>
      </c>
      <c r="O190" s="34">
        <f t="shared" si="52"/>
        <v>-349.27456005901956</v>
      </c>
      <c r="P190" s="40">
        <f t="shared" si="53"/>
        <v>349.27456005901956</v>
      </c>
      <c r="Q190" s="34">
        <f>IF(J190=1,'Specification &amp; Data'!B$52,IF(Simulation!J190=2,'Specification &amp; Data'!B$53,IF(Simulation!J190=3,'Specification &amp; Data'!B$54)))</f>
        <v>568.92541410528543</v>
      </c>
      <c r="R190" s="34">
        <f>(0.5*'Specification &amp; Data'!B$18*Simulation!F190^2)/1000</f>
        <v>9.9277005145482491</v>
      </c>
      <c r="T190" s="40">
        <f>P190*'Specification &amp; Data'!B$14*0.9</f>
        <v>92.692094784893669</v>
      </c>
      <c r="U190" s="40">
        <f>T190/(IF(J190=1,'Specification &amp; Data'!H$7,IF(Simulation!J190=2,'Specification &amp; Data'!H$8,IF(Simulation!J190=3,'Specification &amp; Data'!H$9))))</f>
        <v>5.5610490257485568</v>
      </c>
      <c r="V190" s="40">
        <f t="shared" si="66"/>
        <v>1.4340266736911618E-2</v>
      </c>
      <c r="W190" s="40">
        <f t="shared" si="67"/>
        <v>2.8015039003203679E-2</v>
      </c>
      <c r="X190" s="40">
        <f t="shared" si="54"/>
        <v>2.1547242790662553</v>
      </c>
      <c r="Y190" s="40">
        <f t="shared" si="55"/>
        <v>2.8883703472738009</v>
      </c>
      <c r="Z190" s="40">
        <f t="shared" si="68"/>
        <v>3700.0395259132274</v>
      </c>
      <c r="AA190" s="40">
        <f t="shared" si="69"/>
        <v>6</v>
      </c>
      <c r="AB190" s="40">
        <f t="shared" si="70"/>
        <v>3500</v>
      </c>
      <c r="AC190" s="40">
        <f t="shared" si="56"/>
        <v>5.9853452196284866E-4</v>
      </c>
      <c r="AD190" s="40">
        <f t="shared" si="71"/>
        <v>0.13725368648729902</v>
      </c>
      <c r="AE190" s="34">
        <f t="shared" si="72"/>
        <v>-528.92235473456105</v>
      </c>
      <c r="AF190" s="34">
        <f t="shared" si="73"/>
        <v>-2.1547242790662553</v>
      </c>
      <c r="AG190" s="34">
        <f t="shared" si="57"/>
        <v>-2.8883703472738009</v>
      </c>
      <c r="AH190" s="34">
        <f>INDEX('Specification &amp; Data'!E$24:R$46,MATCH(Simulation!AA190,'Specification &amp; Data'!D$24:D$46,0),MATCH(Simulation!AB190,'Specification &amp; Data'!E$47:R$47,0))</f>
        <v>647.21126924999999</v>
      </c>
      <c r="AI190" s="34">
        <f t="shared" si="58"/>
        <v>-5.9853452196284866E-4</v>
      </c>
      <c r="AJ190" s="34">
        <f t="shared" si="50"/>
        <v>0.38737828764951726</v>
      </c>
      <c r="AK190" s="34">
        <f t="shared" si="74"/>
        <v>67.43543812441159</v>
      </c>
      <c r="AL190" s="34">
        <v>2.3289729133329802</v>
      </c>
    </row>
    <row r="191" spans="1:38" x14ac:dyDescent="0.25">
      <c r="C191" s="34">
        <f t="shared" si="59"/>
        <v>189</v>
      </c>
      <c r="D191" s="34">
        <v>12.4</v>
      </c>
      <c r="E191" s="34">
        <f t="shared" si="51"/>
        <v>19.955832521212013</v>
      </c>
      <c r="F191" s="34">
        <f t="shared" si="60"/>
        <v>5.5432868114477811</v>
      </c>
      <c r="G191" s="37">
        <f t="shared" si="61"/>
        <v>1520.2017041136555</v>
      </c>
      <c r="H191" s="34">
        <f t="shared" si="62"/>
        <v>5.856214292739188</v>
      </c>
      <c r="I191" s="34">
        <f t="shared" si="63"/>
        <v>-0.62585496258281381</v>
      </c>
      <c r="J191" s="34">
        <f t="shared" si="64"/>
        <v>2</v>
      </c>
      <c r="K191" s="34">
        <v>0</v>
      </c>
      <c r="L191" s="34">
        <f>('Specification &amp; Data'!B$22*'Specification &amp; Data'!B$10*'Specification &amp; Data'!B$20*(Simulation!F191^2-'Specification &amp; Data'!B$21^2))/2</f>
        <v>12.108154335222814</v>
      </c>
      <c r="M191" s="34">
        <f t="shared" si="65"/>
        <v>-356.06479375727525</v>
      </c>
      <c r="N191" s="34">
        <f>'Specification &amp; Data'!B$24*'Specification &amp; Data'!B$18*8.91</f>
        <v>92.968722</v>
      </c>
      <c r="O191" s="34">
        <f t="shared" si="52"/>
        <v>-250.98791742205242</v>
      </c>
      <c r="P191" s="40">
        <f t="shared" si="53"/>
        <v>250.98791742205242</v>
      </c>
      <c r="Q191" s="34">
        <f>IF(J191=1,'Specification &amp; Data'!B$52,IF(Simulation!J191=2,'Specification &amp; Data'!B$53,IF(Simulation!J191=3,'Specification &amp; Data'!B$54)))</f>
        <v>568.92541410528543</v>
      </c>
      <c r="R191" s="34">
        <f>(0.5*'Specification &amp; Data'!B$18*Simulation!F191^2)/1000</f>
        <v>8.0155599197486822</v>
      </c>
      <c r="T191" s="40">
        <f>P191*'Specification &amp; Data'!B$14*0.9</f>
        <v>66.608331931236989</v>
      </c>
      <c r="U191" s="40">
        <f>T191/(IF(J191=1,'Specification &amp; Data'!H$7,IF(Simulation!J191=2,'Specification &amp; Data'!H$8,IF(Simulation!J191=3,'Specification &amp; Data'!H$9))))</f>
        <v>3.996157388098097</v>
      </c>
      <c r="V191" s="40">
        <f t="shared" si="66"/>
        <v>1.4358910895866455E-2</v>
      </c>
      <c r="W191" s="40">
        <f t="shared" si="67"/>
        <v>2.8401510673336568E-2</v>
      </c>
      <c r="X191" s="40">
        <f t="shared" si="54"/>
        <v>1.391298012478408</v>
      </c>
      <c r="Y191" s="40">
        <f t="shared" si="55"/>
        <v>1.8650107405876784</v>
      </c>
      <c r="Z191" s="40">
        <f t="shared" si="68"/>
        <v>3324.6731971973941</v>
      </c>
      <c r="AA191" s="40">
        <f t="shared" si="69"/>
        <v>4</v>
      </c>
      <c r="AB191" s="40">
        <f t="shared" si="70"/>
        <v>3500</v>
      </c>
      <c r="AC191" s="40">
        <f t="shared" si="56"/>
        <v>3.8647167013289112E-4</v>
      </c>
      <c r="AD191" s="40">
        <f t="shared" si="71"/>
        <v>0.13764015815743191</v>
      </c>
      <c r="AE191" s="34">
        <f t="shared" si="72"/>
        <v>-381.55225977694158</v>
      </c>
      <c r="AF191" s="34">
        <f t="shared" si="73"/>
        <v>-1.391298012478408</v>
      </c>
      <c r="AG191" s="34">
        <f t="shared" si="57"/>
        <v>-1.8650107405876784</v>
      </c>
      <c r="AH191" s="34">
        <f>INDEX('Specification &amp; Data'!E$24:R$46,MATCH(Simulation!AA191,'Specification &amp; Data'!D$24:D$46,0),MATCH(Simulation!AB191,'Specification &amp; Data'!E$47:R$47,0))</f>
        <v>717.30149399999993</v>
      </c>
      <c r="AI191" s="34">
        <f t="shared" si="58"/>
        <v>-3.8647167013289112E-4</v>
      </c>
      <c r="AJ191" s="34">
        <f t="shared" si="50"/>
        <v>0.27721670637499796</v>
      </c>
      <c r="AK191" s="34">
        <f t="shared" si="74"/>
        <v>67.71265483078659</v>
      </c>
      <c r="AL191" s="34">
        <v>2.3289729133329802</v>
      </c>
    </row>
    <row r="192" spans="1:38" x14ac:dyDescent="0.25">
      <c r="C192" s="34">
        <f t="shared" si="59"/>
        <v>190</v>
      </c>
      <c r="D192" s="34">
        <v>11</v>
      </c>
      <c r="E192" s="34">
        <f t="shared" si="51"/>
        <v>17.702754655913882</v>
      </c>
      <c r="F192" s="34">
        <f t="shared" si="60"/>
        <v>4.9174318488649673</v>
      </c>
      <c r="G192" s="37">
        <f t="shared" si="61"/>
        <v>1525.4320634438118</v>
      </c>
      <c r="H192" s="34">
        <f t="shared" si="62"/>
        <v>5.2303593301563742</v>
      </c>
      <c r="I192" s="34">
        <f t="shared" si="63"/>
        <v>-0.62585496258281381</v>
      </c>
      <c r="J192" s="34">
        <f t="shared" si="64"/>
        <v>2</v>
      </c>
      <c r="K192" s="34">
        <v>0</v>
      </c>
      <c r="L192" s="34">
        <f>('Specification &amp; Data'!B$22*'Specification &amp; Data'!B$10*'Specification &amp; Data'!B$20*(Simulation!F192^2-'Specification &amp; Data'!B$21^2))/2</f>
        <v>9.0302901917915381</v>
      </c>
      <c r="M192" s="34">
        <f t="shared" si="65"/>
        <v>-356.06479375727525</v>
      </c>
      <c r="N192" s="34">
        <f>'Specification &amp; Data'!B$24*'Specification &amp; Data'!B$18*8.91</f>
        <v>92.968722</v>
      </c>
      <c r="O192" s="34">
        <f t="shared" si="52"/>
        <v>-254.06578156548369</v>
      </c>
      <c r="P192" s="40">
        <f t="shared" si="53"/>
        <v>254.06578156548369</v>
      </c>
      <c r="Q192" s="34">
        <f>IF(J192=1,'Specification &amp; Data'!B$52,IF(Simulation!J192=2,'Specification &amp; Data'!B$53,IF(Simulation!J192=3,'Specification &amp; Data'!B$54)))</f>
        <v>568.92541410528543</v>
      </c>
      <c r="R192" s="34">
        <f>(0.5*'Specification &amp; Data'!B$18*Simulation!F192^2)/1000</f>
        <v>6.3077702282101367</v>
      </c>
      <c r="T192" s="40">
        <f>P192*'Specification &amp; Data'!B$14*0.9</f>
        <v>67.425149723147598</v>
      </c>
      <c r="U192" s="40">
        <f>T192/(IF(J192=1,'Specification &amp; Data'!H$7,IF(Simulation!J192=2,'Specification &amp; Data'!H$8,IF(Simulation!J192=3,'Specification &amp; Data'!H$9))))</f>
        <v>4.0451622551955539</v>
      </c>
      <c r="V192" s="40">
        <f t="shared" si="66"/>
        <v>1.437124585047579E-2</v>
      </c>
      <c r="W192" s="40">
        <f t="shared" si="67"/>
        <v>2.87485526638857E-2</v>
      </c>
      <c r="X192" s="40">
        <f t="shared" si="54"/>
        <v>1.2493511659768795</v>
      </c>
      <c r="Y192" s="40">
        <f t="shared" si="55"/>
        <v>1.6747334664569429</v>
      </c>
      <c r="Z192" s="40">
        <f t="shared" si="68"/>
        <v>2949.3068684815594</v>
      </c>
      <c r="AA192" s="40">
        <f t="shared" si="69"/>
        <v>4</v>
      </c>
      <c r="AB192" s="40">
        <f t="shared" si="70"/>
        <v>3000</v>
      </c>
      <c r="AC192" s="40">
        <f t="shared" si="56"/>
        <v>3.470419905491332E-4</v>
      </c>
      <c r="AD192" s="40">
        <f t="shared" si="71"/>
        <v>0.13798720014798105</v>
      </c>
      <c r="AE192" s="34">
        <f t="shared" si="72"/>
        <v>-387.56008942390054</v>
      </c>
      <c r="AF192" s="34">
        <f t="shared" si="73"/>
        <v>-1.2493511659768795</v>
      </c>
      <c r="AG192" s="34">
        <f t="shared" si="57"/>
        <v>-1.6747334664569429</v>
      </c>
      <c r="AH192" s="34">
        <f>INDEX('Specification &amp; Data'!E$24:R$46,MATCH(Simulation!AA192,'Specification &amp; Data'!D$24:D$46,0),MATCH(Simulation!AB192,'Specification &amp; Data'!E$47:R$47,0))</f>
        <v>756.83180300000004</v>
      </c>
      <c r="AI192" s="34">
        <f t="shared" si="58"/>
        <v>-3.470419905491332E-4</v>
      </c>
      <c r="AJ192" s="34">
        <f t="shared" si="50"/>
        <v>0.26265241542400947</v>
      </c>
      <c r="AK192" s="34">
        <f t="shared" si="74"/>
        <v>67.975307246210605</v>
      </c>
      <c r="AL192" s="34">
        <v>2.3289729133329802</v>
      </c>
    </row>
    <row r="193" spans="2:38" x14ac:dyDescent="0.25">
      <c r="C193" s="34">
        <f t="shared" si="59"/>
        <v>191</v>
      </c>
      <c r="D193" s="34">
        <v>10</v>
      </c>
      <c r="E193" s="34">
        <f t="shared" si="51"/>
        <v>16.093413323558075</v>
      </c>
      <c r="F193" s="34">
        <f t="shared" si="60"/>
        <v>4.4703925898772425</v>
      </c>
      <c r="G193" s="37">
        <f t="shared" si="61"/>
        <v>1530.125975663183</v>
      </c>
      <c r="H193" s="34">
        <f t="shared" si="62"/>
        <v>4.6939122193711054</v>
      </c>
      <c r="I193" s="34">
        <f t="shared" si="63"/>
        <v>-0.4470392589877239</v>
      </c>
      <c r="J193" s="34">
        <f t="shared" si="64"/>
        <v>1</v>
      </c>
      <c r="K193" s="34">
        <v>0</v>
      </c>
      <c r="L193" s="34">
        <f>('Specification &amp; Data'!B$22*'Specification &amp; Data'!B$10*'Specification &amp; Data'!B$20*(Simulation!F193^2-'Specification &amp; Data'!B$21^2))/2</f>
        <v>7.0573003562586658</v>
      </c>
      <c r="M193" s="34">
        <f t="shared" si="65"/>
        <v>-257.13994680632152</v>
      </c>
      <c r="N193" s="34">
        <f>'Specification &amp; Data'!B$24*'Specification &amp; Data'!B$18*8.91</f>
        <v>92.968722</v>
      </c>
      <c r="O193" s="34">
        <f t="shared" si="52"/>
        <v>-157.11392445006283</v>
      </c>
      <c r="P193" s="40">
        <f t="shared" si="53"/>
        <v>157.11392445006283</v>
      </c>
      <c r="Q193" s="34">
        <f>IF(J193=1,'Specification &amp; Data'!B$52,IF(Simulation!J193=2,'Specification &amp; Data'!B$53,IF(Simulation!J193=3,'Specification &amp; Data'!B$54)))</f>
        <v>575.20663260893332</v>
      </c>
      <c r="R193" s="34">
        <f>(0.5*'Specification &amp; Data'!B$18*Simulation!F193^2)/1000</f>
        <v>5.2130332464546569</v>
      </c>
      <c r="T193" s="40">
        <f>P193*'Specification &amp; Data'!B$14*0.9</f>
        <v>41.695618411747439</v>
      </c>
      <c r="U193" s="40">
        <f>T193/(IF(J193=1,'Specification &amp; Data'!H$7,IF(Simulation!J193=2,'Specification &amp; Data'!H$8,IF(Simulation!J193=3,'Specification &amp; Data'!H$9))))</f>
        <v>1.8344499715478979</v>
      </c>
      <c r="V193" s="40">
        <f t="shared" si="66"/>
        <v>1.4380009434702778E-2</v>
      </c>
      <c r="W193" s="40">
        <f t="shared" si="67"/>
        <v>2.8943652920449061E-2</v>
      </c>
      <c r="X193" s="40">
        <f t="shared" si="54"/>
        <v>0.70236092362809377</v>
      </c>
      <c r="Y193" s="40">
        <f t="shared" si="55"/>
        <v>0.94150257858993813</v>
      </c>
      <c r="Z193" s="40">
        <f t="shared" si="68"/>
        <v>3656.165539439949</v>
      </c>
      <c r="AA193" s="40">
        <f t="shared" si="69"/>
        <v>2</v>
      </c>
      <c r="AB193" s="40">
        <f t="shared" si="70"/>
        <v>3500</v>
      </c>
      <c r="AC193" s="40">
        <f t="shared" si="56"/>
        <v>1.9510025656335937E-4</v>
      </c>
      <c r="AD193" s="40">
        <f t="shared" si="71"/>
        <v>0.13818230040454441</v>
      </c>
      <c r="AE193" s="34">
        <f t="shared" si="72"/>
        <v>-240.40409693942399</v>
      </c>
      <c r="AF193" s="34">
        <f t="shared" si="73"/>
        <v>-0.70236092362809377</v>
      </c>
      <c r="AG193" s="34">
        <f t="shared" si="57"/>
        <v>-0.94150257858993813</v>
      </c>
      <c r="AH193" s="34">
        <f>INDEX('Specification &amp; Data'!E$24:R$46,MATCH(Simulation!AA193,'Specification &amp; Data'!D$24:D$46,0),MATCH(Simulation!AB193,'Specification &amp; Data'!E$47:R$47,0))</f>
        <v>833.54953499999999</v>
      </c>
      <c r="AI193" s="34">
        <f t="shared" si="58"/>
        <v>-1.9510025656335937E-4</v>
      </c>
      <c r="AJ193" s="34">
        <f t="shared" si="50"/>
        <v>0.1626257281367689</v>
      </c>
      <c r="AK193" s="34">
        <f t="shared" si="74"/>
        <v>68.137932974347379</v>
      </c>
      <c r="AL193" s="34">
        <v>2.3289729133329802</v>
      </c>
    </row>
    <row r="194" spans="2:38" x14ac:dyDescent="0.25">
      <c r="C194" s="34">
        <f t="shared" si="59"/>
        <v>192</v>
      </c>
      <c r="D194" s="34">
        <v>9.8000000000000007</v>
      </c>
      <c r="E194" s="34">
        <f t="shared" si="51"/>
        <v>15.771545057086914</v>
      </c>
      <c r="F194" s="34">
        <f t="shared" si="60"/>
        <v>4.3809847380796985</v>
      </c>
      <c r="G194" s="37">
        <f t="shared" si="61"/>
        <v>1534.5516643271615</v>
      </c>
      <c r="H194" s="34">
        <f t="shared" si="62"/>
        <v>4.4256886639784705</v>
      </c>
      <c r="I194" s="34">
        <f t="shared" si="63"/>
        <v>-8.9407851797544069E-2</v>
      </c>
      <c r="J194" s="34">
        <f t="shared" si="64"/>
        <v>1</v>
      </c>
      <c r="K194" s="34">
        <v>0</v>
      </c>
      <c r="L194" s="34">
        <f>('Specification &amp; Data'!B$22*'Specification &amp; Data'!B$10*'Specification &amp; Data'!B$20*(Simulation!F194^2-'Specification &amp; Data'!B$21^2))/2</f>
        <v>6.6852508444153269</v>
      </c>
      <c r="M194" s="34">
        <f t="shared" si="65"/>
        <v>-51.42798936126389</v>
      </c>
      <c r="N194" s="34">
        <f>'Specification &amp; Data'!B$24*'Specification &amp; Data'!B$18*8.91</f>
        <v>92.968722</v>
      </c>
      <c r="O194" s="34">
        <f t="shared" si="52"/>
        <v>48.225983483151438</v>
      </c>
      <c r="P194" s="40">
        <f t="shared" si="53"/>
        <v>48.225983483151438</v>
      </c>
      <c r="Q194" s="34">
        <f>IF(J194=1,'Specification &amp; Data'!B$52,IF(Simulation!J194=2,'Specification &amp; Data'!B$53,IF(Simulation!J194=3,'Specification &amp; Data'!B$54)))</f>
        <v>575.20663260893332</v>
      </c>
      <c r="R194" s="34">
        <f>(0.5*'Specification &amp; Data'!B$18*Simulation!F194^2)/1000</f>
        <v>5.006597129895054</v>
      </c>
      <c r="T194" s="40">
        <f>P194*'Specification &amp; Data'!B$14*0.9</f>
        <v>12.798434078220959</v>
      </c>
      <c r="U194" s="40">
        <f>T194/(IF(J194=1,'Specification &amp; Data'!H$7,IF(Simulation!J194=2,'Specification &amp; Data'!H$8,IF(Simulation!J194=3,'Specification &amp; Data'!H$9))))</f>
        <v>0.56308283519870528</v>
      </c>
      <c r="V194" s="40">
        <f t="shared" si="66"/>
        <v>1.4388144985236006E-2</v>
      </c>
      <c r="W194" s="40">
        <f t="shared" si="67"/>
        <v>2.9002341058676443E-2</v>
      </c>
      <c r="X194" s="40">
        <f t="shared" si="54"/>
        <v>0.21127729761857006</v>
      </c>
      <c r="Y194" s="40">
        <f t="shared" si="55"/>
        <v>0.2832135356817293</v>
      </c>
      <c r="Z194" s="40">
        <f t="shared" si="68"/>
        <v>3583.0422286511498</v>
      </c>
      <c r="AA194" s="40">
        <f t="shared" si="69"/>
        <v>1</v>
      </c>
      <c r="AB194" s="40">
        <f t="shared" si="70"/>
        <v>3500</v>
      </c>
      <c r="AC194" s="40">
        <f t="shared" si="56"/>
        <v>5.8688138227380569E-5</v>
      </c>
      <c r="AD194" s="40">
        <f t="shared" si="71"/>
        <v>0.13824098854277178</v>
      </c>
      <c r="AE194" s="34">
        <f t="shared" si="72"/>
        <v>74.005263217884234</v>
      </c>
      <c r="AF194" s="34">
        <f t="shared" si="73"/>
        <v>0.21127729761857006</v>
      </c>
      <c r="AG194" s="34">
        <f t="shared" si="57"/>
        <v>0.2832135356817293</v>
      </c>
      <c r="AH194" s="34">
        <f>INDEX('Specification &amp; Data'!E$24:R$46,MATCH(Simulation!AA194,'Specification &amp; Data'!D$24:D$46,0),MATCH(Simulation!AB194,'Specification &amp; Data'!E$47:R$47,0))</f>
        <v>951.79202299999974</v>
      </c>
      <c r="AI194" s="34">
        <f t="shared" si="58"/>
        <v>5.8688138227380569E-5</v>
      </c>
      <c r="AJ194" s="34">
        <f t="shared" ref="AJ194:AJ257" si="75">AC194*AH194</f>
        <v>5.5858901809542172E-2</v>
      </c>
      <c r="AK194" s="34">
        <f t="shared" si="74"/>
        <v>68.193791876156922</v>
      </c>
      <c r="AL194" s="34">
        <v>2.3289729133329802</v>
      </c>
    </row>
    <row r="195" spans="2:38" x14ac:dyDescent="0.25">
      <c r="C195" s="34">
        <f t="shared" si="59"/>
        <v>193</v>
      </c>
      <c r="D195" s="34">
        <v>8.5</v>
      </c>
      <c r="E195" s="34">
        <f t="shared" ref="E195:E258" si="76">F195*3.6</f>
        <v>13.679401325024363</v>
      </c>
      <c r="F195" s="34">
        <f t="shared" si="60"/>
        <v>3.7998337013956562</v>
      </c>
      <c r="G195" s="37">
        <f t="shared" si="61"/>
        <v>1538.6420735468992</v>
      </c>
      <c r="H195" s="34">
        <f t="shared" si="62"/>
        <v>4.0904092197376771</v>
      </c>
      <c r="I195" s="34">
        <f t="shared" si="63"/>
        <v>-0.58115103668404267</v>
      </c>
      <c r="J195" s="34">
        <f t="shared" si="64"/>
        <v>1</v>
      </c>
      <c r="K195" s="34">
        <v>0</v>
      </c>
      <c r="L195" s="34">
        <f>('Specification &amp; Data'!B$22*'Specification &amp; Data'!B$10*'Specification &amp; Data'!B$20*(Simulation!F195^2-'Specification &amp; Data'!B$21^2))/2</f>
        <v>4.4501352164473733</v>
      </c>
      <c r="M195" s="34">
        <f t="shared" si="65"/>
        <v>-334.28193084821885</v>
      </c>
      <c r="N195" s="34">
        <f>'Specification &amp; Data'!B$24*'Specification &amp; Data'!B$18*8.91</f>
        <v>92.968722</v>
      </c>
      <c r="O195" s="34">
        <f t="shared" ref="O195:O258" si="77">K195+L195+M195+N195</f>
        <v>-236.86307363177144</v>
      </c>
      <c r="P195" s="40">
        <f t="shared" ref="P195:P258" si="78">IF(O195&gt;=0,O195,IF(O195&lt;0,-O195))</f>
        <v>236.86307363177144</v>
      </c>
      <c r="Q195" s="34">
        <f>IF(J195=1,'Specification &amp; Data'!B$52,IF(Simulation!J195=2,'Specification &amp; Data'!B$53,IF(Simulation!J195=3,'Specification &amp; Data'!B$54)))</f>
        <v>575.20663260893332</v>
      </c>
      <c r="R195" s="34">
        <f>(0.5*'Specification &amp; Data'!B$18*Simulation!F195^2)/1000</f>
        <v>3.7664165205634901</v>
      </c>
      <c r="T195" s="40">
        <f>P195*'Specification &amp; Data'!B$14*0.9</f>
        <v>62.859815694585507</v>
      </c>
      <c r="U195" s="40">
        <f>T195/(IF(J195=1,'Specification &amp; Data'!H$7,IF(Simulation!J195=2,'Specification &amp; Data'!H$8,IF(Simulation!J195=3,'Specification &amp; Data'!H$9))))</f>
        <v>2.7655948395755137</v>
      </c>
      <c r="V195" s="40">
        <f t="shared" si="66"/>
        <v>1.4392842144616901E-2</v>
      </c>
      <c r="W195" s="40">
        <f t="shared" si="67"/>
        <v>2.9252352250288157E-2</v>
      </c>
      <c r="X195" s="40">
        <f t="shared" ref="X195:X258" si="79">(P195*F195)/1000</f>
        <v>0.90004028980216599</v>
      </c>
      <c r="Y195" s="40">
        <f t="shared" ref="Y195:Y258" si="80">X195*1000/(746)</f>
        <v>1.2064883241315898</v>
      </c>
      <c r="Z195" s="40">
        <f t="shared" si="68"/>
        <v>3107.7407085239561</v>
      </c>
      <c r="AA195" s="40">
        <f t="shared" si="69"/>
        <v>3</v>
      </c>
      <c r="AB195" s="40">
        <f t="shared" si="70"/>
        <v>3000</v>
      </c>
      <c r="AC195" s="40">
        <f t="shared" ref="AC195:AC258" si="81">X195/3600</f>
        <v>2.5001119161171279E-4</v>
      </c>
      <c r="AD195" s="40">
        <f t="shared" si="71"/>
        <v>0.1384909997343835</v>
      </c>
      <c r="AE195" s="34">
        <f t="shared" si="72"/>
        <v>-364.44749075948067</v>
      </c>
      <c r="AF195" s="34">
        <f t="shared" si="73"/>
        <v>-0.90004028980216599</v>
      </c>
      <c r="AG195" s="34">
        <f t="shared" ref="AG195:AG258" si="82">AF195*1000/(746)</f>
        <v>-1.2064883241315898</v>
      </c>
      <c r="AH195" s="34">
        <f>INDEX('Specification &amp; Data'!E$24:R$46,MATCH(Simulation!AA195,'Specification &amp; Data'!D$24:D$46,0),MATCH(Simulation!AB195,'Specification &amp; Data'!E$47:R$47,0))</f>
        <v>806.02508350000016</v>
      </c>
      <c r="AI195" s="34">
        <f t="shared" ref="AI195:AI258" si="83">AF195/3600</f>
        <v>-2.5001119161171279E-4</v>
      </c>
      <c r="AJ195" s="34">
        <f t="shared" si="75"/>
        <v>0.20151529159476533</v>
      </c>
      <c r="AK195" s="34">
        <f t="shared" si="74"/>
        <v>68.395307167751682</v>
      </c>
      <c r="AL195" s="34">
        <v>2.3289729133329802</v>
      </c>
    </row>
    <row r="196" spans="2:38" x14ac:dyDescent="0.25">
      <c r="B196" s="36" t="s">
        <v>136</v>
      </c>
      <c r="C196" s="34">
        <f t="shared" ref="C196:C259" si="84">C195+1</f>
        <v>194</v>
      </c>
      <c r="D196" s="34">
        <v>8.5</v>
      </c>
      <c r="E196" s="34">
        <f t="shared" si="76"/>
        <v>13.679401325024363</v>
      </c>
      <c r="F196" s="34">
        <f t="shared" ref="F196:F259" si="85">D196/2.23694</f>
        <v>3.7998337013956562</v>
      </c>
      <c r="G196" s="37">
        <f t="shared" ref="G196:G259" si="86">G195+((F196+F195)/2)</f>
        <v>1542.4419072482949</v>
      </c>
      <c r="H196" s="34">
        <f t="shared" ref="H196:H259" si="87">(F196+F195)/2</f>
        <v>3.7998337013956562</v>
      </c>
      <c r="I196" s="34">
        <f t="shared" ref="I196:I259" si="88">(H196-F195)*2</f>
        <v>0</v>
      </c>
      <c r="J196" s="34">
        <f t="shared" ref="J196:J259" si="89">IF(D196&lt;=10,1,IF(AND(D196&gt;10,D196&lt;=20),2,IF(D196&gt;20,3)))</f>
        <v>1</v>
      </c>
      <c r="K196" s="34">
        <v>0</v>
      </c>
      <c r="L196" s="34">
        <f>('Specification &amp; Data'!B$22*'Specification &amp; Data'!B$10*'Specification &amp; Data'!B$20*(Simulation!F196^2-'Specification &amp; Data'!B$21^2))/2</f>
        <v>4.4501352164473733</v>
      </c>
      <c r="M196" s="34">
        <f t="shared" ref="M196:M259" si="90">Q196*I196</f>
        <v>0</v>
      </c>
      <c r="N196" s="34">
        <f>'Specification &amp; Data'!B$24*'Specification &amp; Data'!B$18*8.91</f>
        <v>92.968722</v>
      </c>
      <c r="O196" s="34">
        <f t="shared" si="77"/>
        <v>97.418857216447378</v>
      </c>
      <c r="P196" s="40">
        <f t="shared" si="78"/>
        <v>97.418857216447378</v>
      </c>
      <c r="Q196" s="34">
        <f>IF(J196=1,'Specification &amp; Data'!B$52,IF(Simulation!J196=2,'Specification &amp; Data'!B$53,IF(Simulation!J196=3,'Specification &amp; Data'!B$54)))</f>
        <v>575.20663260893332</v>
      </c>
      <c r="R196" s="34">
        <f>(0.5*'Specification &amp; Data'!B$18*Simulation!F196^2)/1000</f>
        <v>3.7664165205634901</v>
      </c>
      <c r="T196" s="40">
        <f>P196*'Specification &amp; Data'!B$14*0.9</f>
        <v>25.853465953595649</v>
      </c>
      <c r="U196" s="40">
        <f>T196/(IF(J196=1,'Specification &amp; Data'!H$7,IF(Simulation!J196=2,'Specification &amp; Data'!H$8,IF(Simulation!J196=3,'Specification &amp; Data'!H$9))))</f>
        <v>1.1374550058148531</v>
      </c>
      <c r="V196" s="40">
        <f t="shared" ref="V196:V259" si="91">V195+(L196*F196/(1000*3600))</f>
        <v>1.4397539303997797E-2</v>
      </c>
      <c r="W196" s="40">
        <f t="shared" ref="W196:W259" si="92">W195+(IF(I196&lt;0,AC196,0))</f>
        <v>2.9252352250288157E-2</v>
      </c>
      <c r="X196" s="40">
        <f t="shared" si="79"/>
        <v>0.37017545680250818</v>
      </c>
      <c r="Y196" s="40">
        <f t="shared" si="80"/>
        <v>0.49621374906502436</v>
      </c>
      <c r="Z196" s="40">
        <f t="shared" ref="Z196:Z259" si="93">(60*1000*X196)/(2*PI()*U196)</f>
        <v>3107.7407085239565</v>
      </c>
      <c r="AA196" s="40">
        <f t="shared" ref="AA196:AA259" si="94">ROUND(U196,0)</f>
        <v>1</v>
      </c>
      <c r="AB196" s="40">
        <f t="shared" ref="AB196:AB259" si="95">MROUND(Z196,500)</f>
        <v>3000</v>
      </c>
      <c r="AC196" s="40">
        <f t="shared" si="81"/>
        <v>1.0282651577847449E-4</v>
      </c>
      <c r="AD196" s="40">
        <f t="shared" ref="AD196:AD259" si="96">AD195+AC196</f>
        <v>0.13859382625016198</v>
      </c>
      <c r="AE196" s="34">
        <f t="shared" ref="AE196:AE259" si="97">(O196*G196)/1000</f>
        <v>150.26292792688642</v>
      </c>
      <c r="AF196" s="34">
        <f t="shared" ref="AF196:AF259" si="98">(O196*F196)/1000</f>
        <v>0.37017545680250818</v>
      </c>
      <c r="AG196" s="34">
        <f t="shared" si="82"/>
        <v>0.49621374906502436</v>
      </c>
      <c r="AH196" s="34">
        <f>INDEX('Specification &amp; Data'!E$24:R$46,MATCH(Simulation!AA196,'Specification &amp; Data'!D$24:D$46,0),MATCH(Simulation!AB196,'Specification &amp; Data'!E$47:R$47,0))</f>
        <v>966.15913333333356</v>
      </c>
      <c r="AI196" s="34">
        <f t="shared" si="83"/>
        <v>1.0282651577847449E-4</v>
      </c>
      <c r="AJ196" s="34">
        <f t="shared" si="75"/>
        <v>9.9346777368217259E-2</v>
      </c>
      <c r="AK196" s="34">
        <f t="shared" ref="AK196:AK259" si="99">AK195+AJ196</f>
        <v>68.494653945119893</v>
      </c>
      <c r="AL196" s="34">
        <v>2.3289729133329802</v>
      </c>
    </row>
    <row r="197" spans="2:38" x14ac:dyDescent="0.25">
      <c r="C197" s="34">
        <f t="shared" si="84"/>
        <v>195</v>
      </c>
      <c r="D197" s="34">
        <v>8.5</v>
      </c>
      <c r="E197" s="34">
        <f t="shared" si="76"/>
        <v>13.679401325024363</v>
      </c>
      <c r="F197" s="34">
        <f t="shared" si="85"/>
        <v>3.7998337013956562</v>
      </c>
      <c r="G197" s="37">
        <f t="shared" si="86"/>
        <v>1546.2417409496907</v>
      </c>
      <c r="H197" s="34">
        <f t="shared" si="87"/>
        <v>3.7998337013956562</v>
      </c>
      <c r="I197" s="34">
        <f t="shared" si="88"/>
        <v>0</v>
      </c>
      <c r="J197" s="34">
        <f t="shared" si="89"/>
        <v>1</v>
      </c>
      <c r="K197" s="34">
        <v>0</v>
      </c>
      <c r="L197" s="34">
        <f>('Specification &amp; Data'!B$22*'Specification &amp; Data'!B$10*'Specification &amp; Data'!B$20*(Simulation!F197^2-'Specification &amp; Data'!B$21^2))/2</f>
        <v>4.4501352164473733</v>
      </c>
      <c r="M197" s="34">
        <f t="shared" si="90"/>
        <v>0</v>
      </c>
      <c r="N197" s="34">
        <f>'Specification &amp; Data'!B$24*'Specification &amp; Data'!B$18*8.91</f>
        <v>92.968722</v>
      </c>
      <c r="O197" s="34">
        <f t="shared" si="77"/>
        <v>97.418857216447378</v>
      </c>
      <c r="P197" s="40">
        <f t="shared" si="78"/>
        <v>97.418857216447378</v>
      </c>
      <c r="Q197" s="34">
        <f>IF(J197=1,'Specification &amp; Data'!B$52,IF(Simulation!J197=2,'Specification &amp; Data'!B$53,IF(Simulation!J197=3,'Specification &amp; Data'!B$54)))</f>
        <v>575.20663260893332</v>
      </c>
      <c r="R197" s="34">
        <f>(0.5*'Specification &amp; Data'!B$18*Simulation!F197^2)/1000</f>
        <v>3.7664165205634901</v>
      </c>
      <c r="T197" s="40">
        <f>P197*'Specification &amp; Data'!B$14*0.9</f>
        <v>25.853465953595649</v>
      </c>
      <c r="U197" s="40">
        <f>T197/(IF(J197=1,'Specification &amp; Data'!H$7,IF(Simulation!J197=2,'Specification &amp; Data'!H$8,IF(Simulation!J197=3,'Specification &amp; Data'!H$9))))</f>
        <v>1.1374550058148531</v>
      </c>
      <c r="V197" s="40">
        <f t="shared" si="91"/>
        <v>1.4402236463378692E-2</v>
      </c>
      <c r="W197" s="40">
        <f t="shared" si="92"/>
        <v>2.9252352250288157E-2</v>
      </c>
      <c r="X197" s="40">
        <f t="shared" si="79"/>
        <v>0.37017545680250818</v>
      </c>
      <c r="Y197" s="40">
        <f t="shared" si="80"/>
        <v>0.49621374906502436</v>
      </c>
      <c r="Z197" s="40">
        <f t="shared" si="93"/>
        <v>3107.7407085239565</v>
      </c>
      <c r="AA197" s="40">
        <f t="shared" si="94"/>
        <v>1</v>
      </c>
      <c r="AB197" s="40">
        <f t="shared" si="95"/>
        <v>3000</v>
      </c>
      <c r="AC197" s="40">
        <f t="shared" si="81"/>
        <v>1.0282651577847449E-4</v>
      </c>
      <c r="AD197" s="40">
        <f t="shared" si="96"/>
        <v>0.13869665276594045</v>
      </c>
      <c r="AE197" s="34">
        <f t="shared" si="97"/>
        <v>150.63310338368893</v>
      </c>
      <c r="AF197" s="34">
        <f t="shared" si="98"/>
        <v>0.37017545680250818</v>
      </c>
      <c r="AG197" s="34">
        <f t="shared" si="82"/>
        <v>0.49621374906502436</v>
      </c>
      <c r="AH197" s="34">
        <f>INDEX('Specification &amp; Data'!E$24:R$46,MATCH(Simulation!AA197,'Specification &amp; Data'!D$24:D$46,0),MATCH(Simulation!AB197,'Specification &amp; Data'!E$47:R$47,0))</f>
        <v>966.15913333333356</v>
      </c>
      <c r="AI197" s="34">
        <f t="shared" si="83"/>
        <v>1.0282651577847449E-4</v>
      </c>
      <c r="AJ197" s="34">
        <f t="shared" si="75"/>
        <v>9.9346777368217259E-2</v>
      </c>
      <c r="AK197" s="34">
        <f t="shared" si="99"/>
        <v>68.594000722488104</v>
      </c>
      <c r="AL197" s="34">
        <v>2.3289729133329802</v>
      </c>
    </row>
    <row r="198" spans="2:38" x14ac:dyDescent="0.25">
      <c r="C198" s="34">
        <f t="shared" si="84"/>
        <v>196</v>
      </c>
      <c r="D198" s="34">
        <v>8.5</v>
      </c>
      <c r="E198" s="34">
        <f t="shared" si="76"/>
        <v>13.679401325024363</v>
      </c>
      <c r="F198" s="34">
        <f t="shared" si="85"/>
        <v>3.7998337013956562</v>
      </c>
      <c r="G198" s="37">
        <f t="shared" si="86"/>
        <v>1550.0415746510864</v>
      </c>
      <c r="H198" s="34">
        <f t="shared" si="87"/>
        <v>3.7998337013956562</v>
      </c>
      <c r="I198" s="34">
        <f t="shared" si="88"/>
        <v>0</v>
      </c>
      <c r="J198" s="34">
        <f t="shared" si="89"/>
        <v>1</v>
      </c>
      <c r="K198" s="34">
        <v>0</v>
      </c>
      <c r="L198" s="34">
        <f>('Specification &amp; Data'!B$22*'Specification &amp; Data'!B$10*'Specification &amp; Data'!B$20*(Simulation!F198^2-'Specification &amp; Data'!B$21^2))/2</f>
        <v>4.4501352164473733</v>
      </c>
      <c r="M198" s="34">
        <f t="shared" si="90"/>
        <v>0</v>
      </c>
      <c r="N198" s="34">
        <f>'Specification &amp; Data'!B$24*'Specification &amp; Data'!B$18*8.91</f>
        <v>92.968722</v>
      </c>
      <c r="O198" s="34">
        <f t="shared" si="77"/>
        <v>97.418857216447378</v>
      </c>
      <c r="P198" s="40">
        <f t="shared" si="78"/>
        <v>97.418857216447378</v>
      </c>
      <c r="Q198" s="34">
        <f>IF(J198=1,'Specification &amp; Data'!B$52,IF(Simulation!J198=2,'Specification &amp; Data'!B$53,IF(Simulation!J198=3,'Specification &amp; Data'!B$54)))</f>
        <v>575.20663260893332</v>
      </c>
      <c r="R198" s="34">
        <f>(0.5*'Specification &amp; Data'!B$18*Simulation!F198^2)/1000</f>
        <v>3.7664165205634901</v>
      </c>
      <c r="T198" s="40">
        <f>P198*'Specification &amp; Data'!B$14*0.9</f>
        <v>25.853465953595649</v>
      </c>
      <c r="U198" s="40">
        <f>T198/(IF(J198=1,'Specification &amp; Data'!H$7,IF(Simulation!J198=2,'Specification &amp; Data'!H$8,IF(Simulation!J198=3,'Specification &amp; Data'!H$9))))</f>
        <v>1.1374550058148531</v>
      </c>
      <c r="V198" s="40">
        <f t="shared" si="91"/>
        <v>1.4406933622759587E-2</v>
      </c>
      <c r="W198" s="40">
        <f t="shared" si="92"/>
        <v>2.9252352250288157E-2</v>
      </c>
      <c r="X198" s="40">
        <f t="shared" si="79"/>
        <v>0.37017545680250818</v>
      </c>
      <c r="Y198" s="40">
        <f t="shared" si="80"/>
        <v>0.49621374906502436</v>
      </c>
      <c r="Z198" s="40">
        <f t="shared" si="93"/>
        <v>3107.7407085239565</v>
      </c>
      <c r="AA198" s="40">
        <f t="shared" si="94"/>
        <v>1</v>
      </c>
      <c r="AB198" s="40">
        <f t="shared" si="95"/>
        <v>3000</v>
      </c>
      <c r="AC198" s="40">
        <f t="shared" si="81"/>
        <v>1.0282651577847449E-4</v>
      </c>
      <c r="AD198" s="40">
        <f t="shared" si="96"/>
        <v>0.13879947928171893</v>
      </c>
      <c r="AE198" s="34">
        <f t="shared" si="97"/>
        <v>151.00327884049145</v>
      </c>
      <c r="AF198" s="34">
        <f t="shared" si="98"/>
        <v>0.37017545680250818</v>
      </c>
      <c r="AG198" s="34">
        <f t="shared" si="82"/>
        <v>0.49621374906502436</v>
      </c>
      <c r="AH198" s="34">
        <f>INDEX('Specification &amp; Data'!E$24:R$46,MATCH(Simulation!AA198,'Specification &amp; Data'!D$24:D$46,0),MATCH(Simulation!AB198,'Specification &amp; Data'!E$47:R$47,0))</f>
        <v>966.15913333333356</v>
      </c>
      <c r="AI198" s="34">
        <f t="shared" si="83"/>
        <v>1.0282651577847449E-4</v>
      </c>
      <c r="AJ198" s="34">
        <f t="shared" si="75"/>
        <v>9.9346777368217259E-2</v>
      </c>
      <c r="AK198" s="34">
        <f t="shared" si="99"/>
        <v>68.693347499856316</v>
      </c>
      <c r="AL198" s="34">
        <v>2.3289729133329802</v>
      </c>
    </row>
    <row r="199" spans="2:38" x14ac:dyDescent="0.25">
      <c r="C199" s="34">
        <f t="shared" si="84"/>
        <v>197</v>
      </c>
      <c r="D199" s="34">
        <v>8.5</v>
      </c>
      <c r="E199" s="34">
        <f t="shared" si="76"/>
        <v>13.679401325024363</v>
      </c>
      <c r="F199" s="34">
        <f t="shared" si="85"/>
        <v>3.7998337013956562</v>
      </c>
      <c r="G199" s="37">
        <f t="shared" si="86"/>
        <v>1553.8414083524822</v>
      </c>
      <c r="H199" s="34">
        <f t="shared" si="87"/>
        <v>3.7998337013956562</v>
      </c>
      <c r="I199" s="34">
        <f t="shared" si="88"/>
        <v>0</v>
      </c>
      <c r="J199" s="34">
        <f t="shared" si="89"/>
        <v>1</v>
      </c>
      <c r="K199" s="34">
        <v>0</v>
      </c>
      <c r="L199" s="34">
        <f>('Specification &amp; Data'!B$22*'Specification &amp; Data'!B$10*'Specification &amp; Data'!B$20*(Simulation!F199^2-'Specification &amp; Data'!B$21^2))/2</f>
        <v>4.4501352164473733</v>
      </c>
      <c r="M199" s="34">
        <f t="shared" si="90"/>
        <v>0</v>
      </c>
      <c r="N199" s="34">
        <f>'Specification &amp; Data'!B$24*'Specification &amp; Data'!B$18*8.91</f>
        <v>92.968722</v>
      </c>
      <c r="O199" s="34">
        <f t="shared" si="77"/>
        <v>97.418857216447378</v>
      </c>
      <c r="P199" s="40">
        <f t="shared" si="78"/>
        <v>97.418857216447378</v>
      </c>
      <c r="Q199" s="34">
        <f>IF(J199=1,'Specification &amp; Data'!B$52,IF(Simulation!J199=2,'Specification &amp; Data'!B$53,IF(Simulation!J199=3,'Specification &amp; Data'!B$54)))</f>
        <v>575.20663260893332</v>
      </c>
      <c r="R199" s="34">
        <f>(0.5*'Specification &amp; Data'!B$18*Simulation!F199^2)/1000</f>
        <v>3.7664165205634901</v>
      </c>
      <c r="T199" s="40">
        <f>P199*'Specification &amp; Data'!B$14*0.9</f>
        <v>25.853465953595649</v>
      </c>
      <c r="U199" s="40">
        <f>T199/(IF(J199=1,'Specification &amp; Data'!H$7,IF(Simulation!J199=2,'Specification &amp; Data'!H$8,IF(Simulation!J199=3,'Specification &amp; Data'!H$9))))</f>
        <v>1.1374550058148531</v>
      </c>
      <c r="V199" s="40">
        <f t="shared" si="91"/>
        <v>1.4411630782140483E-2</v>
      </c>
      <c r="W199" s="40">
        <f t="shared" si="92"/>
        <v>2.9252352250288157E-2</v>
      </c>
      <c r="X199" s="40">
        <f t="shared" si="79"/>
        <v>0.37017545680250818</v>
      </c>
      <c r="Y199" s="40">
        <f t="shared" si="80"/>
        <v>0.49621374906502436</v>
      </c>
      <c r="Z199" s="40">
        <f t="shared" si="93"/>
        <v>3107.7407085239565</v>
      </c>
      <c r="AA199" s="40">
        <f t="shared" si="94"/>
        <v>1</v>
      </c>
      <c r="AB199" s="40">
        <f t="shared" si="95"/>
        <v>3000</v>
      </c>
      <c r="AC199" s="40">
        <f t="shared" si="81"/>
        <v>1.0282651577847449E-4</v>
      </c>
      <c r="AD199" s="40">
        <f t="shared" si="96"/>
        <v>0.13890230579749741</v>
      </c>
      <c r="AE199" s="34">
        <f t="shared" si="97"/>
        <v>151.37345429729396</v>
      </c>
      <c r="AF199" s="34">
        <f t="shared" si="98"/>
        <v>0.37017545680250818</v>
      </c>
      <c r="AG199" s="34">
        <f t="shared" si="82"/>
        <v>0.49621374906502436</v>
      </c>
      <c r="AH199" s="34">
        <f>INDEX('Specification &amp; Data'!E$24:R$46,MATCH(Simulation!AA199,'Specification &amp; Data'!D$24:D$46,0),MATCH(Simulation!AB199,'Specification &amp; Data'!E$47:R$47,0))</f>
        <v>966.15913333333356</v>
      </c>
      <c r="AI199" s="34">
        <f t="shared" si="83"/>
        <v>1.0282651577847449E-4</v>
      </c>
      <c r="AJ199" s="34">
        <f t="shared" si="75"/>
        <v>9.9346777368217259E-2</v>
      </c>
      <c r="AK199" s="34">
        <f t="shared" si="99"/>
        <v>68.792694277224527</v>
      </c>
      <c r="AL199" s="34">
        <v>2.3289729133329802</v>
      </c>
    </row>
    <row r="200" spans="2:38" x14ac:dyDescent="0.25">
      <c r="C200" s="34">
        <f t="shared" si="84"/>
        <v>198</v>
      </c>
      <c r="D200" s="34">
        <v>8.5</v>
      </c>
      <c r="E200" s="34">
        <f t="shared" si="76"/>
        <v>13.679401325024363</v>
      </c>
      <c r="F200" s="34">
        <f t="shared" si="85"/>
        <v>3.7998337013956562</v>
      </c>
      <c r="G200" s="37">
        <f t="shared" si="86"/>
        <v>1557.6412420538779</v>
      </c>
      <c r="H200" s="34">
        <f t="shared" si="87"/>
        <v>3.7998337013956562</v>
      </c>
      <c r="I200" s="34">
        <f t="shared" si="88"/>
        <v>0</v>
      </c>
      <c r="J200" s="34">
        <f t="shared" si="89"/>
        <v>1</v>
      </c>
      <c r="K200" s="34">
        <v>0</v>
      </c>
      <c r="L200" s="34">
        <f>('Specification &amp; Data'!B$22*'Specification &amp; Data'!B$10*'Specification &amp; Data'!B$20*(Simulation!F200^2-'Specification &amp; Data'!B$21^2))/2</f>
        <v>4.4501352164473733</v>
      </c>
      <c r="M200" s="34">
        <f t="shared" si="90"/>
        <v>0</v>
      </c>
      <c r="N200" s="34">
        <f>'Specification &amp; Data'!B$24*'Specification &amp; Data'!B$18*8.91</f>
        <v>92.968722</v>
      </c>
      <c r="O200" s="34">
        <f t="shared" si="77"/>
        <v>97.418857216447378</v>
      </c>
      <c r="P200" s="40">
        <f t="shared" si="78"/>
        <v>97.418857216447378</v>
      </c>
      <c r="Q200" s="34">
        <f>IF(J200=1,'Specification &amp; Data'!B$52,IF(Simulation!J200=2,'Specification &amp; Data'!B$53,IF(Simulation!J200=3,'Specification &amp; Data'!B$54)))</f>
        <v>575.20663260893332</v>
      </c>
      <c r="R200" s="34">
        <f>(0.5*'Specification &amp; Data'!B$18*Simulation!F200^2)/1000</f>
        <v>3.7664165205634901</v>
      </c>
      <c r="T200" s="40">
        <f>P200*'Specification &amp; Data'!B$14*0.9</f>
        <v>25.853465953595649</v>
      </c>
      <c r="U200" s="40">
        <f>T200/(IF(J200=1,'Specification &amp; Data'!H$7,IF(Simulation!J200=2,'Specification &amp; Data'!H$8,IF(Simulation!J200=3,'Specification &amp; Data'!H$9))))</f>
        <v>1.1374550058148531</v>
      </c>
      <c r="V200" s="40">
        <f t="shared" si="91"/>
        <v>1.4416327941521378E-2</v>
      </c>
      <c r="W200" s="40">
        <f t="shared" si="92"/>
        <v>2.9252352250288157E-2</v>
      </c>
      <c r="X200" s="40">
        <f t="shared" si="79"/>
        <v>0.37017545680250818</v>
      </c>
      <c r="Y200" s="40">
        <f t="shared" si="80"/>
        <v>0.49621374906502436</v>
      </c>
      <c r="Z200" s="40">
        <f t="shared" si="93"/>
        <v>3107.7407085239565</v>
      </c>
      <c r="AA200" s="40">
        <f t="shared" si="94"/>
        <v>1</v>
      </c>
      <c r="AB200" s="40">
        <f t="shared" si="95"/>
        <v>3000</v>
      </c>
      <c r="AC200" s="40">
        <f t="shared" si="81"/>
        <v>1.0282651577847449E-4</v>
      </c>
      <c r="AD200" s="40">
        <f t="shared" si="96"/>
        <v>0.13900513231327588</v>
      </c>
      <c r="AE200" s="34">
        <f t="shared" si="97"/>
        <v>151.74362975409647</v>
      </c>
      <c r="AF200" s="34">
        <f t="shared" si="98"/>
        <v>0.37017545680250818</v>
      </c>
      <c r="AG200" s="34">
        <f t="shared" si="82"/>
        <v>0.49621374906502436</v>
      </c>
      <c r="AH200" s="34">
        <f>INDEX('Specification &amp; Data'!E$24:R$46,MATCH(Simulation!AA200,'Specification &amp; Data'!D$24:D$46,0),MATCH(Simulation!AB200,'Specification &amp; Data'!E$47:R$47,0))</f>
        <v>966.15913333333356</v>
      </c>
      <c r="AI200" s="34">
        <f t="shared" si="83"/>
        <v>1.0282651577847449E-4</v>
      </c>
      <c r="AJ200" s="34">
        <f t="shared" si="75"/>
        <v>9.9346777368217259E-2</v>
      </c>
      <c r="AK200" s="34">
        <f t="shared" si="99"/>
        <v>68.892041054592738</v>
      </c>
      <c r="AL200" s="34">
        <v>2.3289729133329802</v>
      </c>
    </row>
    <row r="201" spans="2:38" x14ac:dyDescent="0.25">
      <c r="C201" s="34">
        <f t="shared" si="84"/>
        <v>199</v>
      </c>
      <c r="D201" s="34">
        <v>8.5</v>
      </c>
      <c r="E201" s="34">
        <f t="shared" si="76"/>
        <v>13.679401325024363</v>
      </c>
      <c r="F201" s="34">
        <f t="shared" si="85"/>
        <v>3.7998337013956562</v>
      </c>
      <c r="G201" s="37">
        <f t="shared" si="86"/>
        <v>1561.4410757552737</v>
      </c>
      <c r="H201" s="34">
        <f t="shared" si="87"/>
        <v>3.7998337013956562</v>
      </c>
      <c r="I201" s="34">
        <f t="shared" si="88"/>
        <v>0</v>
      </c>
      <c r="J201" s="34">
        <f t="shared" si="89"/>
        <v>1</v>
      </c>
      <c r="K201" s="34">
        <v>0</v>
      </c>
      <c r="L201" s="34">
        <f>('Specification &amp; Data'!B$22*'Specification &amp; Data'!B$10*'Specification &amp; Data'!B$20*(Simulation!F201^2-'Specification &amp; Data'!B$21^2))/2</f>
        <v>4.4501352164473733</v>
      </c>
      <c r="M201" s="34">
        <f t="shared" si="90"/>
        <v>0</v>
      </c>
      <c r="N201" s="34">
        <f>'Specification &amp; Data'!B$24*'Specification &amp; Data'!B$18*8.91</f>
        <v>92.968722</v>
      </c>
      <c r="O201" s="34">
        <f t="shared" si="77"/>
        <v>97.418857216447378</v>
      </c>
      <c r="P201" s="40">
        <f t="shared" si="78"/>
        <v>97.418857216447378</v>
      </c>
      <c r="Q201" s="34">
        <f>IF(J201=1,'Specification &amp; Data'!B$52,IF(Simulation!J201=2,'Specification &amp; Data'!B$53,IF(Simulation!J201=3,'Specification &amp; Data'!B$54)))</f>
        <v>575.20663260893332</v>
      </c>
      <c r="R201" s="34">
        <f>(0.5*'Specification &amp; Data'!B$18*Simulation!F201^2)/1000</f>
        <v>3.7664165205634901</v>
      </c>
      <c r="T201" s="40">
        <f>P201*'Specification &amp; Data'!B$14*0.9</f>
        <v>25.853465953595649</v>
      </c>
      <c r="U201" s="40">
        <f>T201/(IF(J201=1,'Specification &amp; Data'!H$7,IF(Simulation!J201=2,'Specification &amp; Data'!H$8,IF(Simulation!J201=3,'Specification &amp; Data'!H$9))))</f>
        <v>1.1374550058148531</v>
      </c>
      <c r="V201" s="40">
        <f t="shared" si="91"/>
        <v>1.4421025100902273E-2</v>
      </c>
      <c r="W201" s="40">
        <f t="shared" si="92"/>
        <v>2.9252352250288157E-2</v>
      </c>
      <c r="X201" s="40">
        <f t="shared" si="79"/>
        <v>0.37017545680250818</v>
      </c>
      <c r="Y201" s="40">
        <f t="shared" si="80"/>
        <v>0.49621374906502436</v>
      </c>
      <c r="Z201" s="40">
        <f t="shared" si="93"/>
        <v>3107.7407085239565</v>
      </c>
      <c r="AA201" s="40">
        <f t="shared" si="94"/>
        <v>1</v>
      </c>
      <c r="AB201" s="40">
        <f t="shared" si="95"/>
        <v>3000</v>
      </c>
      <c r="AC201" s="40">
        <f t="shared" si="81"/>
        <v>1.0282651577847449E-4</v>
      </c>
      <c r="AD201" s="40">
        <f t="shared" si="96"/>
        <v>0.13910795882905436</v>
      </c>
      <c r="AE201" s="34">
        <f t="shared" si="97"/>
        <v>152.11380521089902</v>
      </c>
      <c r="AF201" s="34">
        <f t="shared" si="98"/>
        <v>0.37017545680250818</v>
      </c>
      <c r="AG201" s="34">
        <f t="shared" si="82"/>
        <v>0.49621374906502436</v>
      </c>
      <c r="AH201" s="34">
        <f>INDEX('Specification &amp; Data'!E$24:R$46,MATCH(Simulation!AA201,'Specification &amp; Data'!D$24:D$46,0),MATCH(Simulation!AB201,'Specification &amp; Data'!E$47:R$47,0))</f>
        <v>966.15913333333356</v>
      </c>
      <c r="AI201" s="34">
        <f t="shared" si="83"/>
        <v>1.0282651577847449E-4</v>
      </c>
      <c r="AJ201" s="34">
        <f t="shared" si="75"/>
        <v>9.9346777368217259E-2</v>
      </c>
      <c r="AK201" s="34">
        <f t="shared" si="99"/>
        <v>68.991387831960949</v>
      </c>
      <c r="AL201" s="34">
        <v>2.3289729133329802</v>
      </c>
    </row>
    <row r="202" spans="2:38" x14ac:dyDescent="0.25">
      <c r="C202" s="34">
        <f t="shared" si="84"/>
        <v>200</v>
      </c>
      <c r="D202" s="34">
        <v>8.5</v>
      </c>
      <c r="E202" s="34">
        <f t="shared" si="76"/>
        <v>13.679401325024363</v>
      </c>
      <c r="F202" s="34">
        <f t="shared" si="85"/>
        <v>3.7998337013956562</v>
      </c>
      <c r="G202" s="37">
        <f t="shared" si="86"/>
        <v>1565.2409094566694</v>
      </c>
      <c r="H202" s="34">
        <f t="shared" si="87"/>
        <v>3.7998337013956562</v>
      </c>
      <c r="I202" s="34">
        <f t="shared" si="88"/>
        <v>0</v>
      </c>
      <c r="J202" s="34">
        <f t="shared" si="89"/>
        <v>1</v>
      </c>
      <c r="K202" s="34">
        <v>0</v>
      </c>
      <c r="L202" s="34">
        <f>('Specification &amp; Data'!B$22*'Specification &amp; Data'!B$10*'Specification &amp; Data'!B$20*(Simulation!F202^2-'Specification &amp; Data'!B$21^2))/2</f>
        <v>4.4501352164473733</v>
      </c>
      <c r="M202" s="34">
        <f t="shared" si="90"/>
        <v>0</v>
      </c>
      <c r="N202" s="34">
        <f>'Specification &amp; Data'!B$24*'Specification &amp; Data'!B$18*8.91</f>
        <v>92.968722</v>
      </c>
      <c r="O202" s="34">
        <f t="shared" si="77"/>
        <v>97.418857216447378</v>
      </c>
      <c r="P202" s="40">
        <f t="shared" si="78"/>
        <v>97.418857216447378</v>
      </c>
      <c r="Q202" s="34">
        <f>IF(J202=1,'Specification &amp; Data'!B$52,IF(Simulation!J202=2,'Specification &amp; Data'!B$53,IF(Simulation!J202=3,'Specification &amp; Data'!B$54)))</f>
        <v>575.20663260893332</v>
      </c>
      <c r="R202" s="34">
        <f>(0.5*'Specification &amp; Data'!B$18*Simulation!F202^2)/1000</f>
        <v>3.7664165205634901</v>
      </c>
      <c r="T202" s="40">
        <f>P202*'Specification &amp; Data'!B$14*0.9</f>
        <v>25.853465953595649</v>
      </c>
      <c r="U202" s="40">
        <f>T202/(IF(J202=1,'Specification &amp; Data'!H$7,IF(Simulation!J202=2,'Specification &amp; Data'!H$8,IF(Simulation!J202=3,'Specification &amp; Data'!H$9))))</f>
        <v>1.1374550058148531</v>
      </c>
      <c r="V202" s="40">
        <f t="shared" si="91"/>
        <v>1.4425722260283168E-2</v>
      </c>
      <c r="W202" s="40">
        <f t="shared" si="92"/>
        <v>2.9252352250288157E-2</v>
      </c>
      <c r="X202" s="40">
        <f t="shared" si="79"/>
        <v>0.37017545680250818</v>
      </c>
      <c r="Y202" s="40">
        <f t="shared" si="80"/>
        <v>0.49621374906502436</v>
      </c>
      <c r="Z202" s="40">
        <f t="shared" si="93"/>
        <v>3107.7407085239565</v>
      </c>
      <c r="AA202" s="40">
        <f t="shared" si="94"/>
        <v>1</v>
      </c>
      <c r="AB202" s="40">
        <f t="shared" si="95"/>
        <v>3000</v>
      </c>
      <c r="AC202" s="40">
        <f t="shared" si="81"/>
        <v>1.0282651577847449E-4</v>
      </c>
      <c r="AD202" s="40">
        <f t="shared" si="96"/>
        <v>0.13921078534483283</v>
      </c>
      <c r="AE202" s="34">
        <f t="shared" si="97"/>
        <v>152.4839806677015</v>
      </c>
      <c r="AF202" s="34">
        <f t="shared" si="98"/>
        <v>0.37017545680250818</v>
      </c>
      <c r="AG202" s="34">
        <f t="shared" si="82"/>
        <v>0.49621374906502436</v>
      </c>
      <c r="AH202" s="34">
        <f>INDEX('Specification &amp; Data'!E$24:R$46,MATCH(Simulation!AA202,'Specification &amp; Data'!D$24:D$46,0),MATCH(Simulation!AB202,'Specification &amp; Data'!E$47:R$47,0))</f>
        <v>966.15913333333356</v>
      </c>
      <c r="AI202" s="34">
        <f t="shared" si="83"/>
        <v>1.0282651577847449E-4</v>
      </c>
      <c r="AJ202" s="34">
        <f t="shared" si="75"/>
        <v>9.9346777368217259E-2</v>
      </c>
      <c r="AK202" s="34">
        <f t="shared" si="99"/>
        <v>69.090734609329161</v>
      </c>
      <c r="AL202" s="34">
        <v>2.3289729133329802</v>
      </c>
    </row>
    <row r="203" spans="2:38" x14ac:dyDescent="0.25">
      <c r="C203" s="34">
        <f t="shared" si="84"/>
        <v>201</v>
      </c>
      <c r="D203" s="34">
        <v>8.5</v>
      </c>
      <c r="E203" s="34">
        <f t="shared" si="76"/>
        <v>13.679401325024363</v>
      </c>
      <c r="F203" s="34">
        <f t="shared" si="85"/>
        <v>3.7998337013956562</v>
      </c>
      <c r="G203" s="37">
        <f t="shared" si="86"/>
        <v>1569.0407431580652</v>
      </c>
      <c r="H203" s="34">
        <f t="shared" si="87"/>
        <v>3.7998337013956562</v>
      </c>
      <c r="I203" s="34">
        <f t="shared" si="88"/>
        <v>0</v>
      </c>
      <c r="J203" s="34">
        <f t="shared" si="89"/>
        <v>1</v>
      </c>
      <c r="K203" s="34">
        <v>0</v>
      </c>
      <c r="L203" s="34">
        <f>('Specification &amp; Data'!B$22*'Specification &amp; Data'!B$10*'Specification &amp; Data'!B$20*(Simulation!F203^2-'Specification &amp; Data'!B$21^2))/2</f>
        <v>4.4501352164473733</v>
      </c>
      <c r="M203" s="34">
        <f t="shared" si="90"/>
        <v>0</v>
      </c>
      <c r="N203" s="34">
        <f>'Specification &amp; Data'!B$24*'Specification &amp; Data'!B$18*8.91</f>
        <v>92.968722</v>
      </c>
      <c r="O203" s="34">
        <f t="shared" si="77"/>
        <v>97.418857216447378</v>
      </c>
      <c r="P203" s="40">
        <f t="shared" si="78"/>
        <v>97.418857216447378</v>
      </c>
      <c r="Q203" s="34">
        <f>IF(J203=1,'Specification &amp; Data'!B$52,IF(Simulation!J203=2,'Specification &amp; Data'!B$53,IF(Simulation!J203=3,'Specification &amp; Data'!B$54)))</f>
        <v>575.20663260893332</v>
      </c>
      <c r="R203" s="34">
        <f>(0.5*'Specification &amp; Data'!B$18*Simulation!F203^2)/1000</f>
        <v>3.7664165205634901</v>
      </c>
      <c r="T203" s="40">
        <f>P203*'Specification &amp; Data'!B$14*0.9</f>
        <v>25.853465953595649</v>
      </c>
      <c r="U203" s="40">
        <f>T203/(IF(J203=1,'Specification &amp; Data'!H$7,IF(Simulation!J203=2,'Specification &amp; Data'!H$8,IF(Simulation!J203=3,'Specification &amp; Data'!H$9))))</f>
        <v>1.1374550058148531</v>
      </c>
      <c r="V203" s="40">
        <f t="shared" si="91"/>
        <v>1.4430419419664064E-2</v>
      </c>
      <c r="W203" s="40">
        <f t="shared" si="92"/>
        <v>2.9252352250288157E-2</v>
      </c>
      <c r="X203" s="40">
        <f t="shared" si="79"/>
        <v>0.37017545680250818</v>
      </c>
      <c r="Y203" s="40">
        <f t="shared" si="80"/>
        <v>0.49621374906502436</v>
      </c>
      <c r="Z203" s="40">
        <f t="shared" si="93"/>
        <v>3107.7407085239565</v>
      </c>
      <c r="AA203" s="40">
        <f t="shared" si="94"/>
        <v>1</v>
      </c>
      <c r="AB203" s="40">
        <f t="shared" si="95"/>
        <v>3000</v>
      </c>
      <c r="AC203" s="40">
        <f t="shared" si="81"/>
        <v>1.0282651577847449E-4</v>
      </c>
      <c r="AD203" s="40">
        <f t="shared" si="96"/>
        <v>0.13931361186061131</v>
      </c>
      <c r="AE203" s="34">
        <f t="shared" si="97"/>
        <v>152.85415612450404</v>
      </c>
      <c r="AF203" s="34">
        <f t="shared" si="98"/>
        <v>0.37017545680250818</v>
      </c>
      <c r="AG203" s="34">
        <f t="shared" si="82"/>
        <v>0.49621374906502436</v>
      </c>
      <c r="AH203" s="34">
        <f>INDEX('Specification &amp; Data'!E$24:R$46,MATCH(Simulation!AA203,'Specification &amp; Data'!D$24:D$46,0),MATCH(Simulation!AB203,'Specification &amp; Data'!E$47:R$47,0))</f>
        <v>966.15913333333356</v>
      </c>
      <c r="AI203" s="34">
        <f t="shared" si="83"/>
        <v>1.0282651577847449E-4</v>
      </c>
      <c r="AJ203" s="34">
        <f t="shared" si="75"/>
        <v>9.9346777368217259E-2</v>
      </c>
      <c r="AK203" s="34">
        <f t="shared" si="99"/>
        <v>69.190081386697372</v>
      </c>
      <c r="AL203" s="34">
        <v>2.3289729133329802</v>
      </c>
    </row>
    <row r="204" spans="2:38" x14ac:dyDescent="0.25">
      <c r="C204" s="34">
        <f t="shared" si="84"/>
        <v>202</v>
      </c>
      <c r="D204" s="34">
        <v>8.5</v>
      </c>
      <c r="E204" s="34">
        <f t="shared" si="76"/>
        <v>13.679401325024363</v>
      </c>
      <c r="F204" s="34">
        <f t="shared" si="85"/>
        <v>3.7998337013956562</v>
      </c>
      <c r="G204" s="37">
        <f t="shared" si="86"/>
        <v>1572.840576859461</v>
      </c>
      <c r="H204" s="34">
        <f t="shared" si="87"/>
        <v>3.7998337013956562</v>
      </c>
      <c r="I204" s="34">
        <f t="shared" si="88"/>
        <v>0</v>
      </c>
      <c r="J204" s="34">
        <f t="shared" si="89"/>
        <v>1</v>
      </c>
      <c r="K204" s="34">
        <v>0</v>
      </c>
      <c r="L204" s="34">
        <f>('Specification &amp; Data'!B$22*'Specification &amp; Data'!B$10*'Specification &amp; Data'!B$20*(Simulation!F204^2-'Specification &amp; Data'!B$21^2))/2</f>
        <v>4.4501352164473733</v>
      </c>
      <c r="M204" s="34">
        <f t="shared" si="90"/>
        <v>0</v>
      </c>
      <c r="N204" s="34">
        <f>'Specification &amp; Data'!B$24*'Specification &amp; Data'!B$18*8.91</f>
        <v>92.968722</v>
      </c>
      <c r="O204" s="34">
        <f t="shared" si="77"/>
        <v>97.418857216447378</v>
      </c>
      <c r="P204" s="40">
        <f t="shared" si="78"/>
        <v>97.418857216447378</v>
      </c>
      <c r="Q204" s="34">
        <f>IF(J204=1,'Specification &amp; Data'!B$52,IF(Simulation!J204=2,'Specification &amp; Data'!B$53,IF(Simulation!J204=3,'Specification &amp; Data'!B$54)))</f>
        <v>575.20663260893332</v>
      </c>
      <c r="R204" s="34">
        <f>(0.5*'Specification &amp; Data'!B$18*Simulation!F204^2)/1000</f>
        <v>3.7664165205634901</v>
      </c>
      <c r="T204" s="40">
        <f>P204*'Specification &amp; Data'!B$14*0.9</f>
        <v>25.853465953595649</v>
      </c>
      <c r="U204" s="40">
        <f>T204/(IF(J204=1,'Specification &amp; Data'!H$7,IF(Simulation!J204=2,'Specification &amp; Data'!H$8,IF(Simulation!J204=3,'Specification &amp; Data'!H$9))))</f>
        <v>1.1374550058148531</v>
      </c>
      <c r="V204" s="40">
        <f t="shared" si="91"/>
        <v>1.4435116579044959E-2</v>
      </c>
      <c r="W204" s="40">
        <f t="shared" si="92"/>
        <v>2.9252352250288157E-2</v>
      </c>
      <c r="X204" s="40">
        <f t="shared" si="79"/>
        <v>0.37017545680250818</v>
      </c>
      <c r="Y204" s="40">
        <f t="shared" si="80"/>
        <v>0.49621374906502436</v>
      </c>
      <c r="Z204" s="40">
        <f t="shared" si="93"/>
        <v>3107.7407085239565</v>
      </c>
      <c r="AA204" s="40">
        <f t="shared" si="94"/>
        <v>1</v>
      </c>
      <c r="AB204" s="40">
        <f t="shared" si="95"/>
        <v>3000</v>
      </c>
      <c r="AC204" s="40">
        <f t="shared" si="81"/>
        <v>1.0282651577847449E-4</v>
      </c>
      <c r="AD204" s="40">
        <f t="shared" si="96"/>
        <v>0.13941643837638978</v>
      </c>
      <c r="AE204" s="34">
        <f t="shared" si="97"/>
        <v>153.22433158130656</v>
      </c>
      <c r="AF204" s="34">
        <f t="shared" si="98"/>
        <v>0.37017545680250818</v>
      </c>
      <c r="AG204" s="34">
        <f t="shared" si="82"/>
        <v>0.49621374906502436</v>
      </c>
      <c r="AH204" s="34">
        <f>INDEX('Specification &amp; Data'!E$24:R$46,MATCH(Simulation!AA204,'Specification &amp; Data'!D$24:D$46,0),MATCH(Simulation!AB204,'Specification &amp; Data'!E$47:R$47,0))</f>
        <v>966.15913333333356</v>
      </c>
      <c r="AI204" s="34">
        <f t="shared" si="83"/>
        <v>1.0282651577847449E-4</v>
      </c>
      <c r="AJ204" s="34">
        <f t="shared" si="75"/>
        <v>9.9346777368217259E-2</v>
      </c>
      <c r="AK204" s="34">
        <f t="shared" si="99"/>
        <v>69.289428164065583</v>
      </c>
      <c r="AL204" s="34">
        <v>2.3289729133329802</v>
      </c>
    </row>
    <row r="205" spans="2:38" x14ac:dyDescent="0.25">
      <c r="C205" s="34">
        <f t="shared" si="84"/>
        <v>203</v>
      </c>
      <c r="D205" s="34">
        <v>8.5</v>
      </c>
      <c r="E205" s="34">
        <f t="shared" si="76"/>
        <v>13.679401325024363</v>
      </c>
      <c r="F205" s="34">
        <f t="shared" si="85"/>
        <v>3.7998337013956562</v>
      </c>
      <c r="G205" s="37">
        <f t="shared" si="86"/>
        <v>1576.6404105608567</v>
      </c>
      <c r="H205" s="34">
        <f t="shared" si="87"/>
        <v>3.7998337013956562</v>
      </c>
      <c r="I205" s="34">
        <f t="shared" si="88"/>
        <v>0</v>
      </c>
      <c r="J205" s="34">
        <f t="shared" si="89"/>
        <v>1</v>
      </c>
      <c r="K205" s="34">
        <v>0</v>
      </c>
      <c r="L205" s="34">
        <f>('Specification &amp; Data'!B$22*'Specification &amp; Data'!B$10*'Specification &amp; Data'!B$20*(Simulation!F205^2-'Specification &amp; Data'!B$21^2))/2</f>
        <v>4.4501352164473733</v>
      </c>
      <c r="M205" s="34">
        <f t="shared" si="90"/>
        <v>0</v>
      </c>
      <c r="N205" s="34">
        <f>'Specification &amp; Data'!B$24*'Specification &amp; Data'!B$18*8.91</f>
        <v>92.968722</v>
      </c>
      <c r="O205" s="34">
        <f t="shared" si="77"/>
        <v>97.418857216447378</v>
      </c>
      <c r="P205" s="40">
        <f t="shared" si="78"/>
        <v>97.418857216447378</v>
      </c>
      <c r="Q205" s="34">
        <f>IF(J205=1,'Specification &amp; Data'!B$52,IF(Simulation!J205=2,'Specification &amp; Data'!B$53,IF(Simulation!J205=3,'Specification &amp; Data'!B$54)))</f>
        <v>575.20663260893332</v>
      </c>
      <c r="R205" s="34">
        <f>(0.5*'Specification &amp; Data'!B$18*Simulation!F205^2)/1000</f>
        <v>3.7664165205634901</v>
      </c>
      <c r="T205" s="40">
        <f>P205*'Specification &amp; Data'!B$14*0.9</f>
        <v>25.853465953595649</v>
      </c>
      <c r="U205" s="40">
        <f>T205/(IF(J205=1,'Specification &amp; Data'!H$7,IF(Simulation!J205=2,'Specification &amp; Data'!H$8,IF(Simulation!J205=3,'Specification &amp; Data'!H$9))))</f>
        <v>1.1374550058148531</v>
      </c>
      <c r="V205" s="40">
        <f t="shared" si="91"/>
        <v>1.4439813738425854E-2</v>
      </c>
      <c r="W205" s="40">
        <f t="shared" si="92"/>
        <v>2.9252352250288157E-2</v>
      </c>
      <c r="X205" s="40">
        <f t="shared" si="79"/>
        <v>0.37017545680250818</v>
      </c>
      <c r="Y205" s="40">
        <f t="shared" si="80"/>
        <v>0.49621374906502436</v>
      </c>
      <c r="Z205" s="40">
        <f t="shared" si="93"/>
        <v>3107.7407085239565</v>
      </c>
      <c r="AA205" s="40">
        <f t="shared" si="94"/>
        <v>1</v>
      </c>
      <c r="AB205" s="40">
        <f t="shared" si="95"/>
        <v>3000</v>
      </c>
      <c r="AC205" s="40">
        <f t="shared" si="81"/>
        <v>1.0282651577847449E-4</v>
      </c>
      <c r="AD205" s="40">
        <f t="shared" si="96"/>
        <v>0.13951926489216826</v>
      </c>
      <c r="AE205" s="34">
        <f t="shared" si="97"/>
        <v>153.59450703810907</v>
      </c>
      <c r="AF205" s="34">
        <f t="shared" si="98"/>
        <v>0.37017545680250818</v>
      </c>
      <c r="AG205" s="34">
        <f t="shared" si="82"/>
        <v>0.49621374906502436</v>
      </c>
      <c r="AH205" s="34">
        <f>INDEX('Specification &amp; Data'!E$24:R$46,MATCH(Simulation!AA205,'Specification &amp; Data'!D$24:D$46,0),MATCH(Simulation!AB205,'Specification &amp; Data'!E$47:R$47,0))</f>
        <v>966.15913333333356</v>
      </c>
      <c r="AI205" s="34">
        <f t="shared" si="83"/>
        <v>1.0282651577847449E-4</v>
      </c>
      <c r="AJ205" s="34">
        <f t="shared" si="75"/>
        <v>9.9346777368217259E-2</v>
      </c>
      <c r="AK205" s="34">
        <f t="shared" si="99"/>
        <v>69.388774941433795</v>
      </c>
      <c r="AL205" s="34">
        <v>2.3289729133329802</v>
      </c>
    </row>
    <row r="206" spans="2:38" x14ac:dyDescent="0.25">
      <c r="C206" s="34">
        <f t="shared" si="84"/>
        <v>204</v>
      </c>
      <c r="D206" s="34">
        <v>8.5</v>
      </c>
      <c r="E206" s="34">
        <f t="shared" si="76"/>
        <v>13.679401325024363</v>
      </c>
      <c r="F206" s="34">
        <f t="shared" si="85"/>
        <v>3.7998337013956562</v>
      </c>
      <c r="G206" s="37">
        <f t="shared" si="86"/>
        <v>1580.4402442622525</v>
      </c>
      <c r="H206" s="34">
        <f t="shared" si="87"/>
        <v>3.7998337013956562</v>
      </c>
      <c r="I206" s="34">
        <f t="shared" si="88"/>
        <v>0</v>
      </c>
      <c r="J206" s="34">
        <f t="shared" si="89"/>
        <v>1</v>
      </c>
      <c r="K206" s="34">
        <v>0</v>
      </c>
      <c r="L206" s="34">
        <f>('Specification &amp; Data'!B$22*'Specification &amp; Data'!B$10*'Specification &amp; Data'!B$20*(Simulation!F206^2-'Specification &amp; Data'!B$21^2))/2</f>
        <v>4.4501352164473733</v>
      </c>
      <c r="M206" s="34">
        <f t="shared" si="90"/>
        <v>0</v>
      </c>
      <c r="N206" s="34">
        <f>'Specification &amp; Data'!B$24*'Specification &amp; Data'!B$18*8.91</f>
        <v>92.968722</v>
      </c>
      <c r="O206" s="34">
        <f t="shared" si="77"/>
        <v>97.418857216447378</v>
      </c>
      <c r="P206" s="40">
        <f t="shared" si="78"/>
        <v>97.418857216447378</v>
      </c>
      <c r="Q206" s="34">
        <f>IF(J206=1,'Specification &amp; Data'!B$52,IF(Simulation!J206=2,'Specification &amp; Data'!B$53,IF(Simulation!J206=3,'Specification &amp; Data'!B$54)))</f>
        <v>575.20663260893332</v>
      </c>
      <c r="R206" s="34">
        <f>(0.5*'Specification &amp; Data'!B$18*Simulation!F206^2)/1000</f>
        <v>3.7664165205634901</v>
      </c>
      <c r="T206" s="40">
        <f>P206*'Specification &amp; Data'!B$14*0.9</f>
        <v>25.853465953595649</v>
      </c>
      <c r="U206" s="40">
        <f>T206/(IF(J206=1,'Specification &amp; Data'!H$7,IF(Simulation!J206=2,'Specification &amp; Data'!H$8,IF(Simulation!J206=3,'Specification &amp; Data'!H$9))))</f>
        <v>1.1374550058148531</v>
      </c>
      <c r="V206" s="40">
        <f t="shared" si="91"/>
        <v>1.444451089780675E-2</v>
      </c>
      <c r="W206" s="40">
        <f t="shared" si="92"/>
        <v>2.9252352250288157E-2</v>
      </c>
      <c r="X206" s="40">
        <f t="shared" si="79"/>
        <v>0.37017545680250818</v>
      </c>
      <c r="Y206" s="40">
        <f t="shared" si="80"/>
        <v>0.49621374906502436</v>
      </c>
      <c r="Z206" s="40">
        <f t="shared" si="93"/>
        <v>3107.7407085239565</v>
      </c>
      <c r="AA206" s="40">
        <f t="shared" si="94"/>
        <v>1</v>
      </c>
      <c r="AB206" s="40">
        <f t="shared" si="95"/>
        <v>3000</v>
      </c>
      <c r="AC206" s="40">
        <f t="shared" si="81"/>
        <v>1.0282651577847449E-4</v>
      </c>
      <c r="AD206" s="40">
        <f t="shared" si="96"/>
        <v>0.13962209140794674</v>
      </c>
      <c r="AE206" s="34">
        <f t="shared" si="97"/>
        <v>153.96468249491159</v>
      </c>
      <c r="AF206" s="34">
        <f t="shared" si="98"/>
        <v>0.37017545680250818</v>
      </c>
      <c r="AG206" s="34">
        <f t="shared" si="82"/>
        <v>0.49621374906502436</v>
      </c>
      <c r="AH206" s="34">
        <f>INDEX('Specification &amp; Data'!E$24:R$46,MATCH(Simulation!AA206,'Specification &amp; Data'!D$24:D$46,0),MATCH(Simulation!AB206,'Specification &amp; Data'!E$47:R$47,0))</f>
        <v>966.15913333333356</v>
      </c>
      <c r="AI206" s="34">
        <f t="shared" si="83"/>
        <v>1.0282651577847449E-4</v>
      </c>
      <c r="AJ206" s="34">
        <f t="shared" si="75"/>
        <v>9.9346777368217259E-2</v>
      </c>
      <c r="AK206" s="34">
        <f t="shared" si="99"/>
        <v>69.488121718802006</v>
      </c>
      <c r="AL206" s="34">
        <v>2.3289729133329802</v>
      </c>
    </row>
    <row r="207" spans="2:38" x14ac:dyDescent="0.25">
      <c r="B207" s="36" t="s">
        <v>137</v>
      </c>
      <c r="C207" s="34">
        <f t="shared" si="84"/>
        <v>205</v>
      </c>
      <c r="D207" s="34">
        <v>8.5</v>
      </c>
      <c r="E207" s="34">
        <f t="shared" si="76"/>
        <v>13.679401325024363</v>
      </c>
      <c r="F207" s="34">
        <f t="shared" si="85"/>
        <v>3.7998337013956562</v>
      </c>
      <c r="G207" s="37">
        <f t="shared" si="86"/>
        <v>1584.2400779636482</v>
      </c>
      <c r="H207" s="34">
        <f t="shared" si="87"/>
        <v>3.7998337013956562</v>
      </c>
      <c r="I207" s="34">
        <f t="shared" si="88"/>
        <v>0</v>
      </c>
      <c r="J207" s="34">
        <f t="shared" si="89"/>
        <v>1</v>
      </c>
      <c r="K207" s="34">
        <v>0</v>
      </c>
      <c r="L207" s="34">
        <f>('Specification &amp; Data'!B$22*'Specification &amp; Data'!B$10*'Specification &amp; Data'!B$20*(Simulation!F207^2-'Specification &amp; Data'!B$21^2))/2</f>
        <v>4.4501352164473733</v>
      </c>
      <c r="M207" s="34">
        <f t="shared" si="90"/>
        <v>0</v>
      </c>
      <c r="N207" s="34">
        <f>'Specification &amp; Data'!B$24*'Specification &amp; Data'!B$18*8.91</f>
        <v>92.968722</v>
      </c>
      <c r="O207" s="34">
        <f t="shared" si="77"/>
        <v>97.418857216447378</v>
      </c>
      <c r="P207" s="40">
        <f t="shared" si="78"/>
        <v>97.418857216447378</v>
      </c>
      <c r="Q207" s="34">
        <f>IF(J207=1,'Specification &amp; Data'!B$52,IF(Simulation!J207=2,'Specification &amp; Data'!B$53,IF(Simulation!J207=3,'Specification &amp; Data'!B$54)))</f>
        <v>575.20663260893332</v>
      </c>
      <c r="R207" s="34">
        <f>(0.5*'Specification &amp; Data'!B$18*Simulation!F207^2)/1000</f>
        <v>3.7664165205634901</v>
      </c>
      <c r="T207" s="40">
        <f>P207*'Specification &amp; Data'!B$14*0.9</f>
        <v>25.853465953595649</v>
      </c>
      <c r="U207" s="40">
        <f>T207/(IF(J207=1,'Specification &amp; Data'!H$7,IF(Simulation!J207=2,'Specification &amp; Data'!H$8,IF(Simulation!J207=3,'Specification &amp; Data'!H$9))))</f>
        <v>1.1374550058148531</v>
      </c>
      <c r="V207" s="40">
        <f t="shared" si="91"/>
        <v>1.4449208057187645E-2</v>
      </c>
      <c r="W207" s="40">
        <f t="shared" si="92"/>
        <v>2.9252352250288157E-2</v>
      </c>
      <c r="X207" s="40">
        <f t="shared" si="79"/>
        <v>0.37017545680250818</v>
      </c>
      <c r="Y207" s="40">
        <f t="shared" si="80"/>
        <v>0.49621374906502436</v>
      </c>
      <c r="Z207" s="40">
        <f t="shared" si="93"/>
        <v>3107.7407085239565</v>
      </c>
      <c r="AA207" s="40">
        <f t="shared" si="94"/>
        <v>1</v>
      </c>
      <c r="AB207" s="40">
        <f t="shared" si="95"/>
        <v>3000</v>
      </c>
      <c r="AC207" s="40">
        <f t="shared" si="81"/>
        <v>1.0282651577847449E-4</v>
      </c>
      <c r="AD207" s="40">
        <f t="shared" si="96"/>
        <v>0.13972491792372521</v>
      </c>
      <c r="AE207" s="34">
        <f t="shared" si="97"/>
        <v>154.3348579517141</v>
      </c>
      <c r="AF207" s="34">
        <f t="shared" si="98"/>
        <v>0.37017545680250818</v>
      </c>
      <c r="AG207" s="34">
        <f t="shared" si="82"/>
        <v>0.49621374906502436</v>
      </c>
      <c r="AH207" s="34">
        <f>INDEX('Specification &amp; Data'!E$24:R$46,MATCH(Simulation!AA207,'Specification &amp; Data'!D$24:D$46,0),MATCH(Simulation!AB207,'Specification &amp; Data'!E$47:R$47,0))</f>
        <v>966.15913333333356</v>
      </c>
      <c r="AI207" s="34">
        <f t="shared" si="83"/>
        <v>1.0282651577847449E-4</v>
      </c>
      <c r="AJ207" s="34">
        <f t="shared" si="75"/>
        <v>9.9346777368217259E-2</v>
      </c>
      <c r="AK207" s="34">
        <f t="shared" si="99"/>
        <v>69.587468496170217</v>
      </c>
      <c r="AL207" s="34">
        <v>2.3289729133329802</v>
      </c>
    </row>
    <row r="208" spans="2:38" x14ac:dyDescent="0.25">
      <c r="C208" s="34">
        <f t="shared" si="84"/>
        <v>206</v>
      </c>
      <c r="D208" s="34">
        <v>9.5</v>
      </c>
      <c r="E208" s="34">
        <f t="shared" si="76"/>
        <v>15.288742657380171</v>
      </c>
      <c r="F208" s="34">
        <f t="shared" si="85"/>
        <v>4.2468729603833806</v>
      </c>
      <c r="G208" s="37">
        <f t="shared" si="86"/>
        <v>1588.2634312945377</v>
      </c>
      <c r="H208" s="34">
        <f t="shared" si="87"/>
        <v>4.0233533308895186</v>
      </c>
      <c r="I208" s="34">
        <f t="shared" si="88"/>
        <v>0.44703925898772479</v>
      </c>
      <c r="J208" s="34">
        <f t="shared" si="89"/>
        <v>1</v>
      </c>
      <c r="K208" s="34">
        <v>0</v>
      </c>
      <c r="L208" s="34">
        <f>('Specification &amp; Data'!B$22*'Specification &amp; Data'!B$10*'Specification &amp; Data'!B$20*(Simulation!F208^2-'Specification &amp; Data'!B$21^2))/2</f>
        <v>6.1412693611898339</v>
      </c>
      <c r="M208" s="34">
        <f t="shared" si="90"/>
        <v>257.13994680632203</v>
      </c>
      <c r="N208" s="34">
        <f>'Specification &amp; Data'!B$24*'Specification &amp; Data'!B$18*8.91</f>
        <v>92.968722</v>
      </c>
      <c r="O208" s="34">
        <f t="shared" si="77"/>
        <v>356.24993816751186</v>
      </c>
      <c r="P208" s="40">
        <f t="shared" si="78"/>
        <v>356.24993816751186</v>
      </c>
      <c r="Q208" s="34">
        <f>IF(J208=1,'Specification &amp; Data'!B$52,IF(Simulation!J208=2,'Specification &amp; Data'!B$53,IF(Simulation!J208=3,'Specification &amp; Data'!B$54)))</f>
        <v>575.20663260893332</v>
      </c>
      <c r="R208" s="34">
        <f>(0.5*'Specification &amp; Data'!B$18*Simulation!F208^2)/1000</f>
        <v>4.7047625049253288</v>
      </c>
      <c r="T208" s="40">
        <f>P208*'Specification &amp; Data'!B$14*0.9</f>
        <v>94.543252821378147</v>
      </c>
      <c r="U208" s="40">
        <f>T208/(IF(J208=1,'Specification &amp; Data'!H$7,IF(Simulation!J208=2,'Specification &amp; Data'!H$8,IF(Simulation!J208=3,'Specification &amp; Data'!H$9))))</f>
        <v>4.1595465915756469</v>
      </c>
      <c r="V208" s="40">
        <f t="shared" si="91"/>
        <v>1.4456452832407774E-2</v>
      </c>
      <c r="W208" s="40">
        <f t="shared" si="92"/>
        <v>2.9252352250288157E-2</v>
      </c>
      <c r="X208" s="40">
        <f t="shared" si="79"/>
        <v>1.5129482295418575</v>
      </c>
      <c r="Y208" s="40">
        <f t="shared" si="80"/>
        <v>2.0280807366512836</v>
      </c>
      <c r="Z208" s="40">
        <f t="shared" si="93"/>
        <v>3473.3572624679518</v>
      </c>
      <c r="AA208" s="40">
        <f t="shared" si="94"/>
        <v>4</v>
      </c>
      <c r="AB208" s="40">
        <f t="shared" si="95"/>
        <v>3500</v>
      </c>
      <c r="AC208" s="40">
        <f t="shared" si="81"/>
        <v>4.2026339709496041E-4</v>
      </c>
      <c r="AD208" s="40">
        <f t="shared" si="96"/>
        <v>0.14014518132082018</v>
      </c>
      <c r="AE208" s="34">
        <f t="shared" si="97"/>
        <v>565.8187491923992</v>
      </c>
      <c r="AF208" s="34">
        <f t="shared" si="98"/>
        <v>1.5129482295418575</v>
      </c>
      <c r="AG208" s="34">
        <f t="shared" si="82"/>
        <v>2.0280807366512836</v>
      </c>
      <c r="AH208" s="34">
        <f>INDEX('Specification &amp; Data'!E$24:R$46,MATCH(Simulation!AA208,'Specification &amp; Data'!D$24:D$46,0),MATCH(Simulation!AB208,'Specification &amp; Data'!E$47:R$47,0))</f>
        <v>717.30149399999993</v>
      </c>
      <c r="AI208" s="34">
        <f t="shared" si="83"/>
        <v>4.2026339709496041E-4</v>
      </c>
      <c r="AJ208" s="34">
        <f t="shared" si="75"/>
        <v>0.30145556260973033</v>
      </c>
      <c r="AK208" s="34">
        <f t="shared" si="99"/>
        <v>69.888924058779949</v>
      </c>
      <c r="AL208" s="34">
        <v>2.3289729133329802</v>
      </c>
    </row>
    <row r="209" spans="2:38" x14ac:dyDescent="0.25">
      <c r="C209" s="34">
        <f t="shared" si="84"/>
        <v>207</v>
      </c>
      <c r="D209" s="34">
        <v>10</v>
      </c>
      <c r="E209" s="34">
        <f t="shared" si="76"/>
        <v>16.093413323558075</v>
      </c>
      <c r="F209" s="34">
        <f t="shared" si="85"/>
        <v>4.4703925898772425</v>
      </c>
      <c r="G209" s="37">
        <f t="shared" si="86"/>
        <v>1592.6220640696679</v>
      </c>
      <c r="H209" s="34">
        <f t="shared" si="87"/>
        <v>4.358632775130312</v>
      </c>
      <c r="I209" s="34">
        <f t="shared" si="88"/>
        <v>0.22351962949386284</v>
      </c>
      <c r="J209" s="34">
        <f t="shared" si="89"/>
        <v>1</v>
      </c>
      <c r="K209" s="34">
        <v>0</v>
      </c>
      <c r="L209" s="34">
        <f>('Specification &amp; Data'!B$22*'Specification &amp; Data'!B$10*'Specification &amp; Data'!B$20*(Simulation!F209^2-'Specification &amp; Data'!B$21^2))/2</f>
        <v>7.0573003562586658</v>
      </c>
      <c r="M209" s="34">
        <f t="shared" si="90"/>
        <v>128.56997340316127</v>
      </c>
      <c r="N209" s="34">
        <f>'Specification &amp; Data'!B$24*'Specification &amp; Data'!B$18*8.91</f>
        <v>92.968722</v>
      </c>
      <c r="O209" s="34">
        <f t="shared" si="77"/>
        <v>228.59599575941996</v>
      </c>
      <c r="P209" s="40">
        <f t="shared" si="78"/>
        <v>228.59599575941996</v>
      </c>
      <c r="Q209" s="34">
        <f>IF(J209=1,'Specification &amp; Data'!B$52,IF(Simulation!J209=2,'Specification &amp; Data'!B$53,IF(Simulation!J209=3,'Specification &amp; Data'!B$54)))</f>
        <v>575.20663260893332</v>
      </c>
      <c r="R209" s="34">
        <f>(0.5*'Specification &amp; Data'!B$18*Simulation!F209^2)/1000</f>
        <v>5.2130332464546569</v>
      </c>
      <c r="T209" s="40">
        <f>P209*'Specification &amp; Data'!B$14*0.9</f>
        <v>60.665860413076835</v>
      </c>
      <c r="U209" s="40">
        <f>T209/(IF(J209=1,'Specification &amp; Data'!H$7,IF(Simulation!J209=2,'Specification &amp; Data'!H$8,IF(Simulation!J209=3,'Specification &amp; Data'!H$9))))</f>
        <v>2.6690690808255964</v>
      </c>
      <c r="V209" s="40">
        <f t="shared" si="91"/>
        <v>1.4465216416634763E-2</v>
      </c>
      <c r="W209" s="40">
        <f t="shared" si="92"/>
        <v>2.9252352250288157E-2</v>
      </c>
      <c r="X209" s="40">
        <f t="shared" si="79"/>
        <v>1.0219138455185206</v>
      </c>
      <c r="Y209" s="40">
        <f t="shared" si="80"/>
        <v>1.3698577017674538</v>
      </c>
      <c r="Z209" s="40">
        <f t="shared" si="93"/>
        <v>3656.165539439949</v>
      </c>
      <c r="AA209" s="40">
        <f t="shared" si="94"/>
        <v>3</v>
      </c>
      <c r="AB209" s="40">
        <f t="shared" si="95"/>
        <v>3500</v>
      </c>
      <c r="AC209" s="40">
        <f t="shared" si="81"/>
        <v>2.8386495708847796E-4</v>
      </c>
      <c r="AD209" s="40">
        <f t="shared" si="96"/>
        <v>0.14042904627790867</v>
      </c>
      <c r="AE209" s="34">
        <f t="shared" si="97"/>
        <v>364.06702660442846</v>
      </c>
      <c r="AF209" s="34">
        <f t="shared" si="98"/>
        <v>1.0219138455185206</v>
      </c>
      <c r="AG209" s="34">
        <f t="shared" si="82"/>
        <v>1.3698577017674538</v>
      </c>
      <c r="AH209" s="34">
        <f>INDEX('Specification &amp; Data'!E$24:R$46,MATCH(Simulation!AA209,'Specification &amp; Data'!D$24:D$46,0),MATCH(Simulation!AB209,'Specification &amp; Data'!E$47:R$47,0))</f>
        <v>754.57172700000012</v>
      </c>
      <c r="AI209" s="34">
        <f t="shared" si="83"/>
        <v>2.8386495708847796E-4</v>
      </c>
      <c r="AJ209" s="34">
        <f t="shared" si="75"/>
        <v>0.21419647090503374</v>
      </c>
      <c r="AK209" s="34">
        <f t="shared" si="99"/>
        <v>70.103120529684986</v>
      </c>
      <c r="AL209" s="34">
        <v>2.3289729133329802</v>
      </c>
    </row>
    <row r="210" spans="2:38" x14ac:dyDescent="0.25">
      <c r="C210" s="34">
        <f t="shared" si="84"/>
        <v>208</v>
      </c>
      <c r="D210" s="34">
        <v>10</v>
      </c>
      <c r="E210" s="34">
        <f t="shared" si="76"/>
        <v>16.093413323558075</v>
      </c>
      <c r="F210" s="34">
        <f t="shared" si="85"/>
        <v>4.4703925898772425</v>
      </c>
      <c r="G210" s="37">
        <f t="shared" si="86"/>
        <v>1597.0924566595452</v>
      </c>
      <c r="H210" s="34">
        <f t="shared" si="87"/>
        <v>4.4703925898772425</v>
      </c>
      <c r="I210" s="34">
        <f t="shared" si="88"/>
        <v>0</v>
      </c>
      <c r="J210" s="34">
        <f t="shared" si="89"/>
        <v>1</v>
      </c>
      <c r="K210" s="34">
        <v>0</v>
      </c>
      <c r="L210" s="34">
        <f>('Specification &amp; Data'!B$22*'Specification &amp; Data'!B$10*'Specification &amp; Data'!B$20*(Simulation!F210^2-'Specification &amp; Data'!B$21^2))/2</f>
        <v>7.0573003562586658</v>
      </c>
      <c r="M210" s="34">
        <f t="shared" si="90"/>
        <v>0</v>
      </c>
      <c r="N210" s="34">
        <f>'Specification &amp; Data'!B$24*'Specification &amp; Data'!B$18*8.91</f>
        <v>92.968722</v>
      </c>
      <c r="O210" s="34">
        <f t="shared" si="77"/>
        <v>100.02602235625866</v>
      </c>
      <c r="P210" s="40">
        <f t="shared" si="78"/>
        <v>100.02602235625866</v>
      </c>
      <c r="Q210" s="34">
        <f>IF(J210=1,'Specification &amp; Data'!B$52,IF(Simulation!J210=2,'Specification &amp; Data'!B$53,IF(Simulation!J210=3,'Specification &amp; Data'!B$54)))</f>
        <v>575.20663260893332</v>
      </c>
      <c r="R210" s="34">
        <f>(0.5*'Specification &amp; Data'!B$18*Simulation!F210^2)/1000</f>
        <v>5.2130332464546569</v>
      </c>
      <c r="T210" s="40">
        <f>P210*'Specification &amp; Data'!B$14*0.9</f>
        <v>26.545367471468644</v>
      </c>
      <c r="U210" s="40">
        <f>T210/(IF(J210=1,'Specification &amp; Data'!H$7,IF(Simulation!J210=2,'Specification &amp; Data'!H$8,IF(Simulation!J210=3,'Specification &amp; Data'!H$9))))</f>
        <v>1.1678960633677604</v>
      </c>
      <c r="V210" s="40">
        <f t="shared" si="91"/>
        <v>1.4473980000861751E-2</v>
      </c>
      <c r="W210" s="40">
        <f t="shared" si="92"/>
        <v>2.9252352250288157E-2</v>
      </c>
      <c r="X210" s="40">
        <f t="shared" si="79"/>
        <v>0.44715558913631415</v>
      </c>
      <c r="Y210" s="40">
        <f t="shared" si="80"/>
        <v>0.59940427498165427</v>
      </c>
      <c r="Z210" s="40">
        <f t="shared" si="93"/>
        <v>3656.165539439949</v>
      </c>
      <c r="AA210" s="40">
        <f t="shared" si="94"/>
        <v>1</v>
      </c>
      <c r="AB210" s="40">
        <f t="shared" si="95"/>
        <v>3500</v>
      </c>
      <c r="AC210" s="40">
        <f t="shared" si="81"/>
        <v>1.2420988587119838E-4</v>
      </c>
      <c r="AD210" s="40">
        <f t="shared" si="96"/>
        <v>0.14055325616377987</v>
      </c>
      <c r="AE210" s="34">
        <f t="shared" si="97"/>
        <v>159.75080577483973</v>
      </c>
      <c r="AF210" s="34">
        <f t="shared" si="98"/>
        <v>0.44715558913631415</v>
      </c>
      <c r="AG210" s="34">
        <f t="shared" si="82"/>
        <v>0.59940427498165427</v>
      </c>
      <c r="AH210" s="34">
        <f>INDEX('Specification &amp; Data'!E$24:R$46,MATCH(Simulation!AA210,'Specification &amp; Data'!D$24:D$46,0),MATCH(Simulation!AB210,'Specification &amp; Data'!E$47:R$47,0))</f>
        <v>951.79202299999974</v>
      </c>
      <c r="AI210" s="34">
        <f t="shared" si="83"/>
        <v>1.2420988587119838E-4</v>
      </c>
      <c r="AJ210" s="34">
        <f t="shared" si="75"/>
        <v>0.118221978549947</v>
      </c>
      <c r="AK210" s="34">
        <f t="shared" si="99"/>
        <v>70.22134250823494</v>
      </c>
      <c r="AL210" s="34">
        <v>2.3289729133329802</v>
      </c>
    </row>
    <row r="211" spans="2:38" x14ac:dyDescent="0.25">
      <c r="C211" s="34">
        <f t="shared" si="84"/>
        <v>209</v>
      </c>
      <c r="D211" s="34">
        <v>10</v>
      </c>
      <c r="E211" s="34">
        <f t="shared" si="76"/>
        <v>16.093413323558075</v>
      </c>
      <c r="F211" s="34">
        <f t="shared" si="85"/>
        <v>4.4703925898772425</v>
      </c>
      <c r="G211" s="37">
        <f t="shared" si="86"/>
        <v>1601.5628492494225</v>
      </c>
      <c r="H211" s="34">
        <f t="shared" si="87"/>
        <v>4.4703925898772425</v>
      </c>
      <c r="I211" s="34">
        <f t="shared" si="88"/>
        <v>0</v>
      </c>
      <c r="J211" s="34">
        <f t="shared" si="89"/>
        <v>1</v>
      </c>
      <c r="K211" s="34">
        <v>0</v>
      </c>
      <c r="L211" s="34">
        <f>('Specification &amp; Data'!B$22*'Specification &amp; Data'!B$10*'Specification &amp; Data'!B$20*(Simulation!F211^2-'Specification &amp; Data'!B$21^2))/2</f>
        <v>7.0573003562586658</v>
      </c>
      <c r="M211" s="34">
        <f t="shared" si="90"/>
        <v>0</v>
      </c>
      <c r="N211" s="34">
        <f>'Specification &amp; Data'!B$24*'Specification &amp; Data'!B$18*8.91</f>
        <v>92.968722</v>
      </c>
      <c r="O211" s="34">
        <f t="shared" si="77"/>
        <v>100.02602235625866</v>
      </c>
      <c r="P211" s="40">
        <f t="shared" si="78"/>
        <v>100.02602235625866</v>
      </c>
      <c r="Q211" s="34">
        <f>IF(J211=1,'Specification &amp; Data'!B$52,IF(Simulation!J211=2,'Specification &amp; Data'!B$53,IF(Simulation!J211=3,'Specification &amp; Data'!B$54)))</f>
        <v>575.20663260893332</v>
      </c>
      <c r="R211" s="34">
        <f>(0.5*'Specification &amp; Data'!B$18*Simulation!F211^2)/1000</f>
        <v>5.2130332464546569</v>
      </c>
      <c r="T211" s="40">
        <f>P211*'Specification &amp; Data'!B$14*0.9</f>
        <v>26.545367471468644</v>
      </c>
      <c r="U211" s="40">
        <f>T211/(IF(J211=1,'Specification &amp; Data'!H$7,IF(Simulation!J211=2,'Specification &amp; Data'!H$8,IF(Simulation!J211=3,'Specification &amp; Data'!H$9))))</f>
        <v>1.1678960633677604</v>
      </c>
      <c r="V211" s="40">
        <f t="shared" si="91"/>
        <v>1.4482743585088739E-2</v>
      </c>
      <c r="W211" s="40">
        <f t="shared" si="92"/>
        <v>2.9252352250288157E-2</v>
      </c>
      <c r="X211" s="40">
        <f t="shared" si="79"/>
        <v>0.44715558913631415</v>
      </c>
      <c r="Y211" s="40">
        <f t="shared" si="80"/>
        <v>0.59940427498165427</v>
      </c>
      <c r="Z211" s="40">
        <f t="shared" si="93"/>
        <v>3656.165539439949</v>
      </c>
      <c r="AA211" s="40">
        <f t="shared" si="94"/>
        <v>1</v>
      </c>
      <c r="AB211" s="40">
        <f t="shared" si="95"/>
        <v>3500</v>
      </c>
      <c r="AC211" s="40">
        <f t="shared" si="81"/>
        <v>1.2420988587119838E-4</v>
      </c>
      <c r="AD211" s="40">
        <f t="shared" si="96"/>
        <v>0.14067746604965106</v>
      </c>
      <c r="AE211" s="34">
        <f t="shared" si="97"/>
        <v>160.19796136397608</v>
      </c>
      <c r="AF211" s="34">
        <f t="shared" si="98"/>
        <v>0.44715558913631415</v>
      </c>
      <c r="AG211" s="34">
        <f t="shared" si="82"/>
        <v>0.59940427498165427</v>
      </c>
      <c r="AH211" s="34">
        <f>INDEX('Specification &amp; Data'!E$24:R$46,MATCH(Simulation!AA211,'Specification &amp; Data'!D$24:D$46,0),MATCH(Simulation!AB211,'Specification &amp; Data'!E$47:R$47,0))</f>
        <v>951.79202299999974</v>
      </c>
      <c r="AI211" s="34">
        <f t="shared" si="83"/>
        <v>1.2420988587119838E-4</v>
      </c>
      <c r="AJ211" s="34">
        <f t="shared" si="75"/>
        <v>0.118221978549947</v>
      </c>
      <c r="AK211" s="34">
        <f t="shared" si="99"/>
        <v>70.339564486784894</v>
      </c>
      <c r="AL211" s="34">
        <v>2.3289729133329802</v>
      </c>
    </row>
    <row r="212" spans="2:38" x14ac:dyDescent="0.25">
      <c r="C212" s="34">
        <f t="shared" si="84"/>
        <v>210</v>
      </c>
      <c r="D212" s="34">
        <v>9</v>
      </c>
      <c r="E212" s="34">
        <f t="shared" si="76"/>
        <v>14.484071991202267</v>
      </c>
      <c r="F212" s="34">
        <f t="shared" si="85"/>
        <v>4.0233533308895186</v>
      </c>
      <c r="G212" s="37">
        <f t="shared" si="86"/>
        <v>1605.8097222098058</v>
      </c>
      <c r="H212" s="34">
        <f t="shared" si="87"/>
        <v>4.2468729603833806</v>
      </c>
      <c r="I212" s="34">
        <f t="shared" si="88"/>
        <v>-0.4470392589877239</v>
      </c>
      <c r="J212" s="34">
        <f t="shared" si="89"/>
        <v>1</v>
      </c>
      <c r="K212" s="34">
        <v>0</v>
      </c>
      <c r="L212" s="34">
        <f>('Specification &amp; Data'!B$22*'Specification &amp; Data'!B$10*'Specification &amp; Data'!B$20*(Simulation!F212^2-'Specification &amp; Data'!B$21^2))/2</f>
        <v>5.27221431458607</v>
      </c>
      <c r="M212" s="34">
        <f t="shared" si="90"/>
        <v>-257.13994680632152</v>
      </c>
      <c r="N212" s="34">
        <f>'Specification &amp; Data'!B$24*'Specification &amp; Data'!B$18*8.91</f>
        <v>92.968722</v>
      </c>
      <c r="O212" s="34">
        <f t="shared" si="77"/>
        <v>-158.89901049173545</v>
      </c>
      <c r="P212" s="40">
        <f t="shared" si="78"/>
        <v>158.89901049173545</v>
      </c>
      <c r="Q212" s="34">
        <f>IF(J212=1,'Specification &amp; Data'!B$52,IF(Simulation!J212=2,'Specification &amp; Data'!B$53,IF(Simulation!J212=3,'Specification &amp; Data'!B$54)))</f>
        <v>575.20663260893332</v>
      </c>
      <c r="R212" s="34">
        <f>(0.5*'Specification &amp; Data'!B$18*Simulation!F212^2)/1000</f>
        <v>4.222556929628273</v>
      </c>
      <c r="T212" s="40">
        <f>P212*'Specification &amp; Data'!B$14*0.9</f>
        <v>42.169352784345186</v>
      </c>
      <c r="U212" s="40">
        <f>T212/(IF(J212=1,'Specification &amp; Data'!H$7,IF(Simulation!J212=2,'Specification &amp; Data'!H$8,IF(Simulation!J212=3,'Specification &amp; Data'!H$9))))</f>
        <v>1.8552924974399794</v>
      </c>
      <c r="V212" s="40">
        <f t="shared" si="91"/>
        <v>1.4488635802039782E-2</v>
      </c>
      <c r="W212" s="40">
        <f t="shared" si="92"/>
        <v>2.9429937490048429E-2</v>
      </c>
      <c r="X212" s="40">
        <f t="shared" si="79"/>
        <v>0.63930686313697238</v>
      </c>
      <c r="Y212" s="40">
        <f t="shared" si="80"/>
        <v>0.85697970929889067</v>
      </c>
      <c r="Z212" s="40">
        <f t="shared" si="93"/>
        <v>3290.5489854959533</v>
      </c>
      <c r="AA212" s="40">
        <f t="shared" si="94"/>
        <v>2</v>
      </c>
      <c r="AB212" s="40">
        <f t="shared" si="95"/>
        <v>3500</v>
      </c>
      <c r="AC212" s="40">
        <f t="shared" si="81"/>
        <v>1.7758523976027011E-4</v>
      </c>
      <c r="AD212" s="40">
        <f t="shared" si="96"/>
        <v>0.14085505128941134</v>
      </c>
      <c r="AE212" s="34">
        <f t="shared" si="97"/>
        <v>-255.16157589714675</v>
      </c>
      <c r="AF212" s="34">
        <f t="shared" si="98"/>
        <v>-0.63930686313697238</v>
      </c>
      <c r="AG212" s="34">
        <f t="shared" si="82"/>
        <v>-0.85697970929889067</v>
      </c>
      <c r="AH212" s="34">
        <f>INDEX('Specification &amp; Data'!E$24:R$46,MATCH(Simulation!AA212,'Specification &amp; Data'!D$24:D$46,0),MATCH(Simulation!AB212,'Specification &amp; Data'!E$47:R$47,0))</f>
        <v>833.54953499999999</v>
      </c>
      <c r="AI212" s="34">
        <f t="shared" si="83"/>
        <v>-1.7758523976027011E-4</v>
      </c>
      <c r="AJ212" s="34">
        <f t="shared" si="75"/>
        <v>0.14802609402503666</v>
      </c>
      <c r="AK212" s="34">
        <f t="shared" si="99"/>
        <v>70.487590580809936</v>
      </c>
      <c r="AL212" s="34">
        <v>2.3289729133329802</v>
      </c>
    </row>
    <row r="213" spans="2:38" x14ac:dyDescent="0.25">
      <c r="C213" s="34">
        <f t="shared" si="84"/>
        <v>211</v>
      </c>
      <c r="D213" s="34">
        <v>8</v>
      </c>
      <c r="E213" s="34">
        <f t="shared" si="76"/>
        <v>12.87473065884646</v>
      </c>
      <c r="F213" s="34">
        <f t="shared" si="85"/>
        <v>3.5763140719017943</v>
      </c>
      <c r="G213" s="37">
        <f t="shared" si="86"/>
        <v>1609.6095559112016</v>
      </c>
      <c r="H213" s="34">
        <f t="shared" si="87"/>
        <v>3.7998337013956567</v>
      </c>
      <c r="I213" s="34">
        <f t="shared" si="88"/>
        <v>-0.4470392589877239</v>
      </c>
      <c r="J213" s="34">
        <f t="shared" si="89"/>
        <v>1</v>
      </c>
      <c r="K213" s="34">
        <v>0</v>
      </c>
      <c r="L213" s="34">
        <f>('Specification &amp; Data'!B$22*'Specification &amp; Data'!B$10*'Specification &amp; Data'!B$20*(Simulation!F213^2-'Specification &amp; Data'!B$21^2))/2</f>
        <v>3.6750320667737468</v>
      </c>
      <c r="M213" s="34">
        <f t="shared" si="90"/>
        <v>-257.13994680632152</v>
      </c>
      <c r="N213" s="34">
        <f>'Specification &amp; Data'!B$24*'Specification &amp; Data'!B$18*8.91</f>
        <v>92.968722</v>
      </c>
      <c r="O213" s="34">
        <f t="shared" si="77"/>
        <v>-160.49619273954778</v>
      </c>
      <c r="P213" s="40">
        <f t="shared" si="78"/>
        <v>160.49619273954778</v>
      </c>
      <c r="Q213" s="34">
        <f>IF(J213=1,'Specification &amp; Data'!B$52,IF(Simulation!J213=2,'Specification &amp; Data'!B$53,IF(Simulation!J213=3,'Specification &amp; Data'!B$54)))</f>
        <v>575.20663260893332</v>
      </c>
      <c r="R213" s="34">
        <f>(0.5*'Specification &amp; Data'!B$18*Simulation!F213^2)/1000</f>
        <v>3.3363412777309809</v>
      </c>
      <c r="T213" s="40">
        <f>P213*'Specification &amp; Data'!B$14*0.9</f>
        <v>42.593220380879991</v>
      </c>
      <c r="U213" s="40">
        <f>T213/(IF(J213=1,'Specification &amp; Data'!H$7,IF(Simulation!J213=2,'Specification &amp; Data'!H$8,IF(Simulation!J213=3,'Specification &amp; Data'!H$9))))</f>
        <v>1.8739410732381567</v>
      </c>
      <c r="V213" s="40">
        <f t="shared" si="91"/>
        <v>1.449228665451064E-2</v>
      </c>
      <c r="W213" s="40">
        <f t="shared" si="92"/>
        <v>2.9589377710209846E-2</v>
      </c>
      <c r="X213" s="40">
        <f t="shared" si="79"/>
        <v>0.57398479258110724</v>
      </c>
      <c r="Y213" s="40">
        <f t="shared" si="80"/>
        <v>0.76941661203901779</v>
      </c>
      <c r="Z213" s="40">
        <f t="shared" si="93"/>
        <v>2924.9324315519584</v>
      </c>
      <c r="AA213" s="40">
        <f t="shared" si="94"/>
        <v>2</v>
      </c>
      <c r="AB213" s="40">
        <f t="shared" si="95"/>
        <v>3000</v>
      </c>
      <c r="AC213" s="40">
        <f t="shared" si="81"/>
        <v>1.5944022016141867E-4</v>
      </c>
      <c r="AD213" s="40">
        <f t="shared" si="96"/>
        <v>0.14101449150957276</v>
      </c>
      <c r="AE213" s="34">
        <f t="shared" si="97"/>
        <v>-258.33620552094209</v>
      </c>
      <c r="AF213" s="34">
        <f t="shared" si="98"/>
        <v>-0.57398479258110724</v>
      </c>
      <c r="AG213" s="34">
        <f t="shared" si="82"/>
        <v>-0.76941661203901779</v>
      </c>
      <c r="AH213" s="34">
        <f>INDEX('Specification &amp; Data'!E$24:R$46,MATCH(Simulation!AA213,'Specification &amp; Data'!D$24:D$46,0),MATCH(Simulation!AB213,'Specification &amp; Data'!E$47:R$47,0))</f>
        <v>855.21836400000018</v>
      </c>
      <c r="AI213" s="34">
        <f t="shared" si="83"/>
        <v>-1.5944022016141867E-4</v>
      </c>
      <c r="AJ213" s="34">
        <f t="shared" si="75"/>
        <v>0.13635620424224831</v>
      </c>
      <c r="AK213" s="34">
        <f t="shared" si="99"/>
        <v>70.623946785052183</v>
      </c>
      <c r="AL213" s="34">
        <v>2.3289729133329802</v>
      </c>
    </row>
    <row r="214" spans="2:38" x14ac:dyDescent="0.25">
      <c r="B214" s="36" t="s">
        <v>138</v>
      </c>
      <c r="C214" s="34">
        <f t="shared" si="84"/>
        <v>212</v>
      </c>
      <c r="D214" s="34">
        <v>8</v>
      </c>
      <c r="E214" s="34">
        <f t="shared" si="76"/>
        <v>12.87473065884646</v>
      </c>
      <c r="F214" s="34">
        <f t="shared" si="85"/>
        <v>3.5763140719017943</v>
      </c>
      <c r="G214" s="37">
        <f t="shared" si="86"/>
        <v>1613.1858699831034</v>
      </c>
      <c r="H214" s="34">
        <f t="shared" si="87"/>
        <v>3.5763140719017943</v>
      </c>
      <c r="I214" s="34">
        <f t="shared" si="88"/>
        <v>0</v>
      </c>
      <c r="J214" s="34">
        <f t="shared" si="89"/>
        <v>1</v>
      </c>
      <c r="K214" s="34">
        <v>0</v>
      </c>
      <c r="L214" s="34">
        <f>('Specification &amp; Data'!B$22*'Specification &amp; Data'!B$10*'Specification &amp; Data'!B$20*(Simulation!F214^2-'Specification &amp; Data'!B$21^2))/2</f>
        <v>3.6750320667737468</v>
      </c>
      <c r="M214" s="34">
        <f t="shared" si="90"/>
        <v>0</v>
      </c>
      <c r="N214" s="34">
        <f>'Specification &amp; Data'!B$24*'Specification &amp; Data'!B$18*8.91</f>
        <v>92.968722</v>
      </c>
      <c r="O214" s="34">
        <f t="shared" si="77"/>
        <v>96.643754066773752</v>
      </c>
      <c r="P214" s="40">
        <f t="shared" si="78"/>
        <v>96.643754066773752</v>
      </c>
      <c r="Q214" s="34">
        <f>IF(J214=1,'Specification &amp; Data'!B$52,IF(Simulation!J214=2,'Specification &amp; Data'!B$53,IF(Simulation!J214=3,'Specification &amp; Data'!B$54)))</f>
        <v>575.20663260893332</v>
      </c>
      <c r="R214" s="34">
        <f>(0.5*'Specification &amp; Data'!B$18*Simulation!F214^2)/1000</f>
        <v>3.3363412777309809</v>
      </c>
      <c r="T214" s="40">
        <f>P214*'Specification &amp; Data'!B$14*0.9</f>
        <v>25.64776550233611</v>
      </c>
      <c r="U214" s="40">
        <f>T214/(IF(J214=1,'Specification &amp; Data'!H$7,IF(Simulation!J214=2,'Specification &amp; Data'!H$8,IF(Simulation!J214=3,'Specification &amp; Data'!H$9))))</f>
        <v>1.1284049616775025</v>
      </c>
      <c r="V214" s="40">
        <f t="shared" si="91"/>
        <v>1.4495937506981499E-2</v>
      </c>
      <c r="W214" s="40">
        <f t="shared" si="92"/>
        <v>2.9589377710209846E-2</v>
      </c>
      <c r="X214" s="40">
        <f t="shared" si="79"/>
        <v>0.34562841763041924</v>
      </c>
      <c r="Y214" s="40">
        <f t="shared" si="80"/>
        <v>0.46330887081825634</v>
      </c>
      <c r="Z214" s="40">
        <f t="shared" si="93"/>
        <v>2924.9324315519593</v>
      </c>
      <c r="AA214" s="40">
        <f t="shared" si="94"/>
        <v>1</v>
      </c>
      <c r="AB214" s="40">
        <f t="shared" si="95"/>
        <v>3000</v>
      </c>
      <c r="AC214" s="40">
        <f t="shared" si="81"/>
        <v>9.6007893786227569E-5</v>
      </c>
      <c r="AD214" s="40">
        <f t="shared" si="96"/>
        <v>0.14111049940335899</v>
      </c>
      <c r="AE214" s="34">
        <f t="shared" si="97"/>
        <v>155.90433848264149</v>
      </c>
      <c r="AF214" s="34">
        <f t="shared" si="98"/>
        <v>0.34562841763041924</v>
      </c>
      <c r="AG214" s="34">
        <f t="shared" si="82"/>
        <v>0.46330887081825634</v>
      </c>
      <c r="AH214" s="34">
        <f>INDEX('Specification &amp; Data'!E$24:R$46,MATCH(Simulation!AA214,'Specification &amp; Data'!D$24:D$46,0),MATCH(Simulation!AB214,'Specification &amp; Data'!E$47:R$47,0))</f>
        <v>966.15913333333356</v>
      </c>
      <c r="AI214" s="34">
        <f t="shared" si="83"/>
        <v>9.6007893786227569E-5</v>
      </c>
      <c r="AJ214" s="34">
        <f t="shared" si="75"/>
        <v>9.2758903453660363E-2</v>
      </c>
      <c r="AK214" s="34">
        <f t="shared" si="99"/>
        <v>70.71670568850584</v>
      </c>
      <c r="AL214" s="34">
        <v>2.3289729133329802</v>
      </c>
    </row>
    <row r="215" spans="2:38" x14ac:dyDescent="0.25">
      <c r="C215" s="34">
        <f t="shared" si="84"/>
        <v>213</v>
      </c>
      <c r="D215" s="34">
        <v>8</v>
      </c>
      <c r="E215" s="34">
        <f t="shared" si="76"/>
        <v>12.87473065884646</v>
      </c>
      <c r="F215" s="34">
        <f t="shared" si="85"/>
        <v>3.5763140719017943</v>
      </c>
      <c r="G215" s="37">
        <f t="shared" si="86"/>
        <v>1616.7621840550053</v>
      </c>
      <c r="H215" s="34">
        <f t="shared" si="87"/>
        <v>3.5763140719017943</v>
      </c>
      <c r="I215" s="34">
        <f t="shared" si="88"/>
        <v>0</v>
      </c>
      <c r="J215" s="34">
        <f t="shared" si="89"/>
        <v>1</v>
      </c>
      <c r="K215" s="34">
        <v>0</v>
      </c>
      <c r="L215" s="34">
        <f>('Specification &amp; Data'!B$22*'Specification &amp; Data'!B$10*'Specification &amp; Data'!B$20*(Simulation!F215^2-'Specification &amp; Data'!B$21^2))/2</f>
        <v>3.6750320667737468</v>
      </c>
      <c r="M215" s="34">
        <f t="shared" si="90"/>
        <v>0</v>
      </c>
      <c r="N215" s="34">
        <f>'Specification &amp; Data'!B$24*'Specification &amp; Data'!B$18*8.91</f>
        <v>92.968722</v>
      </c>
      <c r="O215" s="34">
        <f t="shared" si="77"/>
        <v>96.643754066773752</v>
      </c>
      <c r="P215" s="40">
        <f t="shared" si="78"/>
        <v>96.643754066773752</v>
      </c>
      <c r="Q215" s="34">
        <f>IF(J215=1,'Specification &amp; Data'!B$52,IF(Simulation!J215=2,'Specification &amp; Data'!B$53,IF(Simulation!J215=3,'Specification &amp; Data'!B$54)))</f>
        <v>575.20663260893332</v>
      </c>
      <c r="R215" s="34">
        <f>(0.5*'Specification &amp; Data'!B$18*Simulation!F215^2)/1000</f>
        <v>3.3363412777309809</v>
      </c>
      <c r="T215" s="40">
        <f>P215*'Specification &amp; Data'!B$14*0.9</f>
        <v>25.64776550233611</v>
      </c>
      <c r="U215" s="40">
        <f>T215/(IF(J215=1,'Specification &amp; Data'!H$7,IF(Simulation!J215=2,'Specification &amp; Data'!H$8,IF(Simulation!J215=3,'Specification &amp; Data'!H$9))))</f>
        <v>1.1284049616775025</v>
      </c>
      <c r="V215" s="40">
        <f t="shared" si="91"/>
        <v>1.4499588359452358E-2</v>
      </c>
      <c r="W215" s="40">
        <f t="shared" si="92"/>
        <v>2.9589377710209846E-2</v>
      </c>
      <c r="X215" s="40">
        <f t="shared" si="79"/>
        <v>0.34562841763041924</v>
      </c>
      <c r="Y215" s="40">
        <f t="shared" si="80"/>
        <v>0.46330887081825634</v>
      </c>
      <c r="Z215" s="40">
        <f t="shared" si="93"/>
        <v>2924.9324315519593</v>
      </c>
      <c r="AA215" s="40">
        <f t="shared" si="94"/>
        <v>1</v>
      </c>
      <c r="AB215" s="40">
        <f t="shared" si="95"/>
        <v>3000</v>
      </c>
      <c r="AC215" s="40">
        <f t="shared" si="81"/>
        <v>9.6007893786227569E-5</v>
      </c>
      <c r="AD215" s="40">
        <f t="shared" si="96"/>
        <v>0.14120650729714521</v>
      </c>
      <c r="AE215" s="34">
        <f t="shared" si="97"/>
        <v>156.24996690027191</v>
      </c>
      <c r="AF215" s="34">
        <f t="shared" si="98"/>
        <v>0.34562841763041924</v>
      </c>
      <c r="AG215" s="34">
        <f t="shared" si="82"/>
        <v>0.46330887081825634</v>
      </c>
      <c r="AH215" s="34">
        <f>INDEX('Specification &amp; Data'!E$24:R$46,MATCH(Simulation!AA215,'Specification &amp; Data'!D$24:D$46,0),MATCH(Simulation!AB215,'Specification &amp; Data'!E$47:R$47,0))</f>
        <v>966.15913333333356</v>
      </c>
      <c r="AI215" s="34">
        <f t="shared" si="83"/>
        <v>9.6007893786227569E-5</v>
      </c>
      <c r="AJ215" s="34">
        <f t="shared" si="75"/>
        <v>9.2758903453660363E-2</v>
      </c>
      <c r="AK215" s="34">
        <f t="shared" si="99"/>
        <v>70.809464591959497</v>
      </c>
      <c r="AL215" s="34">
        <v>2.3289729133329802</v>
      </c>
    </row>
    <row r="216" spans="2:38" x14ac:dyDescent="0.25">
      <c r="C216" s="34">
        <f t="shared" si="84"/>
        <v>214</v>
      </c>
      <c r="D216" s="34">
        <v>8</v>
      </c>
      <c r="E216" s="34">
        <f t="shared" si="76"/>
        <v>12.87473065884646</v>
      </c>
      <c r="F216" s="34">
        <f t="shared" si="85"/>
        <v>3.5763140719017943</v>
      </c>
      <c r="G216" s="37">
        <f t="shared" si="86"/>
        <v>1620.3384981269071</v>
      </c>
      <c r="H216" s="34">
        <f t="shared" si="87"/>
        <v>3.5763140719017943</v>
      </c>
      <c r="I216" s="34">
        <f t="shared" si="88"/>
        <v>0</v>
      </c>
      <c r="J216" s="34">
        <f t="shared" si="89"/>
        <v>1</v>
      </c>
      <c r="K216" s="34">
        <v>0</v>
      </c>
      <c r="L216" s="34">
        <f>('Specification &amp; Data'!B$22*'Specification &amp; Data'!B$10*'Specification &amp; Data'!B$20*(Simulation!F216^2-'Specification &amp; Data'!B$21^2))/2</f>
        <v>3.6750320667737468</v>
      </c>
      <c r="M216" s="34">
        <f t="shared" si="90"/>
        <v>0</v>
      </c>
      <c r="N216" s="34">
        <f>'Specification &amp; Data'!B$24*'Specification &amp; Data'!B$18*8.91</f>
        <v>92.968722</v>
      </c>
      <c r="O216" s="34">
        <f t="shared" si="77"/>
        <v>96.643754066773752</v>
      </c>
      <c r="P216" s="40">
        <f t="shared" si="78"/>
        <v>96.643754066773752</v>
      </c>
      <c r="Q216" s="34">
        <f>IF(J216=1,'Specification &amp; Data'!B$52,IF(Simulation!J216=2,'Specification &amp; Data'!B$53,IF(Simulation!J216=3,'Specification &amp; Data'!B$54)))</f>
        <v>575.20663260893332</v>
      </c>
      <c r="R216" s="34">
        <f>(0.5*'Specification &amp; Data'!B$18*Simulation!F216^2)/1000</f>
        <v>3.3363412777309809</v>
      </c>
      <c r="T216" s="40">
        <f>P216*'Specification &amp; Data'!B$14*0.9</f>
        <v>25.64776550233611</v>
      </c>
      <c r="U216" s="40">
        <f>T216/(IF(J216=1,'Specification &amp; Data'!H$7,IF(Simulation!J216=2,'Specification &amp; Data'!H$8,IF(Simulation!J216=3,'Specification &amp; Data'!H$9))))</f>
        <v>1.1284049616775025</v>
      </c>
      <c r="V216" s="40">
        <f t="shared" si="91"/>
        <v>1.4503239211923216E-2</v>
      </c>
      <c r="W216" s="40">
        <f t="shared" si="92"/>
        <v>2.9589377710209846E-2</v>
      </c>
      <c r="X216" s="40">
        <f t="shared" si="79"/>
        <v>0.34562841763041924</v>
      </c>
      <c r="Y216" s="40">
        <f t="shared" si="80"/>
        <v>0.46330887081825634</v>
      </c>
      <c r="Z216" s="40">
        <f t="shared" si="93"/>
        <v>2924.9324315519593</v>
      </c>
      <c r="AA216" s="40">
        <f t="shared" si="94"/>
        <v>1</v>
      </c>
      <c r="AB216" s="40">
        <f t="shared" si="95"/>
        <v>3000</v>
      </c>
      <c r="AC216" s="40">
        <f t="shared" si="81"/>
        <v>9.6007893786227569E-5</v>
      </c>
      <c r="AD216" s="40">
        <f t="shared" si="96"/>
        <v>0.14130251519093143</v>
      </c>
      <c r="AE216" s="34">
        <f t="shared" si="97"/>
        <v>156.59559531790237</v>
      </c>
      <c r="AF216" s="34">
        <f t="shared" si="98"/>
        <v>0.34562841763041924</v>
      </c>
      <c r="AG216" s="34">
        <f t="shared" si="82"/>
        <v>0.46330887081825634</v>
      </c>
      <c r="AH216" s="34">
        <f>INDEX('Specification &amp; Data'!E$24:R$46,MATCH(Simulation!AA216,'Specification &amp; Data'!D$24:D$46,0),MATCH(Simulation!AB216,'Specification &amp; Data'!E$47:R$47,0))</f>
        <v>966.15913333333356</v>
      </c>
      <c r="AI216" s="34">
        <f t="shared" si="83"/>
        <v>9.6007893786227569E-5</v>
      </c>
      <c r="AJ216" s="34">
        <f t="shared" si="75"/>
        <v>9.2758903453660363E-2</v>
      </c>
      <c r="AK216" s="34">
        <f t="shared" si="99"/>
        <v>70.902223495413153</v>
      </c>
      <c r="AL216" s="34">
        <v>2.3289729133329802</v>
      </c>
    </row>
    <row r="217" spans="2:38" x14ac:dyDescent="0.25">
      <c r="C217" s="34">
        <f t="shared" si="84"/>
        <v>215</v>
      </c>
      <c r="D217" s="34">
        <v>8</v>
      </c>
      <c r="E217" s="34">
        <f t="shared" si="76"/>
        <v>12.87473065884646</v>
      </c>
      <c r="F217" s="34">
        <f t="shared" si="85"/>
        <v>3.5763140719017943</v>
      </c>
      <c r="G217" s="37">
        <f t="shared" si="86"/>
        <v>1623.9148121988089</v>
      </c>
      <c r="H217" s="34">
        <f t="shared" si="87"/>
        <v>3.5763140719017943</v>
      </c>
      <c r="I217" s="34">
        <f t="shared" si="88"/>
        <v>0</v>
      </c>
      <c r="J217" s="34">
        <f t="shared" si="89"/>
        <v>1</v>
      </c>
      <c r="K217" s="34">
        <v>0</v>
      </c>
      <c r="L217" s="34">
        <f>('Specification &amp; Data'!B$22*'Specification &amp; Data'!B$10*'Specification &amp; Data'!B$20*(Simulation!F217^2-'Specification &amp; Data'!B$21^2))/2</f>
        <v>3.6750320667737468</v>
      </c>
      <c r="M217" s="34">
        <f t="shared" si="90"/>
        <v>0</v>
      </c>
      <c r="N217" s="34">
        <f>'Specification &amp; Data'!B$24*'Specification &amp; Data'!B$18*8.91</f>
        <v>92.968722</v>
      </c>
      <c r="O217" s="34">
        <f t="shared" si="77"/>
        <v>96.643754066773752</v>
      </c>
      <c r="P217" s="40">
        <f t="shared" si="78"/>
        <v>96.643754066773752</v>
      </c>
      <c r="Q217" s="34">
        <f>IF(J217=1,'Specification &amp; Data'!B$52,IF(Simulation!J217=2,'Specification &amp; Data'!B$53,IF(Simulation!J217=3,'Specification &amp; Data'!B$54)))</f>
        <v>575.20663260893332</v>
      </c>
      <c r="R217" s="34">
        <f>(0.5*'Specification &amp; Data'!B$18*Simulation!F217^2)/1000</f>
        <v>3.3363412777309809</v>
      </c>
      <c r="T217" s="40">
        <f>P217*'Specification &amp; Data'!B$14*0.9</f>
        <v>25.64776550233611</v>
      </c>
      <c r="U217" s="40">
        <f>T217/(IF(J217=1,'Specification &amp; Data'!H$7,IF(Simulation!J217=2,'Specification &amp; Data'!H$8,IF(Simulation!J217=3,'Specification &amp; Data'!H$9))))</f>
        <v>1.1284049616775025</v>
      </c>
      <c r="V217" s="40">
        <f t="shared" si="91"/>
        <v>1.4506890064394075E-2</v>
      </c>
      <c r="W217" s="40">
        <f t="shared" si="92"/>
        <v>2.9589377710209846E-2</v>
      </c>
      <c r="X217" s="40">
        <f t="shared" si="79"/>
        <v>0.34562841763041924</v>
      </c>
      <c r="Y217" s="40">
        <f t="shared" si="80"/>
        <v>0.46330887081825634</v>
      </c>
      <c r="Z217" s="40">
        <f t="shared" si="93"/>
        <v>2924.9324315519593</v>
      </c>
      <c r="AA217" s="40">
        <f t="shared" si="94"/>
        <v>1</v>
      </c>
      <c r="AB217" s="40">
        <f t="shared" si="95"/>
        <v>3000</v>
      </c>
      <c r="AC217" s="40">
        <f t="shared" si="81"/>
        <v>9.6007893786227569E-5</v>
      </c>
      <c r="AD217" s="40">
        <f t="shared" si="96"/>
        <v>0.14139852308471765</v>
      </c>
      <c r="AE217" s="34">
        <f t="shared" si="97"/>
        <v>156.94122373553279</v>
      </c>
      <c r="AF217" s="34">
        <f t="shared" si="98"/>
        <v>0.34562841763041924</v>
      </c>
      <c r="AG217" s="34">
        <f t="shared" si="82"/>
        <v>0.46330887081825634</v>
      </c>
      <c r="AH217" s="34">
        <f>INDEX('Specification &amp; Data'!E$24:R$46,MATCH(Simulation!AA217,'Specification &amp; Data'!D$24:D$46,0),MATCH(Simulation!AB217,'Specification &amp; Data'!E$47:R$47,0))</f>
        <v>966.15913333333356</v>
      </c>
      <c r="AI217" s="34">
        <f t="shared" si="83"/>
        <v>9.6007893786227569E-5</v>
      </c>
      <c r="AJ217" s="34">
        <f t="shared" si="75"/>
        <v>9.2758903453660363E-2</v>
      </c>
      <c r="AK217" s="34">
        <f t="shared" si="99"/>
        <v>70.99498239886681</v>
      </c>
      <c r="AL217" s="34">
        <v>2.3289729133329802</v>
      </c>
    </row>
    <row r="218" spans="2:38" x14ac:dyDescent="0.25">
      <c r="C218" s="34">
        <f t="shared" si="84"/>
        <v>216</v>
      </c>
      <c r="D218" s="34">
        <v>8</v>
      </c>
      <c r="E218" s="34">
        <f t="shared" si="76"/>
        <v>12.87473065884646</v>
      </c>
      <c r="F218" s="34">
        <f t="shared" si="85"/>
        <v>3.5763140719017943</v>
      </c>
      <c r="G218" s="37">
        <f t="shared" si="86"/>
        <v>1627.4911262707108</v>
      </c>
      <c r="H218" s="34">
        <f t="shared" si="87"/>
        <v>3.5763140719017943</v>
      </c>
      <c r="I218" s="34">
        <f t="shared" si="88"/>
        <v>0</v>
      </c>
      <c r="J218" s="34">
        <f t="shared" si="89"/>
        <v>1</v>
      </c>
      <c r="K218" s="34">
        <v>0</v>
      </c>
      <c r="L218" s="34">
        <f>('Specification &amp; Data'!B$22*'Specification &amp; Data'!B$10*'Specification &amp; Data'!B$20*(Simulation!F218^2-'Specification &amp; Data'!B$21^2))/2</f>
        <v>3.6750320667737468</v>
      </c>
      <c r="M218" s="34">
        <f t="shared" si="90"/>
        <v>0</v>
      </c>
      <c r="N218" s="34">
        <f>'Specification &amp; Data'!B$24*'Specification &amp; Data'!B$18*8.91</f>
        <v>92.968722</v>
      </c>
      <c r="O218" s="34">
        <f t="shared" si="77"/>
        <v>96.643754066773752</v>
      </c>
      <c r="P218" s="40">
        <f t="shared" si="78"/>
        <v>96.643754066773752</v>
      </c>
      <c r="Q218" s="34">
        <f>IF(J218=1,'Specification &amp; Data'!B$52,IF(Simulation!J218=2,'Specification &amp; Data'!B$53,IF(Simulation!J218=3,'Specification &amp; Data'!B$54)))</f>
        <v>575.20663260893332</v>
      </c>
      <c r="R218" s="34">
        <f>(0.5*'Specification &amp; Data'!B$18*Simulation!F218^2)/1000</f>
        <v>3.3363412777309809</v>
      </c>
      <c r="T218" s="40">
        <f>P218*'Specification &amp; Data'!B$14*0.9</f>
        <v>25.64776550233611</v>
      </c>
      <c r="U218" s="40">
        <f>T218/(IF(J218=1,'Specification &amp; Data'!H$7,IF(Simulation!J218=2,'Specification &amp; Data'!H$8,IF(Simulation!J218=3,'Specification &amp; Data'!H$9))))</f>
        <v>1.1284049616775025</v>
      </c>
      <c r="V218" s="40">
        <f t="shared" si="91"/>
        <v>1.4510540916864934E-2</v>
      </c>
      <c r="W218" s="40">
        <f t="shared" si="92"/>
        <v>2.9589377710209846E-2</v>
      </c>
      <c r="X218" s="40">
        <f t="shared" si="79"/>
        <v>0.34562841763041924</v>
      </c>
      <c r="Y218" s="40">
        <f t="shared" si="80"/>
        <v>0.46330887081825634</v>
      </c>
      <c r="Z218" s="40">
        <f t="shared" si="93"/>
        <v>2924.9324315519593</v>
      </c>
      <c r="AA218" s="40">
        <f t="shared" si="94"/>
        <v>1</v>
      </c>
      <c r="AB218" s="40">
        <f t="shared" si="95"/>
        <v>3000</v>
      </c>
      <c r="AC218" s="40">
        <f t="shared" si="81"/>
        <v>9.6007893786227569E-5</v>
      </c>
      <c r="AD218" s="40">
        <f t="shared" si="96"/>
        <v>0.14149453097850387</v>
      </c>
      <c r="AE218" s="34">
        <f t="shared" si="97"/>
        <v>157.28685215316321</v>
      </c>
      <c r="AF218" s="34">
        <f t="shared" si="98"/>
        <v>0.34562841763041924</v>
      </c>
      <c r="AG218" s="34">
        <f t="shared" si="82"/>
        <v>0.46330887081825634</v>
      </c>
      <c r="AH218" s="34">
        <f>INDEX('Specification &amp; Data'!E$24:R$46,MATCH(Simulation!AA218,'Specification &amp; Data'!D$24:D$46,0),MATCH(Simulation!AB218,'Specification &amp; Data'!E$47:R$47,0))</f>
        <v>966.15913333333356</v>
      </c>
      <c r="AI218" s="34">
        <f t="shared" si="83"/>
        <v>9.6007893786227569E-5</v>
      </c>
      <c r="AJ218" s="34">
        <f t="shared" si="75"/>
        <v>9.2758903453660363E-2</v>
      </c>
      <c r="AK218" s="34">
        <f t="shared" si="99"/>
        <v>71.087741302320467</v>
      </c>
      <c r="AL218" s="34">
        <v>2.3289729133329802</v>
      </c>
    </row>
    <row r="219" spans="2:38" x14ac:dyDescent="0.25">
      <c r="C219" s="34">
        <f t="shared" si="84"/>
        <v>217</v>
      </c>
      <c r="D219" s="34">
        <v>8</v>
      </c>
      <c r="E219" s="34">
        <f t="shared" si="76"/>
        <v>12.87473065884646</v>
      </c>
      <c r="F219" s="34">
        <f t="shared" si="85"/>
        <v>3.5763140719017943</v>
      </c>
      <c r="G219" s="37">
        <f t="shared" si="86"/>
        <v>1631.0674403426126</v>
      </c>
      <c r="H219" s="34">
        <f t="shared" si="87"/>
        <v>3.5763140719017943</v>
      </c>
      <c r="I219" s="34">
        <f t="shared" si="88"/>
        <v>0</v>
      </c>
      <c r="J219" s="34">
        <f t="shared" si="89"/>
        <v>1</v>
      </c>
      <c r="K219" s="34">
        <v>0</v>
      </c>
      <c r="L219" s="34">
        <f>('Specification &amp; Data'!B$22*'Specification &amp; Data'!B$10*'Specification &amp; Data'!B$20*(Simulation!F219^2-'Specification &amp; Data'!B$21^2))/2</f>
        <v>3.6750320667737468</v>
      </c>
      <c r="M219" s="34">
        <f t="shared" si="90"/>
        <v>0</v>
      </c>
      <c r="N219" s="34">
        <f>'Specification &amp; Data'!B$24*'Specification &amp; Data'!B$18*8.91</f>
        <v>92.968722</v>
      </c>
      <c r="O219" s="34">
        <f t="shared" si="77"/>
        <v>96.643754066773752</v>
      </c>
      <c r="P219" s="40">
        <f t="shared" si="78"/>
        <v>96.643754066773752</v>
      </c>
      <c r="Q219" s="34">
        <f>IF(J219=1,'Specification &amp; Data'!B$52,IF(Simulation!J219=2,'Specification &amp; Data'!B$53,IF(Simulation!J219=3,'Specification &amp; Data'!B$54)))</f>
        <v>575.20663260893332</v>
      </c>
      <c r="R219" s="34">
        <f>(0.5*'Specification &amp; Data'!B$18*Simulation!F219^2)/1000</f>
        <v>3.3363412777309809</v>
      </c>
      <c r="T219" s="40">
        <f>P219*'Specification &amp; Data'!B$14*0.9</f>
        <v>25.64776550233611</v>
      </c>
      <c r="U219" s="40">
        <f>T219/(IF(J219=1,'Specification &amp; Data'!H$7,IF(Simulation!J219=2,'Specification &amp; Data'!H$8,IF(Simulation!J219=3,'Specification &amp; Data'!H$9))))</f>
        <v>1.1284049616775025</v>
      </c>
      <c r="V219" s="40">
        <f t="shared" si="91"/>
        <v>1.4514191769335792E-2</v>
      </c>
      <c r="W219" s="40">
        <f t="shared" si="92"/>
        <v>2.9589377710209846E-2</v>
      </c>
      <c r="X219" s="40">
        <f t="shared" si="79"/>
        <v>0.34562841763041924</v>
      </c>
      <c r="Y219" s="40">
        <f t="shared" si="80"/>
        <v>0.46330887081825634</v>
      </c>
      <c r="Z219" s="40">
        <f t="shared" si="93"/>
        <v>2924.9324315519593</v>
      </c>
      <c r="AA219" s="40">
        <f t="shared" si="94"/>
        <v>1</v>
      </c>
      <c r="AB219" s="40">
        <f t="shared" si="95"/>
        <v>3000</v>
      </c>
      <c r="AC219" s="40">
        <f t="shared" si="81"/>
        <v>9.6007893786227569E-5</v>
      </c>
      <c r="AD219" s="40">
        <f t="shared" si="96"/>
        <v>0.14159053887229009</v>
      </c>
      <c r="AE219" s="34">
        <f t="shared" si="97"/>
        <v>157.6324805707936</v>
      </c>
      <c r="AF219" s="34">
        <f t="shared" si="98"/>
        <v>0.34562841763041924</v>
      </c>
      <c r="AG219" s="34">
        <f t="shared" si="82"/>
        <v>0.46330887081825634</v>
      </c>
      <c r="AH219" s="34">
        <f>INDEX('Specification &amp; Data'!E$24:R$46,MATCH(Simulation!AA219,'Specification &amp; Data'!D$24:D$46,0),MATCH(Simulation!AB219,'Specification &amp; Data'!E$47:R$47,0))</f>
        <v>966.15913333333356</v>
      </c>
      <c r="AI219" s="34">
        <f t="shared" si="83"/>
        <v>9.6007893786227569E-5</v>
      </c>
      <c r="AJ219" s="34">
        <f t="shared" si="75"/>
        <v>9.2758903453660363E-2</v>
      </c>
      <c r="AK219" s="34">
        <f t="shared" si="99"/>
        <v>71.180500205774123</v>
      </c>
      <c r="AL219" s="34">
        <v>2.3289729133329802</v>
      </c>
    </row>
    <row r="220" spans="2:38" x14ac:dyDescent="0.25">
      <c r="B220" s="36" t="s">
        <v>139</v>
      </c>
      <c r="C220" s="34">
        <f t="shared" si="84"/>
        <v>218</v>
      </c>
      <c r="D220" s="34">
        <v>8</v>
      </c>
      <c r="E220" s="34">
        <f t="shared" si="76"/>
        <v>12.87473065884646</v>
      </c>
      <c r="F220" s="34">
        <f t="shared" si="85"/>
        <v>3.5763140719017943</v>
      </c>
      <c r="G220" s="37">
        <f t="shared" si="86"/>
        <v>1634.6437544145144</v>
      </c>
      <c r="H220" s="34">
        <f t="shared" si="87"/>
        <v>3.5763140719017943</v>
      </c>
      <c r="I220" s="34">
        <f t="shared" si="88"/>
        <v>0</v>
      </c>
      <c r="J220" s="34">
        <f t="shared" si="89"/>
        <v>1</v>
      </c>
      <c r="K220" s="34">
        <v>0</v>
      </c>
      <c r="L220" s="34">
        <f>('Specification &amp; Data'!B$22*'Specification &amp; Data'!B$10*'Specification &amp; Data'!B$20*(Simulation!F220^2-'Specification &amp; Data'!B$21^2))/2</f>
        <v>3.6750320667737468</v>
      </c>
      <c r="M220" s="34">
        <f t="shared" si="90"/>
        <v>0</v>
      </c>
      <c r="N220" s="34">
        <f>'Specification &amp; Data'!B$24*'Specification &amp; Data'!B$18*8.91</f>
        <v>92.968722</v>
      </c>
      <c r="O220" s="34">
        <f t="shared" si="77"/>
        <v>96.643754066773752</v>
      </c>
      <c r="P220" s="40">
        <f t="shared" si="78"/>
        <v>96.643754066773752</v>
      </c>
      <c r="Q220" s="34">
        <f>IF(J220=1,'Specification &amp; Data'!B$52,IF(Simulation!J220=2,'Specification &amp; Data'!B$53,IF(Simulation!J220=3,'Specification &amp; Data'!B$54)))</f>
        <v>575.20663260893332</v>
      </c>
      <c r="R220" s="34">
        <f>(0.5*'Specification &amp; Data'!B$18*Simulation!F220^2)/1000</f>
        <v>3.3363412777309809</v>
      </c>
      <c r="T220" s="40">
        <f>P220*'Specification &amp; Data'!B$14*0.9</f>
        <v>25.64776550233611</v>
      </c>
      <c r="U220" s="40">
        <f>T220/(IF(J220=1,'Specification &amp; Data'!H$7,IF(Simulation!J220=2,'Specification &amp; Data'!H$8,IF(Simulation!J220=3,'Specification &amp; Data'!H$9))))</f>
        <v>1.1284049616775025</v>
      </c>
      <c r="V220" s="40">
        <f t="shared" si="91"/>
        <v>1.4517842621806651E-2</v>
      </c>
      <c r="W220" s="40">
        <f t="shared" si="92"/>
        <v>2.9589377710209846E-2</v>
      </c>
      <c r="X220" s="40">
        <f t="shared" si="79"/>
        <v>0.34562841763041924</v>
      </c>
      <c r="Y220" s="40">
        <f t="shared" si="80"/>
        <v>0.46330887081825634</v>
      </c>
      <c r="Z220" s="40">
        <f t="shared" si="93"/>
        <v>2924.9324315519593</v>
      </c>
      <c r="AA220" s="40">
        <f t="shared" si="94"/>
        <v>1</v>
      </c>
      <c r="AB220" s="40">
        <f t="shared" si="95"/>
        <v>3000</v>
      </c>
      <c r="AC220" s="40">
        <f t="shared" si="81"/>
        <v>9.6007893786227569E-5</v>
      </c>
      <c r="AD220" s="40">
        <f t="shared" si="96"/>
        <v>0.14168654676607631</v>
      </c>
      <c r="AE220" s="34">
        <f t="shared" si="97"/>
        <v>157.97810898842403</v>
      </c>
      <c r="AF220" s="34">
        <f t="shared" si="98"/>
        <v>0.34562841763041924</v>
      </c>
      <c r="AG220" s="34">
        <f t="shared" si="82"/>
        <v>0.46330887081825634</v>
      </c>
      <c r="AH220" s="34">
        <f>INDEX('Specification &amp; Data'!E$24:R$46,MATCH(Simulation!AA220,'Specification &amp; Data'!D$24:D$46,0),MATCH(Simulation!AB220,'Specification &amp; Data'!E$47:R$47,0))</f>
        <v>966.15913333333356</v>
      </c>
      <c r="AI220" s="34">
        <f t="shared" si="83"/>
        <v>9.6007893786227569E-5</v>
      </c>
      <c r="AJ220" s="34">
        <f t="shared" si="75"/>
        <v>9.2758903453660363E-2</v>
      </c>
      <c r="AK220" s="34">
        <f t="shared" si="99"/>
        <v>71.27325910922778</v>
      </c>
      <c r="AL220" s="34">
        <v>2.3289729133329802</v>
      </c>
    </row>
    <row r="221" spans="2:38" x14ac:dyDescent="0.25">
      <c r="C221" s="34">
        <f t="shared" si="84"/>
        <v>219</v>
      </c>
      <c r="D221" s="34">
        <v>9</v>
      </c>
      <c r="E221" s="34">
        <f t="shared" si="76"/>
        <v>14.484071991202267</v>
      </c>
      <c r="F221" s="34">
        <f t="shared" si="85"/>
        <v>4.0233533308895186</v>
      </c>
      <c r="G221" s="37">
        <f t="shared" si="86"/>
        <v>1638.4435881159102</v>
      </c>
      <c r="H221" s="34">
        <f t="shared" si="87"/>
        <v>3.7998337013956567</v>
      </c>
      <c r="I221" s="34">
        <f t="shared" si="88"/>
        <v>0.44703925898772479</v>
      </c>
      <c r="J221" s="34">
        <f t="shared" si="89"/>
        <v>1</v>
      </c>
      <c r="K221" s="34">
        <v>0</v>
      </c>
      <c r="L221" s="34">
        <f>('Specification &amp; Data'!B$22*'Specification &amp; Data'!B$10*'Specification &amp; Data'!B$20*(Simulation!F221^2-'Specification &amp; Data'!B$21^2))/2</f>
        <v>5.27221431458607</v>
      </c>
      <c r="M221" s="34">
        <f t="shared" si="90"/>
        <v>257.13994680632203</v>
      </c>
      <c r="N221" s="34">
        <f>'Specification &amp; Data'!B$24*'Specification &amp; Data'!B$18*8.91</f>
        <v>92.968722</v>
      </c>
      <c r="O221" s="34">
        <f t="shared" si="77"/>
        <v>355.38088312090809</v>
      </c>
      <c r="P221" s="40">
        <f t="shared" si="78"/>
        <v>355.38088312090809</v>
      </c>
      <c r="Q221" s="34">
        <f>IF(J221=1,'Specification &amp; Data'!B$52,IF(Simulation!J221=2,'Specification &amp; Data'!B$53,IF(Simulation!J221=3,'Specification &amp; Data'!B$54)))</f>
        <v>575.20663260893332</v>
      </c>
      <c r="R221" s="34">
        <f>(0.5*'Specification &amp; Data'!B$18*Simulation!F221^2)/1000</f>
        <v>4.222556929628273</v>
      </c>
      <c r="T221" s="40">
        <f>P221*'Specification &amp; Data'!B$14*0.9</f>
        <v>94.312618982087159</v>
      </c>
      <c r="U221" s="40">
        <f>T221/(IF(J221=1,'Specification &amp; Data'!H$7,IF(Simulation!J221=2,'Specification &amp; Data'!H$8,IF(Simulation!J221=3,'Specification &amp; Data'!H$9))))</f>
        <v>4.1493995723913448</v>
      </c>
      <c r="V221" s="40">
        <f t="shared" si="91"/>
        <v>1.4523734838757693E-2</v>
      </c>
      <c r="W221" s="40">
        <f t="shared" si="92"/>
        <v>2.9589377710209846E-2</v>
      </c>
      <c r="X221" s="40">
        <f t="shared" si="79"/>
        <v>1.4298228598389644</v>
      </c>
      <c r="Y221" s="40">
        <f t="shared" si="80"/>
        <v>1.9166526271299791</v>
      </c>
      <c r="Z221" s="40">
        <f t="shared" si="93"/>
        <v>3290.5489854959542</v>
      </c>
      <c r="AA221" s="40">
        <f t="shared" si="94"/>
        <v>4</v>
      </c>
      <c r="AB221" s="40">
        <f t="shared" si="95"/>
        <v>3500</v>
      </c>
      <c r="AC221" s="40">
        <f t="shared" si="81"/>
        <v>3.9717301662193453E-4</v>
      </c>
      <c r="AD221" s="40">
        <f t="shared" si="96"/>
        <v>0.14208371978269824</v>
      </c>
      <c r="AE221" s="34">
        <f t="shared" si="97"/>
        <v>582.27152928842156</v>
      </c>
      <c r="AF221" s="34">
        <f t="shared" si="98"/>
        <v>1.4298228598389644</v>
      </c>
      <c r="AG221" s="34">
        <f t="shared" si="82"/>
        <v>1.9166526271299791</v>
      </c>
      <c r="AH221" s="34">
        <f>INDEX('Specification &amp; Data'!E$24:R$46,MATCH(Simulation!AA221,'Specification &amp; Data'!D$24:D$46,0),MATCH(Simulation!AB221,'Specification &amp; Data'!E$47:R$47,0))</f>
        <v>717.30149399999993</v>
      </c>
      <c r="AI221" s="34">
        <f t="shared" si="83"/>
        <v>3.9717301662193453E-4</v>
      </c>
      <c r="AJ221" s="34">
        <f t="shared" si="75"/>
        <v>0.28489279819940044</v>
      </c>
      <c r="AK221" s="34">
        <f t="shared" si="99"/>
        <v>71.558151907427174</v>
      </c>
      <c r="AL221" s="34">
        <v>2.3289729133329802</v>
      </c>
    </row>
    <row r="222" spans="2:38" x14ac:dyDescent="0.25">
      <c r="C222" s="34">
        <f t="shared" si="84"/>
        <v>220</v>
      </c>
      <c r="D222" s="34">
        <v>10</v>
      </c>
      <c r="E222" s="34">
        <f t="shared" si="76"/>
        <v>16.093413323558075</v>
      </c>
      <c r="F222" s="34">
        <f t="shared" si="85"/>
        <v>4.4703925898772425</v>
      </c>
      <c r="G222" s="37">
        <f t="shared" si="86"/>
        <v>1642.6904610762936</v>
      </c>
      <c r="H222" s="34">
        <f t="shared" si="87"/>
        <v>4.2468729603833806</v>
      </c>
      <c r="I222" s="34">
        <f t="shared" si="88"/>
        <v>0.4470392589877239</v>
      </c>
      <c r="J222" s="34">
        <f t="shared" si="89"/>
        <v>1</v>
      </c>
      <c r="K222" s="34">
        <v>0</v>
      </c>
      <c r="L222" s="34">
        <f>('Specification &amp; Data'!B$22*'Specification &amp; Data'!B$10*'Specification &amp; Data'!B$20*(Simulation!F222^2-'Specification &amp; Data'!B$21^2))/2</f>
        <v>7.0573003562586658</v>
      </c>
      <c r="M222" s="34">
        <f t="shared" si="90"/>
        <v>257.13994680632152</v>
      </c>
      <c r="N222" s="34">
        <f>'Specification &amp; Data'!B$24*'Specification &amp; Data'!B$18*8.91</f>
        <v>92.968722</v>
      </c>
      <c r="O222" s="34">
        <f t="shared" si="77"/>
        <v>357.16596916258021</v>
      </c>
      <c r="P222" s="40">
        <f t="shared" si="78"/>
        <v>357.16596916258021</v>
      </c>
      <c r="Q222" s="34">
        <f>IF(J222=1,'Specification &amp; Data'!B$52,IF(Simulation!J222=2,'Specification &amp; Data'!B$53,IF(Simulation!J222=3,'Specification &amp; Data'!B$54)))</f>
        <v>575.20663260893332</v>
      </c>
      <c r="R222" s="34">
        <f>(0.5*'Specification &amp; Data'!B$18*Simulation!F222^2)/1000</f>
        <v>5.2130332464546569</v>
      </c>
      <c r="T222" s="40">
        <f>P222*'Specification &amp; Data'!B$14*0.9</f>
        <v>94.786353354684749</v>
      </c>
      <c r="U222" s="40">
        <f>T222/(IF(J222=1,'Specification &amp; Data'!H$7,IF(Simulation!J222=2,'Specification &amp; Data'!H$8,IF(Simulation!J222=3,'Specification &amp; Data'!H$9))))</f>
        <v>4.1702420982834196</v>
      </c>
      <c r="V222" s="40">
        <f t="shared" si="91"/>
        <v>1.4532498422984682E-2</v>
      </c>
      <c r="W222" s="40">
        <f t="shared" si="92"/>
        <v>2.9589377710209846E-2</v>
      </c>
      <c r="X222" s="40">
        <f t="shared" si="79"/>
        <v>1.5966721019007222</v>
      </c>
      <c r="Y222" s="40">
        <f t="shared" si="80"/>
        <v>2.1403111285532472</v>
      </c>
      <c r="Z222" s="40">
        <f t="shared" si="93"/>
        <v>3656.1655394399486</v>
      </c>
      <c r="AA222" s="40">
        <f t="shared" si="94"/>
        <v>4</v>
      </c>
      <c r="AB222" s="40">
        <f t="shared" si="95"/>
        <v>3500</v>
      </c>
      <c r="AC222" s="40">
        <f t="shared" si="81"/>
        <v>4.4352002830575616E-4</v>
      </c>
      <c r="AD222" s="40">
        <f t="shared" si="96"/>
        <v>0.14252723981100399</v>
      </c>
      <c r="AE222" s="34">
        <f t="shared" si="97"/>
        <v>586.71313056444012</v>
      </c>
      <c r="AF222" s="34">
        <f t="shared" si="98"/>
        <v>1.5966721019007222</v>
      </c>
      <c r="AG222" s="34">
        <f t="shared" si="82"/>
        <v>2.1403111285532472</v>
      </c>
      <c r="AH222" s="34">
        <f>INDEX('Specification &amp; Data'!E$24:R$46,MATCH(Simulation!AA222,'Specification &amp; Data'!D$24:D$46,0),MATCH(Simulation!AB222,'Specification &amp; Data'!E$47:R$47,0))</f>
        <v>717.30149399999993</v>
      </c>
      <c r="AI222" s="34">
        <f t="shared" si="83"/>
        <v>4.4352002830575616E-4</v>
      </c>
      <c r="AJ222" s="34">
        <f t="shared" si="75"/>
        <v>0.31813757892264116</v>
      </c>
      <c r="AK222" s="34">
        <f t="shared" si="99"/>
        <v>71.876289486349819</v>
      </c>
      <c r="AL222" s="34">
        <v>2.3289729133329802</v>
      </c>
    </row>
    <row r="223" spans="2:38" x14ac:dyDescent="0.25">
      <c r="C223" s="34">
        <f t="shared" si="84"/>
        <v>221</v>
      </c>
      <c r="D223" s="34">
        <v>10.199999999999999</v>
      </c>
      <c r="E223" s="34">
        <f t="shared" si="76"/>
        <v>16.415281590029235</v>
      </c>
      <c r="F223" s="34">
        <f t="shared" si="85"/>
        <v>4.5598004416747875</v>
      </c>
      <c r="G223" s="37">
        <f t="shared" si="86"/>
        <v>1647.2055575920697</v>
      </c>
      <c r="H223" s="34">
        <f t="shared" si="87"/>
        <v>4.5150965157760155</v>
      </c>
      <c r="I223" s="34">
        <f t="shared" si="88"/>
        <v>8.9407851797545845E-2</v>
      </c>
      <c r="J223" s="34">
        <f t="shared" si="89"/>
        <v>2</v>
      </c>
      <c r="K223" s="34">
        <v>0</v>
      </c>
      <c r="L223" s="34">
        <f>('Specification &amp; Data'!B$22*'Specification &amp; Data'!B$10*'Specification &amp; Data'!B$20*(Simulation!F223^2-'Specification &amp; Data'!B$21^2))/2</f>
        <v>7.436866019856418</v>
      </c>
      <c r="M223" s="34">
        <f t="shared" si="90"/>
        <v>50.866399108182755</v>
      </c>
      <c r="N223" s="34">
        <f>'Specification &amp; Data'!B$24*'Specification &amp; Data'!B$18*8.91</f>
        <v>92.968722</v>
      </c>
      <c r="O223" s="34">
        <f t="shared" si="77"/>
        <v>151.27198712803917</v>
      </c>
      <c r="P223" s="40">
        <f t="shared" si="78"/>
        <v>151.27198712803917</v>
      </c>
      <c r="Q223" s="34">
        <f>IF(J223=1,'Specification &amp; Data'!B$52,IF(Simulation!J223=2,'Specification &amp; Data'!B$53,IF(Simulation!J223=3,'Specification &amp; Data'!B$54)))</f>
        <v>568.92541410528543</v>
      </c>
      <c r="R223" s="34">
        <f>(0.5*'Specification &amp; Data'!B$18*Simulation!F223^2)/1000</f>
        <v>5.4236397896114257</v>
      </c>
      <c r="T223" s="40">
        <f>P223*'Specification &amp; Data'!B$14*0.9</f>
        <v>40.14525812244117</v>
      </c>
      <c r="U223" s="40">
        <f>T223/(IF(J223=1,'Specification &amp; Data'!H$7,IF(Simulation!J223=2,'Specification &amp; Data'!H$8,IF(Simulation!J223=3,'Specification &amp; Data'!H$9))))</f>
        <v>2.4085090437141519</v>
      </c>
      <c r="V223" s="40">
        <f t="shared" si="91"/>
        <v>1.4541918041029686E-2</v>
      </c>
      <c r="W223" s="40">
        <f t="shared" si="92"/>
        <v>2.9589377710209846E-2</v>
      </c>
      <c r="X223" s="40">
        <f t="shared" si="79"/>
        <v>0.68977007371945576</v>
      </c>
      <c r="Y223" s="40">
        <f t="shared" si="80"/>
        <v>0.92462476369900237</v>
      </c>
      <c r="Z223" s="40">
        <f t="shared" si="93"/>
        <v>2734.8118235010816</v>
      </c>
      <c r="AA223" s="40">
        <f t="shared" si="94"/>
        <v>2</v>
      </c>
      <c r="AB223" s="40">
        <f t="shared" si="95"/>
        <v>2500</v>
      </c>
      <c r="AC223" s="40">
        <f t="shared" si="81"/>
        <v>1.9160279825540438E-4</v>
      </c>
      <c r="AD223" s="40">
        <f t="shared" si="96"/>
        <v>0.14271884260925938</v>
      </c>
      <c r="AE223" s="34">
        <f t="shared" si="97"/>
        <v>249.17605790530214</v>
      </c>
      <c r="AF223" s="34">
        <f t="shared" si="98"/>
        <v>0.68977007371945576</v>
      </c>
      <c r="AG223" s="34">
        <f t="shared" si="82"/>
        <v>0.92462476369900237</v>
      </c>
      <c r="AH223" s="34">
        <f>INDEX('Specification &amp; Data'!E$24:R$46,MATCH(Simulation!AA223,'Specification &amp; Data'!D$24:D$46,0),MATCH(Simulation!AB223,'Specification &amp; Data'!E$47:R$47,0))</f>
        <v>906.88719300000105</v>
      </c>
      <c r="AI223" s="34">
        <f t="shared" si="83"/>
        <v>1.9160279825540438E-4</v>
      </c>
      <c r="AJ223" s="34">
        <f t="shared" si="75"/>
        <v>0.17376212388078918</v>
      </c>
      <c r="AK223" s="34">
        <f t="shared" si="99"/>
        <v>72.050051610230611</v>
      </c>
      <c r="AL223" s="34">
        <v>2.3289729133329802</v>
      </c>
    </row>
    <row r="224" spans="2:38" x14ac:dyDescent="0.25">
      <c r="C224" s="34">
        <f t="shared" si="84"/>
        <v>222</v>
      </c>
      <c r="D224" s="34">
        <v>12.5</v>
      </c>
      <c r="E224" s="34">
        <f t="shared" si="76"/>
        <v>20.116766654447591</v>
      </c>
      <c r="F224" s="34">
        <f t="shared" si="85"/>
        <v>5.5879907373465532</v>
      </c>
      <c r="G224" s="37">
        <f t="shared" si="86"/>
        <v>1652.2794531815803</v>
      </c>
      <c r="H224" s="34">
        <f t="shared" si="87"/>
        <v>5.0738955895106699</v>
      </c>
      <c r="I224" s="34">
        <f t="shared" si="88"/>
        <v>1.0281902956717648</v>
      </c>
      <c r="J224" s="34">
        <f t="shared" si="89"/>
        <v>2</v>
      </c>
      <c r="K224" s="34">
        <v>0</v>
      </c>
      <c r="L224" s="34">
        <f>('Specification &amp; Data'!B$22*'Specification &amp; Data'!B$10*'Specification &amp; Data'!B$20*(Simulation!F224^2-'Specification &amp; Data'!B$21^2))/2</f>
        <v>12.342094558578854</v>
      </c>
      <c r="M224" s="34">
        <f t="shared" si="90"/>
        <v>584.96358974409463</v>
      </c>
      <c r="N224" s="34">
        <f>'Specification &amp; Data'!B$24*'Specification &amp; Data'!B$18*8.91</f>
        <v>92.968722</v>
      </c>
      <c r="O224" s="34">
        <f t="shared" si="77"/>
        <v>690.27440630267347</v>
      </c>
      <c r="P224" s="40">
        <f t="shared" si="78"/>
        <v>690.27440630267347</v>
      </c>
      <c r="Q224" s="34">
        <f>IF(J224=1,'Specification &amp; Data'!B$52,IF(Simulation!J224=2,'Specification &amp; Data'!B$53,IF(Simulation!J224=3,'Specification &amp; Data'!B$54)))</f>
        <v>568.92541410528543</v>
      </c>
      <c r="R224" s="34">
        <f>(0.5*'Specification &amp; Data'!B$18*Simulation!F224^2)/1000</f>
        <v>8.1453644475854023</v>
      </c>
      <c r="T224" s="40">
        <f>P224*'Specification &amp; Data'!B$14*0.9</f>
        <v>183.18820782647873</v>
      </c>
      <c r="U224" s="40">
        <f>T224/(IF(J224=1,'Specification &amp; Data'!H$7,IF(Simulation!J224=2,'Specification &amp; Data'!H$8,IF(Simulation!J224=3,'Specification &amp; Data'!H$9))))</f>
        <v>10.990350439551049</v>
      </c>
      <c r="V224" s="40">
        <f t="shared" si="91"/>
        <v>1.4561075682716572E-2</v>
      </c>
      <c r="W224" s="40">
        <f t="shared" si="92"/>
        <v>2.9589377710209846E-2</v>
      </c>
      <c r="X224" s="40">
        <f t="shared" si="79"/>
        <v>3.8572469886467307</v>
      </c>
      <c r="Y224" s="40">
        <f t="shared" si="80"/>
        <v>5.1705723708401212</v>
      </c>
      <c r="Z224" s="40">
        <f t="shared" si="93"/>
        <v>3351.4850778199539</v>
      </c>
      <c r="AA224" s="40">
        <f t="shared" si="94"/>
        <v>11</v>
      </c>
      <c r="AB224" s="40">
        <f t="shared" si="95"/>
        <v>3500</v>
      </c>
      <c r="AC224" s="40">
        <f t="shared" si="81"/>
        <v>1.0714574968463141E-3</v>
      </c>
      <c r="AD224" s="40">
        <f t="shared" si="96"/>
        <v>0.14379030010610569</v>
      </c>
      <c r="AE224" s="34">
        <f t="shared" si="97"/>
        <v>1140.5262185910215</v>
      </c>
      <c r="AF224" s="34">
        <f t="shared" si="98"/>
        <v>3.8572469886467307</v>
      </c>
      <c r="AG224" s="34">
        <f t="shared" si="82"/>
        <v>5.1705723708401212</v>
      </c>
      <c r="AH224" s="34">
        <f>INDEX('Specification &amp; Data'!E$24:R$46,MATCH(Simulation!AA224,'Specification &amp; Data'!D$24:D$46,0),MATCH(Simulation!AB224,'Specification &amp; Data'!E$47:R$47,0))</f>
        <v>508.72062150000011</v>
      </c>
      <c r="AI224" s="34">
        <f t="shared" si="83"/>
        <v>1.0714574968463141E-3</v>
      </c>
      <c r="AJ224" s="34">
        <f t="shared" si="75"/>
        <v>0.54507252370649129</v>
      </c>
      <c r="AK224" s="34">
        <f t="shared" si="99"/>
        <v>72.595124133937105</v>
      </c>
      <c r="AL224" s="34">
        <v>2.3289729133329802</v>
      </c>
    </row>
    <row r="225" spans="2:38" x14ac:dyDescent="0.25">
      <c r="C225" s="34">
        <f t="shared" si="84"/>
        <v>223</v>
      </c>
      <c r="D225" s="34">
        <v>15</v>
      </c>
      <c r="E225" s="34">
        <f t="shared" si="76"/>
        <v>24.140119985337112</v>
      </c>
      <c r="F225" s="34">
        <f t="shared" si="85"/>
        <v>6.7055888848158638</v>
      </c>
      <c r="G225" s="37">
        <f t="shared" si="86"/>
        <v>1658.4262429926614</v>
      </c>
      <c r="H225" s="34">
        <f t="shared" si="87"/>
        <v>6.1467898110812085</v>
      </c>
      <c r="I225" s="34">
        <f t="shared" si="88"/>
        <v>1.1175981474693106</v>
      </c>
      <c r="J225" s="34">
        <f t="shared" si="89"/>
        <v>2</v>
      </c>
      <c r="K225" s="34">
        <v>0</v>
      </c>
      <c r="L225" s="34">
        <f>('Specification &amp; Data'!B$22*'Specification &amp; Data'!B$10*'Specification &amp; Data'!B$20*(Simulation!F225^2-'Specification &amp; Data'!B$21^2))/2</f>
        <v>18.801287472525743</v>
      </c>
      <c r="M225" s="34">
        <f t="shared" si="90"/>
        <v>635.82998885227744</v>
      </c>
      <c r="N225" s="34">
        <f>'Specification &amp; Data'!B$24*'Specification &amp; Data'!B$18*8.91</f>
        <v>92.968722</v>
      </c>
      <c r="O225" s="34">
        <f t="shared" si="77"/>
        <v>747.5999983248031</v>
      </c>
      <c r="P225" s="40">
        <f t="shared" si="78"/>
        <v>747.5999983248031</v>
      </c>
      <c r="Q225" s="34">
        <f>IF(J225=1,'Specification &amp; Data'!B$52,IF(Simulation!J225=2,'Specification &amp; Data'!B$53,IF(Simulation!J225=3,'Specification &amp; Data'!B$54)))</f>
        <v>568.92541410528543</v>
      </c>
      <c r="R225" s="34">
        <f>(0.5*'Specification &amp; Data'!B$18*Simulation!F225^2)/1000</f>
        <v>11.729324804522978</v>
      </c>
      <c r="T225" s="40">
        <f>P225*'Specification &amp; Data'!B$14*0.9</f>
        <v>198.40153801696701</v>
      </c>
      <c r="U225" s="40">
        <f>T225/(IF(J225=1,'Specification &amp; Data'!H$7,IF(Simulation!J225=2,'Specification &amp; Data'!H$8,IF(Simulation!J225=3,'Specification &amp; Data'!H$9))))</f>
        <v>11.903072017702218</v>
      </c>
      <c r="V225" s="40">
        <f t="shared" si="91"/>
        <v>1.4596096156132127E-2</v>
      </c>
      <c r="W225" s="40">
        <f t="shared" si="92"/>
        <v>2.9589377710209846E-2</v>
      </c>
      <c r="X225" s="40">
        <f t="shared" si="79"/>
        <v>5.0130982390551582</v>
      </c>
      <c r="Y225" s="40">
        <f t="shared" si="80"/>
        <v>6.7199708298326515</v>
      </c>
      <c r="Z225" s="40">
        <f t="shared" si="93"/>
        <v>4021.7820933839439</v>
      </c>
      <c r="AA225" s="40">
        <f t="shared" si="94"/>
        <v>12</v>
      </c>
      <c r="AB225" s="40">
        <f t="shared" si="95"/>
        <v>4000</v>
      </c>
      <c r="AC225" s="40">
        <f t="shared" si="81"/>
        <v>1.3925272886264328E-3</v>
      </c>
      <c r="AD225" s="40">
        <f t="shared" si="96"/>
        <v>0.14518282739473212</v>
      </c>
      <c r="AE225" s="34">
        <f t="shared" si="97"/>
        <v>1239.8394564831231</v>
      </c>
      <c r="AF225" s="34">
        <f t="shared" si="98"/>
        <v>5.0130982390551582</v>
      </c>
      <c r="AG225" s="34">
        <f t="shared" si="82"/>
        <v>6.7199708298326515</v>
      </c>
      <c r="AH225" s="34">
        <f>INDEX('Specification &amp; Data'!E$24:R$46,MATCH(Simulation!AA225,'Specification &amp; Data'!D$24:D$46,0),MATCH(Simulation!AB225,'Specification &amp; Data'!E$47:R$47,0))</f>
        <v>459.51858224999995</v>
      </c>
      <c r="AI225" s="34">
        <f t="shared" si="83"/>
        <v>1.3925272886264328E-3</v>
      </c>
      <c r="AJ225" s="34">
        <f t="shared" si="75"/>
        <v>0.63989216541405491</v>
      </c>
      <c r="AK225" s="34">
        <f t="shared" si="99"/>
        <v>73.235016299351159</v>
      </c>
      <c r="AL225" s="34">
        <v>2.3289729133329802</v>
      </c>
    </row>
    <row r="226" spans="2:38" x14ac:dyDescent="0.25">
      <c r="C226" s="34">
        <f t="shared" si="84"/>
        <v>224</v>
      </c>
      <c r="D226" s="34">
        <v>17.5</v>
      </c>
      <c r="E226" s="34">
        <f t="shared" si="76"/>
        <v>28.163473316226629</v>
      </c>
      <c r="F226" s="34">
        <f t="shared" si="85"/>
        <v>7.8231870322851744</v>
      </c>
      <c r="G226" s="37">
        <f t="shared" si="86"/>
        <v>1665.6906309512119</v>
      </c>
      <c r="H226" s="34">
        <f t="shared" si="87"/>
        <v>7.2643879585505191</v>
      </c>
      <c r="I226" s="34">
        <f t="shared" si="88"/>
        <v>1.1175981474693106</v>
      </c>
      <c r="J226" s="34">
        <f t="shared" si="89"/>
        <v>2</v>
      </c>
      <c r="K226" s="34">
        <v>0</v>
      </c>
      <c r="L226" s="34">
        <f>('Specification &amp; Data'!B$22*'Specification &amp; Data'!B$10*'Specification &amp; Data'!B$20*(Simulation!F226^2-'Specification &amp; Data'!B$21^2))/2</f>
        <v>26.434879098099351</v>
      </c>
      <c r="M226" s="34">
        <f t="shared" si="90"/>
        <v>635.82998885227744</v>
      </c>
      <c r="N226" s="34">
        <f>'Specification &amp; Data'!B$24*'Specification &amp; Data'!B$18*8.91</f>
        <v>92.968722</v>
      </c>
      <c r="O226" s="34">
        <f t="shared" si="77"/>
        <v>755.23358995037677</v>
      </c>
      <c r="P226" s="40">
        <f t="shared" si="78"/>
        <v>755.23358995037677</v>
      </c>
      <c r="Q226" s="34">
        <f>IF(J226=1,'Specification &amp; Data'!B$52,IF(Simulation!J226=2,'Specification &amp; Data'!B$53,IF(Simulation!J226=3,'Specification &amp; Data'!B$54)))</f>
        <v>568.92541410528543</v>
      </c>
      <c r="R226" s="34">
        <f>(0.5*'Specification &amp; Data'!B$18*Simulation!F226^2)/1000</f>
        <v>15.964914317267388</v>
      </c>
      <c r="T226" s="40">
        <f>P226*'Specification &amp; Data'!B$14*0.9</f>
        <v>200.42737579452307</v>
      </c>
      <c r="U226" s="40">
        <f>T226/(IF(J226=1,'Specification &amp; Data'!H$7,IF(Simulation!J226=2,'Specification &amp; Data'!H$8,IF(Simulation!J226=3,'Specification &amp; Data'!H$9))))</f>
        <v>12.024611866654244</v>
      </c>
      <c r="V226" s="40">
        <f t="shared" si="91"/>
        <v>1.4653541990398871E-2</v>
      </c>
      <c r="W226" s="40">
        <f t="shared" si="92"/>
        <v>2.9589377710209846E-2</v>
      </c>
      <c r="X226" s="40">
        <f t="shared" si="79"/>
        <v>5.9083336272459661</v>
      </c>
      <c r="Y226" s="40">
        <f t="shared" si="80"/>
        <v>7.9200182670857462</v>
      </c>
      <c r="Z226" s="40">
        <f t="shared" si="93"/>
        <v>4692.0791089479344</v>
      </c>
      <c r="AA226" s="40">
        <f t="shared" si="94"/>
        <v>12</v>
      </c>
      <c r="AB226" s="40">
        <f t="shared" si="95"/>
        <v>4500</v>
      </c>
      <c r="AC226" s="40">
        <f t="shared" si="81"/>
        <v>1.6412037853461017E-3</v>
      </c>
      <c r="AD226" s="40">
        <f t="shared" si="96"/>
        <v>0.14682403118007822</v>
      </c>
      <c r="AE226" s="34">
        <f t="shared" si="97"/>
        <v>1257.9855149599919</v>
      </c>
      <c r="AF226" s="34">
        <f t="shared" si="98"/>
        <v>5.9083336272459661</v>
      </c>
      <c r="AG226" s="34">
        <f t="shared" si="82"/>
        <v>7.9200182670857462</v>
      </c>
      <c r="AH226" s="34">
        <f>INDEX('Specification &amp; Data'!E$24:R$46,MATCH(Simulation!AA226,'Specification &amp; Data'!D$24:D$46,0),MATCH(Simulation!AB226,'Specification &amp; Data'!E$47:R$47,0))</f>
        <v>398.81406750000002</v>
      </c>
      <c r="AI226" s="34">
        <f t="shared" si="83"/>
        <v>1.6412037853461017E-3</v>
      </c>
      <c r="AJ226" s="34">
        <f t="shared" si="75"/>
        <v>0.65453515723027578</v>
      </c>
      <c r="AK226" s="34">
        <f t="shared" si="99"/>
        <v>73.88955145658143</v>
      </c>
      <c r="AL226" s="34">
        <v>2.3289729133329802</v>
      </c>
    </row>
    <row r="227" spans="2:38" x14ac:dyDescent="0.25">
      <c r="C227" s="34">
        <f t="shared" si="84"/>
        <v>225</v>
      </c>
      <c r="D227" s="34">
        <v>20</v>
      </c>
      <c r="E227" s="34">
        <f t="shared" si="76"/>
        <v>32.186826647116149</v>
      </c>
      <c r="F227" s="34">
        <f t="shared" si="85"/>
        <v>8.9407851797544851</v>
      </c>
      <c r="G227" s="37">
        <f t="shared" si="86"/>
        <v>1674.0726170572318</v>
      </c>
      <c r="H227" s="34">
        <f t="shared" si="87"/>
        <v>8.3819861060198306</v>
      </c>
      <c r="I227" s="34">
        <f t="shared" si="88"/>
        <v>1.1175981474693124</v>
      </c>
      <c r="J227" s="34">
        <f t="shared" si="89"/>
        <v>2</v>
      </c>
      <c r="K227" s="34">
        <v>0</v>
      </c>
      <c r="L227" s="34">
        <f>('Specification &amp; Data'!B$22*'Specification &amp; Data'!B$10*'Specification &amp; Data'!B$20*(Simulation!F227^2-'Specification &amp; Data'!B$21^2))/2</f>
        <v>35.24286943529966</v>
      </c>
      <c r="M227" s="34">
        <f t="shared" si="90"/>
        <v>635.82998885227846</v>
      </c>
      <c r="N227" s="34">
        <f>'Specification &amp; Data'!B$24*'Specification &amp; Data'!B$18*8.91</f>
        <v>92.968722</v>
      </c>
      <c r="O227" s="34">
        <f t="shared" si="77"/>
        <v>764.04158028757809</v>
      </c>
      <c r="P227" s="40">
        <f t="shared" si="78"/>
        <v>764.04158028757809</v>
      </c>
      <c r="Q227" s="34">
        <f>IF(J227=1,'Specification &amp; Data'!B$52,IF(Simulation!J227=2,'Specification &amp; Data'!B$53,IF(Simulation!J227=3,'Specification &amp; Data'!B$54)))</f>
        <v>568.92541410528543</v>
      </c>
      <c r="R227" s="34">
        <f>(0.5*'Specification &amp; Data'!B$18*Simulation!F227^2)/1000</f>
        <v>20.852132985818628</v>
      </c>
      <c r="T227" s="40">
        <f>P227*'Specification &amp; Data'!B$14*0.9</f>
        <v>202.76488092247266</v>
      </c>
      <c r="U227" s="40">
        <f>T227/(IF(J227=1,'Specification &amp; Data'!H$7,IF(Simulation!J227=2,'Specification &amp; Data'!H$8,IF(Simulation!J227=3,'Specification &amp; Data'!H$9))))</f>
        <v>12.164850153906597</v>
      </c>
      <c r="V227" s="40">
        <f t="shared" si="91"/>
        <v>1.4741069469493079E-2</v>
      </c>
      <c r="W227" s="40">
        <f t="shared" si="92"/>
        <v>2.9589377710209846E-2</v>
      </c>
      <c r="X227" s="40">
        <f t="shared" si="79"/>
        <v>6.8311316377513753</v>
      </c>
      <c r="Y227" s="40">
        <f t="shared" si="80"/>
        <v>9.1570129192377685</v>
      </c>
      <c r="Z227" s="40">
        <f t="shared" si="93"/>
        <v>5362.3761245119258</v>
      </c>
      <c r="AA227" s="40">
        <f t="shared" si="94"/>
        <v>12</v>
      </c>
      <c r="AB227" s="40">
        <f t="shared" si="95"/>
        <v>5500</v>
      </c>
      <c r="AC227" s="40">
        <f t="shared" si="81"/>
        <v>1.8975365660420488E-3</v>
      </c>
      <c r="AD227" s="40">
        <f t="shared" si="96"/>
        <v>0.14872156774612028</v>
      </c>
      <c r="AE227" s="34">
        <f t="shared" si="97"/>
        <v>1279.0610878525688</v>
      </c>
      <c r="AF227" s="34">
        <f t="shared" si="98"/>
        <v>6.8311316377513753</v>
      </c>
      <c r="AG227" s="34">
        <f t="shared" si="82"/>
        <v>9.1570129192377685</v>
      </c>
      <c r="AH227" s="34">
        <f>INDEX('Specification &amp; Data'!E$24:R$46,MATCH(Simulation!AA227,'Specification &amp; Data'!D$24:D$46,0),MATCH(Simulation!AB227,'Specification &amp; Data'!E$47:R$47,0))</f>
        <v>326.03757274999998</v>
      </c>
      <c r="AI227" s="34">
        <f t="shared" si="83"/>
        <v>1.8975365660420488E-3</v>
      </c>
      <c r="AJ227" s="34">
        <f t="shared" si="75"/>
        <v>0.61866821619671963</v>
      </c>
      <c r="AK227" s="34">
        <f t="shared" si="99"/>
        <v>74.508219672778154</v>
      </c>
      <c r="AL227" s="34">
        <v>2.3289729133329802</v>
      </c>
    </row>
    <row r="228" spans="2:38" x14ac:dyDescent="0.25">
      <c r="C228" s="34">
        <f t="shared" si="84"/>
        <v>226</v>
      </c>
      <c r="D228" s="34">
        <v>20.2</v>
      </c>
      <c r="E228" s="34">
        <f t="shared" si="76"/>
        <v>32.508694913587306</v>
      </c>
      <c r="F228" s="34">
        <f t="shared" si="85"/>
        <v>9.0301930315520291</v>
      </c>
      <c r="G228" s="37">
        <f t="shared" si="86"/>
        <v>1683.058106162885</v>
      </c>
      <c r="H228" s="34">
        <f t="shared" si="87"/>
        <v>8.985489105653258</v>
      </c>
      <c r="I228" s="34">
        <f t="shared" si="88"/>
        <v>8.9407851797545845E-2</v>
      </c>
      <c r="J228" s="34">
        <f t="shared" si="89"/>
        <v>3</v>
      </c>
      <c r="K228" s="34">
        <v>0</v>
      </c>
      <c r="L228" s="34">
        <f>('Specification &amp; Data'!B$22*'Specification &amp; Data'!B$10*'Specification &amp; Data'!B$20*(Simulation!F228^2-'Specification &amp; Data'!B$21^2))/2</f>
        <v>35.998242686617957</v>
      </c>
      <c r="M228" s="34">
        <f t="shared" si="90"/>
        <v>50.593938462920285</v>
      </c>
      <c r="N228" s="34">
        <f>'Specification &amp; Data'!B$24*'Specification &amp; Data'!B$18*8.91</f>
        <v>92.968722</v>
      </c>
      <c r="O228" s="34">
        <f t="shared" si="77"/>
        <v>179.56090314953826</v>
      </c>
      <c r="P228" s="40">
        <f t="shared" si="78"/>
        <v>179.56090314953826</v>
      </c>
      <c r="Q228" s="34">
        <f>IF(J228=1,'Specification &amp; Data'!B$52,IF(Simulation!J228=2,'Specification &amp; Data'!B$53,IF(Simulation!J228=3,'Specification &amp; Data'!B$54)))</f>
        <v>565.87802352621827</v>
      </c>
      <c r="R228" s="34">
        <f>(0.5*'Specification &amp; Data'!B$18*Simulation!F228^2)/1000</f>
        <v>21.271260858833578</v>
      </c>
      <c r="T228" s="40">
        <f>P228*'Specification &amp; Data'!B$14*0.9</f>
        <v>47.652701220454389</v>
      </c>
      <c r="U228" s="40">
        <f>T228/(IF(J228=1,'Specification &amp; Data'!H$7,IF(Simulation!J228=2,'Specification &amp; Data'!H$8,IF(Simulation!J228=3,'Specification &amp; Data'!H$9))))</f>
        <v>3.7442590690898765</v>
      </c>
      <c r="V228" s="40">
        <f t="shared" si="91"/>
        <v>1.4831366991786639E-2</v>
      </c>
      <c r="W228" s="40">
        <f t="shared" si="92"/>
        <v>2.9589377710209846E-2</v>
      </c>
      <c r="X228" s="40">
        <f t="shared" si="79"/>
        <v>1.6214696163601494</v>
      </c>
      <c r="Y228" s="40">
        <f t="shared" si="80"/>
        <v>2.1735517645578408</v>
      </c>
      <c r="Z228" s="40">
        <f t="shared" si="93"/>
        <v>4135.3693708982355</v>
      </c>
      <c r="AA228" s="40">
        <f t="shared" si="94"/>
        <v>4</v>
      </c>
      <c r="AB228" s="40">
        <f t="shared" si="95"/>
        <v>4000</v>
      </c>
      <c r="AC228" s="40">
        <f t="shared" si="81"/>
        <v>4.5040822676670818E-4</v>
      </c>
      <c r="AD228" s="40">
        <f t="shared" si="96"/>
        <v>0.14917197597288698</v>
      </c>
      <c r="AE228" s="34">
        <f t="shared" si="97"/>
        <v>302.2114335957591</v>
      </c>
      <c r="AF228" s="34">
        <f t="shared" si="98"/>
        <v>1.6214696163601494</v>
      </c>
      <c r="AG228" s="34">
        <f t="shared" si="82"/>
        <v>2.1735517645578408</v>
      </c>
      <c r="AH228" s="34">
        <f>INDEX('Specification &amp; Data'!E$24:R$46,MATCH(Simulation!AA228,'Specification &amp; Data'!D$24:D$46,0),MATCH(Simulation!AB228,'Specification &amp; Data'!E$47:R$47,0))</f>
        <v>699.29700750000006</v>
      </c>
      <c r="AI228" s="34">
        <f t="shared" si="83"/>
        <v>4.5040822676670818E-4</v>
      </c>
      <c r="AJ228" s="34">
        <f t="shared" si="75"/>
        <v>0.31496912513134045</v>
      </c>
      <c r="AK228" s="34">
        <f t="shared" si="99"/>
        <v>74.823188797909495</v>
      </c>
      <c r="AL228" s="34">
        <v>2.3289729133329802</v>
      </c>
    </row>
    <row r="229" spans="2:38" x14ac:dyDescent="0.25">
      <c r="C229" s="34">
        <f t="shared" si="84"/>
        <v>227</v>
      </c>
      <c r="D229" s="34">
        <v>21</v>
      </c>
      <c r="E229" s="34">
        <f t="shared" si="76"/>
        <v>33.796167979471953</v>
      </c>
      <c r="F229" s="34">
        <f t="shared" si="85"/>
        <v>9.387824438742209</v>
      </c>
      <c r="G229" s="37">
        <f t="shared" si="86"/>
        <v>1692.2671148980321</v>
      </c>
      <c r="H229" s="34">
        <f t="shared" si="87"/>
        <v>9.209008735147119</v>
      </c>
      <c r="I229" s="34">
        <f t="shared" si="88"/>
        <v>0.35763140719017983</v>
      </c>
      <c r="J229" s="34">
        <f t="shared" si="89"/>
        <v>3</v>
      </c>
      <c r="K229" s="34">
        <v>0</v>
      </c>
      <c r="L229" s="34">
        <f>('Specification &amp; Data'!B$22*'Specification &amp; Data'!B$10*'Specification &amp; Data'!B$20*(Simulation!F229^2-'Specification &amp; Data'!B$21^2))/2</f>
        <v>39.094897209435267</v>
      </c>
      <c r="M229" s="34">
        <f t="shared" si="90"/>
        <v>202.37575385167912</v>
      </c>
      <c r="N229" s="34">
        <f>'Specification &amp; Data'!B$24*'Specification &amp; Data'!B$18*8.91</f>
        <v>92.968722</v>
      </c>
      <c r="O229" s="34">
        <f t="shared" si="77"/>
        <v>334.4393730611144</v>
      </c>
      <c r="P229" s="40">
        <f t="shared" si="78"/>
        <v>334.4393730611144</v>
      </c>
      <c r="Q229" s="34">
        <f>IF(J229=1,'Specification &amp; Data'!B$52,IF(Simulation!J229=2,'Specification &amp; Data'!B$53,IF(Simulation!J229=3,'Specification &amp; Data'!B$54)))</f>
        <v>565.87802352621827</v>
      </c>
      <c r="R229" s="34">
        <f>(0.5*'Specification &amp; Data'!B$18*Simulation!F229^2)/1000</f>
        <v>22.989476616865034</v>
      </c>
      <c r="T229" s="40">
        <f>P229*'Specification &amp; Data'!B$14*0.9</f>
        <v>88.755064389295754</v>
      </c>
      <c r="U229" s="40">
        <f>T229/(IF(J229=1,'Specification &amp; Data'!H$7,IF(Simulation!J229=2,'Specification &amp; Data'!H$8,IF(Simulation!J229=3,'Specification &amp; Data'!H$9))))</f>
        <v>6.9738324639743841</v>
      </c>
      <c r="V229" s="40">
        <f t="shared" si="91"/>
        <v>1.4933315889412432E-2</v>
      </c>
      <c r="W229" s="40">
        <f t="shared" si="92"/>
        <v>2.9589377710209846E-2</v>
      </c>
      <c r="X229" s="40">
        <f t="shared" si="79"/>
        <v>3.1396581197007527</v>
      </c>
      <c r="Y229" s="40">
        <f t="shared" si="80"/>
        <v>4.2086569969178989</v>
      </c>
      <c r="Z229" s="40">
        <f t="shared" si="93"/>
        <v>4299.146375686284</v>
      </c>
      <c r="AA229" s="40">
        <f t="shared" si="94"/>
        <v>7</v>
      </c>
      <c r="AB229" s="40">
        <f t="shared" si="95"/>
        <v>4500</v>
      </c>
      <c r="AC229" s="40">
        <f t="shared" si="81"/>
        <v>8.7212725547243129E-4</v>
      </c>
      <c r="AD229" s="40">
        <f t="shared" si="96"/>
        <v>0.1500441032283594</v>
      </c>
      <c r="AE229" s="34">
        <f t="shared" si="97"/>
        <v>565.96075295843866</v>
      </c>
      <c r="AF229" s="34">
        <f t="shared" si="98"/>
        <v>3.1396581197007527</v>
      </c>
      <c r="AG229" s="34">
        <f t="shared" si="82"/>
        <v>4.2086569969178989</v>
      </c>
      <c r="AH229" s="34">
        <f>INDEX('Specification &amp; Data'!E$24:R$46,MATCH(Simulation!AA229,'Specification &amp; Data'!D$24:D$46,0),MATCH(Simulation!AB229,'Specification &amp; Data'!E$47:R$47,0))</f>
        <v>525.11244421289075</v>
      </c>
      <c r="AI229" s="34">
        <f t="shared" si="83"/>
        <v>8.7212725547243129E-4</v>
      </c>
      <c r="AJ229" s="34">
        <f t="shared" si="75"/>
        <v>0.45796487478580861</v>
      </c>
      <c r="AK229" s="34">
        <f t="shared" si="99"/>
        <v>75.281153672695297</v>
      </c>
      <c r="AL229" s="34">
        <v>2.3289729133329802</v>
      </c>
    </row>
    <row r="230" spans="2:38" x14ac:dyDescent="0.25">
      <c r="B230" s="36" t="s">
        <v>140</v>
      </c>
      <c r="C230" s="34">
        <f t="shared" si="84"/>
        <v>228</v>
      </c>
      <c r="D230" s="34">
        <v>21</v>
      </c>
      <c r="E230" s="34">
        <f t="shared" si="76"/>
        <v>33.796167979471953</v>
      </c>
      <c r="F230" s="34">
        <f t="shared" si="85"/>
        <v>9.387824438742209</v>
      </c>
      <c r="G230" s="37">
        <f t="shared" si="86"/>
        <v>1701.6549393367743</v>
      </c>
      <c r="H230" s="34">
        <f t="shared" si="87"/>
        <v>9.387824438742209</v>
      </c>
      <c r="I230" s="34">
        <f t="shared" si="88"/>
        <v>0</v>
      </c>
      <c r="J230" s="34">
        <f t="shared" si="89"/>
        <v>3</v>
      </c>
      <c r="K230" s="34">
        <f>'Specification &amp; Data'!B$18*9.81*'Specification &amp; Data'!L$15</f>
        <v>604.07460105300004</v>
      </c>
      <c r="L230" s="34">
        <f>('Specification &amp; Data'!B$22*'Specification &amp; Data'!B$10*'Specification &amp; Data'!B$20*(Simulation!F230^2-'Specification &amp; Data'!B$21^2))/2</f>
        <v>39.094897209435267</v>
      </c>
      <c r="M230" s="34">
        <f t="shared" si="90"/>
        <v>0</v>
      </c>
      <c r="N230" s="34">
        <f>'Specification &amp; Data'!B$24*'Specification &amp; Data'!B$18*8.91</f>
        <v>92.968722</v>
      </c>
      <c r="O230" s="34">
        <f t="shared" si="77"/>
        <v>736.13822026243531</v>
      </c>
      <c r="P230" s="40">
        <f t="shared" si="78"/>
        <v>736.13822026243531</v>
      </c>
      <c r="Q230" s="34">
        <f>IF(J230=1,'Specification &amp; Data'!B$52,IF(Simulation!J230=2,'Specification &amp; Data'!B$53,IF(Simulation!J230=3,'Specification &amp; Data'!B$54)))</f>
        <v>565.87802352621827</v>
      </c>
      <c r="R230" s="34">
        <f>(0.5*'Specification &amp; Data'!B$18*Simulation!F230^2)/1000</f>
        <v>22.989476616865034</v>
      </c>
      <c r="T230" s="40">
        <f>P230*'Specification &amp; Data'!B$14*0.9</f>
        <v>195.35975845426168</v>
      </c>
      <c r="U230" s="40">
        <f>T230/(IF(J230=1,'Specification &amp; Data'!H$7,IF(Simulation!J230=2,'Specification &amp; Data'!H$8,IF(Simulation!J230=3,'Specification &amp; Data'!H$9))))</f>
        <v>15.350180128164453</v>
      </c>
      <c r="V230" s="40">
        <f t="shared" si="91"/>
        <v>1.5035264787038224E-2</v>
      </c>
      <c r="W230" s="40">
        <f t="shared" si="92"/>
        <v>2.9589377710209846E-2</v>
      </c>
      <c r="X230" s="40">
        <f t="shared" si="79"/>
        <v>6.9107363744718846</v>
      </c>
      <c r="Y230" s="40">
        <f t="shared" si="80"/>
        <v>9.2637216815977013</v>
      </c>
      <c r="Z230" s="40">
        <f t="shared" si="93"/>
        <v>4299.146375686285</v>
      </c>
      <c r="AA230" s="40">
        <f t="shared" si="94"/>
        <v>15</v>
      </c>
      <c r="AB230" s="40">
        <f t="shared" si="95"/>
        <v>4500</v>
      </c>
      <c r="AC230" s="40">
        <f t="shared" si="81"/>
        <v>1.9196489929088568E-3</v>
      </c>
      <c r="AD230" s="40">
        <f t="shared" si="96"/>
        <v>0.15196375222126826</v>
      </c>
      <c r="AE230" s="34">
        <f t="shared" si="97"/>
        <v>1252.6532385441553</v>
      </c>
      <c r="AF230" s="34">
        <f t="shared" si="98"/>
        <v>6.9107363744718846</v>
      </c>
      <c r="AG230" s="34">
        <f t="shared" si="82"/>
        <v>9.2637216815977013</v>
      </c>
      <c r="AH230" s="34">
        <f>INDEX('Specification &amp; Data'!E$24:R$46,MATCH(Simulation!AA230,'Specification &amp; Data'!D$24:D$46,0),MATCH(Simulation!AB230,'Specification &amp; Data'!E$47:R$47,0))</f>
        <v>439.44570101250008</v>
      </c>
      <c r="AI230" s="34">
        <f t="shared" si="83"/>
        <v>1.9196489929088568E-3</v>
      </c>
      <c r="AJ230" s="34">
        <f t="shared" si="75"/>
        <v>0.84358149738677235</v>
      </c>
      <c r="AK230" s="34">
        <f t="shared" si="99"/>
        <v>76.124735170082076</v>
      </c>
      <c r="AL230" s="34">
        <v>2.3289729133329802</v>
      </c>
    </row>
    <row r="231" spans="2:38" x14ac:dyDescent="0.25">
      <c r="B231" s="36" t="s">
        <v>140</v>
      </c>
      <c r="C231" s="34">
        <f t="shared" si="84"/>
        <v>229</v>
      </c>
      <c r="D231" s="34">
        <v>21</v>
      </c>
      <c r="E231" s="34">
        <f t="shared" si="76"/>
        <v>33.796167979471953</v>
      </c>
      <c r="F231" s="34">
        <f t="shared" si="85"/>
        <v>9.387824438742209</v>
      </c>
      <c r="G231" s="37">
        <f t="shared" si="86"/>
        <v>1711.0427637755165</v>
      </c>
      <c r="H231" s="34">
        <f t="shared" si="87"/>
        <v>9.387824438742209</v>
      </c>
      <c r="I231" s="34">
        <f t="shared" si="88"/>
        <v>0</v>
      </c>
      <c r="J231" s="34">
        <f t="shared" si="89"/>
        <v>3</v>
      </c>
      <c r="K231" s="34">
        <f>'Specification &amp; Data'!B$18*9.81*'Specification &amp; Data'!L$15</f>
        <v>604.07460105300004</v>
      </c>
      <c r="L231" s="34">
        <f>('Specification &amp; Data'!B$22*'Specification &amp; Data'!B$10*'Specification &amp; Data'!B$20*(Simulation!F231^2-'Specification &amp; Data'!B$21^2))/2</f>
        <v>39.094897209435267</v>
      </c>
      <c r="M231" s="34">
        <f t="shared" si="90"/>
        <v>0</v>
      </c>
      <c r="N231" s="34">
        <f>'Specification &amp; Data'!B$24*'Specification &amp; Data'!B$18*8.91</f>
        <v>92.968722</v>
      </c>
      <c r="O231" s="34">
        <f t="shared" si="77"/>
        <v>736.13822026243531</v>
      </c>
      <c r="P231" s="40">
        <f t="shared" si="78"/>
        <v>736.13822026243531</v>
      </c>
      <c r="Q231" s="34">
        <f>IF(J231=1,'Specification &amp; Data'!B$52,IF(Simulation!J231=2,'Specification &amp; Data'!B$53,IF(Simulation!J231=3,'Specification &amp; Data'!B$54)))</f>
        <v>565.87802352621827</v>
      </c>
      <c r="R231" s="34">
        <f>(0.5*'Specification &amp; Data'!B$18*Simulation!F231^2)/1000</f>
        <v>22.989476616865034</v>
      </c>
      <c r="T231" s="40">
        <f>P231*'Specification &amp; Data'!B$14*0.9</f>
        <v>195.35975845426168</v>
      </c>
      <c r="U231" s="40">
        <f>T231/(IF(J231=1,'Specification &amp; Data'!H$7,IF(Simulation!J231=2,'Specification &amp; Data'!H$8,IF(Simulation!J231=3,'Specification &amp; Data'!H$9))))</f>
        <v>15.350180128164453</v>
      </c>
      <c r="V231" s="40">
        <f t="shared" si="91"/>
        <v>1.5137213684664017E-2</v>
      </c>
      <c r="W231" s="40">
        <f t="shared" si="92"/>
        <v>2.9589377710209846E-2</v>
      </c>
      <c r="X231" s="40">
        <f t="shared" si="79"/>
        <v>6.9107363744718846</v>
      </c>
      <c r="Y231" s="40">
        <f t="shared" si="80"/>
        <v>9.2637216815977013</v>
      </c>
      <c r="Z231" s="40">
        <f t="shared" si="93"/>
        <v>4299.146375686285</v>
      </c>
      <c r="AA231" s="40">
        <f t="shared" si="94"/>
        <v>15</v>
      </c>
      <c r="AB231" s="40">
        <f t="shared" si="95"/>
        <v>4500</v>
      </c>
      <c r="AC231" s="40">
        <f t="shared" si="81"/>
        <v>1.9196489929088568E-3</v>
      </c>
      <c r="AD231" s="40">
        <f t="shared" si="96"/>
        <v>0.15388340121417712</v>
      </c>
      <c r="AE231" s="34">
        <f t="shared" si="97"/>
        <v>1259.5639749186271</v>
      </c>
      <c r="AF231" s="34">
        <f t="shared" si="98"/>
        <v>6.9107363744718846</v>
      </c>
      <c r="AG231" s="34">
        <f t="shared" si="82"/>
        <v>9.2637216815977013</v>
      </c>
      <c r="AH231" s="34">
        <f>INDEX('Specification &amp; Data'!E$24:R$46,MATCH(Simulation!AA231,'Specification &amp; Data'!D$24:D$46,0),MATCH(Simulation!AB231,'Specification &amp; Data'!E$47:R$47,0))</f>
        <v>439.44570101250008</v>
      </c>
      <c r="AI231" s="34">
        <f t="shared" si="83"/>
        <v>1.9196489929088568E-3</v>
      </c>
      <c r="AJ231" s="34">
        <f t="shared" si="75"/>
        <v>0.84358149738677235</v>
      </c>
      <c r="AK231" s="34">
        <f t="shared" si="99"/>
        <v>76.968316667468855</v>
      </c>
      <c r="AL231" s="34">
        <v>2.3289729133329802</v>
      </c>
    </row>
    <row r="232" spans="2:38" x14ac:dyDescent="0.25">
      <c r="B232" s="36" t="s">
        <v>140</v>
      </c>
      <c r="C232" s="34">
        <f t="shared" si="84"/>
        <v>230</v>
      </c>
      <c r="D232" s="34">
        <v>21</v>
      </c>
      <c r="E232" s="34">
        <f t="shared" si="76"/>
        <v>33.796167979471953</v>
      </c>
      <c r="F232" s="34">
        <f t="shared" si="85"/>
        <v>9.387824438742209</v>
      </c>
      <c r="G232" s="37">
        <f t="shared" si="86"/>
        <v>1720.4305882142587</v>
      </c>
      <c r="H232" s="34">
        <f t="shared" si="87"/>
        <v>9.387824438742209</v>
      </c>
      <c r="I232" s="34">
        <f t="shared" si="88"/>
        <v>0</v>
      </c>
      <c r="J232" s="34">
        <f t="shared" si="89"/>
        <v>3</v>
      </c>
      <c r="K232" s="34">
        <f>'Specification &amp; Data'!B$18*9.81*'Specification &amp; Data'!L$15</f>
        <v>604.07460105300004</v>
      </c>
      <c r="L232" s="34">
        <f>('Specification &amp; Data'!B$22*'Specification &amp; Data'!B$10*'Specification &amp; Data'!B$20*(Simulation!F232^2-'Specification &amp; Data'!B$21^2))/2</f>
        <v>39.094897209435267</v>
      </c>
      <c r="M232" s="34">
        <f t="shared" si="90"/>
        <v>0</v>
      </c>
      <c r="N232" s="34">
        <f>'Specification &amp; Data'!B$24*'Specification &amp; Data'!B$18*8.91</f>
        <v>92.968722</v>
      </c>
      <c r="O232" s="34">
        <f t="shared" si="77"/>
        <v>736.13822026243531</v>
      </c>
      <c r="P232" s="40">
        <f t="shared" si="78"/>
        <v>736.13822026243531</v>
      </c>
      <c r="Q232" s="34">
        <f>IF(J232=1,'Specification &amp; Data'!B$52,IF(Simulation!J232=2,'Specification &amp; Data'!B$53,IF(Simulation!J232=3,'Specification &amp; Data'!B$54)))</f>
        <v>565.87802352621827</v>
      </c>
      <c r="R232" s="34">
        <f>(0.5*'Specification &amp; Data'!B$18*Simulation!F232^2)/1000</f>
        <v>22.989476616865034</v>
      </c>
      <c r="T232" s="40">
        <f>P232*'Specification &amp; Data'!B$14*0.9</f>
        <v>195.35975845426168</v>
      </c>
      <c r="U232" s="40">
        <f>T232/(IF(J232=1,'Specification &amp; Data'!H$7,IF(Simulation!J232=2,'Specification &amp; Data'!H$8,IF(Simulation!J232=3,'Specification &amp; Data'!H$9))))</f>
        <v>15.350180128164453</v>
      </c>
      <c r="V232" s="40">
        <f t="shared" si="91"/>
        <v>1.5239162582289809E-2</v>
      </c>
      <c r="W232" s="40">
        <f t="shared" si="92"/>
        <v>2.9589377710209846E-2</v>
      </c>
      <c r="X232" s="40">
        <f t="shared" si="79"/>
        <v>6.9107363744718846</v>
      </c>
      <c r="Y232" s="40">
        <f t="shared" si="80"/>
        <v>9.2637216815977013</v>
      </c>
      <c r="Z232" s="40">
        <f t="shared" si="93"/>
        <v>4299.146375686285</v>
      </c>
      <c r="AA232" s="40">
        <f t="shared" si="94"/>
        <v>15</v>
      </c>
      <c r="AB232" s="40">
        <f t="shared" si="95"/>
        <v>4500</v>
      </c>
      <c r="AC232" s="40">
        <f t="shared" si="81"/>
        <v>1.9196489929088568E-3</v>
      </c>
      <c r="AD232" s="40">
        <f t="shared" si="96"/>
        <v>0.15580305020708599</v>
      </c>
      <c r="AE232" s="34">
        <f t="shared" si="97"/>
        <v>1266.4747112930993</v>
      </c>
      <c r="AF232" s="34">
        <f t="shared" si="98"/>
        <v>6.9107363744718846</v>
      </c>
      <c r="AG232" s="34">
        <f t="shared" si="82"/>
        <v>9.2637216815977013</v>
      </c>
      <c r="AH232" s="34">
        <f>INDEX('Specification &amp; Data'!E$24:R$46,MATCH(Simulation!AA232,'Specification &amp; Data'!D$24:D$46,0),MATCH(Simulation!AB232,'Specification &amp; Data'!E$47:R$47,0))</f>
        <v>439.44570101250008</v>
      </c>
      <c r="AI232" s="34">
        <f t="shared" si="83"/>
        <v>1.9196489929088568E-3</v>
      </c>
      <c r="AJ232" s="34">
        <f t="shared" si="75"/>
        <v>0.84358149738677235</v>
      </c>
      <c r="AK232" s="34">
        <f t="shared" si="99"/>
        <v>77.811898164855634</v>
      </c>
      <c r="AL232" s="34">
        <v>2.3289729133329802</v>
      </c>
    </row>
    <row r="233" spans="2:38" x14ac:dyDescent="0.25">
      <c r="B233" s="36" t="s">
        <v>140</v>
      </c>
      <c r="C233" s="34">
        <f t="shared" si="84"/>
        <v>231</v>
      </c>
      <c r="D233" s="34">
        <v>21</v>
      </c>
      <c r="E233" s="34">
        <f t="shared" si="76"/>
        <v>33.796167979471953</v>
      </c>
      <c r="F233" s="34">
        <f t="shared" si="85"/>
        <v>9.387824438742209</v>
      </c>
      <c r="G233" s="37">
        <f t="shared" si="86"/>
        <v>1729.8184126530009</v>
      </c>
      <c r="H233" s="34">
        <f t="shared" si="87"/>
        <v>9.387824438742209</v>
      </c>
      <c r="I233" s="34">
        <f t="shared" si="88"/>
        <v>0</v>
      </c>
      <c r="J233" s="34">
        <f t="shared" si="89"/>
        <v>3</v>
      </c>
      <c r="K233" s="34">
        <f>'Specification &amp; Data'!B$18*9.81*'Specification &amp; Data'!L$15</f>
        <v>604.07460105300004</v>
      </c>
      <c r="L233" s="34">
        <f>('Specification &amp; Data'!B$22*'Specification &amp; Data'!B$10*'Specification &amp; Data'!B$20*(Simulation!F233^2-'Specification &amp; Data'!B$21^2))/2</f>
        <v>39.094897209435267</v>
      </c>
      <c r="M233" s="34">
        <f t="shared" si="90"/>
        <v>0</v>
      </c>
      <c r="N233" s="34">
        <f>'Specification &amp; Data'!B$24*'Specification &amp; Data'!B$18*8.91</f>
        <v>92.968722</v>
      </c>
      <c r="O233" s="34">
        <f t="shared" si="77"/>
        <v>736.13822026243531</v>
      </c>
      <c r="P233" s="40">
        <f t="shared" si="78"/>
        <v>736.13822026243531</v>
      </c>
      <c r="Q233" s="34">
        <f>IF(J233=1,'Specification &amp; Data'!B$52,IF(Simulation!J233=2,'Specification &amp; Data'!B$53,IF(Simulation!J233=3,'Specification &amp; Data'!B$54)))</f>
        <v>565.87802352621827</v>
      </c>
      <c r="R233" s="34">
        <f>(0.5*'Specification &amp; Data'!B$18*Simulation!F233^2)/1000</f>
        <v>22.989476616865034</v>
      </c>
      <c r="T233" s="40">
        <f>P233*'Specification &amp; Data'!B$14*0.9</f>
        <v>195.35975845426168</v>
      </c>
      <c r="U233" s="40">
        <f>T233/(IF(J233=1,'Specification &amp; Data'!H$7,IF(Simulation!J233=2,'Specification &amp; Data'!H$8,IF(Simulation!J233=3,'Specification &amp; Data'!H$9))))</f>
        <v>15.350180128164453</v>
      </c>
      <c r="V233" s="40">
        <f t="shared" si="91"/>
        <v>1.5341111479915601E-2</v>
      </c>
      <c r="W233" s="40">
        <f t="shared" si="92"/>
        <v>2.9589377710209846E-2</v>
      </c>
      <c r="X233" s="40">
        <f t="shared" si="79"/>
        <v>6.9107363744718846</v>
      </c>
      <c r="Y233" s="40">
        <f t="shared" si="80"/>
        <v>9.2637216815977013</v>
      </c>
      <c r="Z233" s="40">
        <f t="shared" si="93"/>
        <v>4299.146375686285</v>
      </c>
      <c r="AA233" s="40">
        <f t="shared" si="94"/>
        <v>15</v>
      </c>
      <c r="AB233" s="40">
        <f t="shared" si="95"/>
        <v>4500</v>
      </c>
      <c r="AC233" s="40">
        <f t="shared" si="81"/>
        <v>1.9196489929088568E-3</v>
      </c>
      <c r="AD233" s="40">
        <f t="shared" si="96"/>
        <v>0.15772269919999485</v>
      </c>
      <c r="AE233" s="34">
        <f t="shared" si="97"/>
        <v>1273.385447667571</v>
      </c>
      <c r="AF233" s="34">
        <f t="shared" si="98"/>
        <v>6.9107363744718846</v>
      </c>
      <c r="AG233" s="34">
        <f t="shared" si="82"/>
        <v>9.2637216815977013</v>
      </c>
      <c r="AH233" s="34">
        <f>INDEX('Specification &amp; Data'!E$24:R$46,MATCH(Simulation!AA233,'Specification &amp; Data'!D$24:D$46,0),MATCH(Simulation!AB233,'Specification &amp; Data'!E$47:R$47,0))</f>
        <v>439.44570101250008</v>
      </c>
      <c r="AI233" s="34">
        <f t="shared" si="83"/>
        <v>1.9196489929088568E-3</v>
      </c>
      <c r="AJ233" s="34">
        <f t="shared" si="75"/>
        <v>0.84358149738677235</v>
      </c>
      <c r="AK233" s="34">
        <f t="shared" si="99"/>
        <v>78.655479662242413</v>
      </c>
      <c r="AL233" s="34">
        <v>2.3289729133329802</v>
      </c>
    </row>
    <row r="234" spans="2:38" x14ac:dyDescent="0.25">
      <c r="B234" s="36" t="s">
        <v>140</v>
      </c>
      <c r="C234" s="34">
        <f t="shared" si="84"/>
        <v>232</v>
      </c>
      <c r="D234" s="34">
        <v>21</v>
      </c>
      <c r="E234" s="34">
        <f t="shared" si="76"/>
        <v>33.796167979471953</v>
      </c>
      <c r="F234" s="34">
        <f t="shared" si="85"/>
        <v>9.387824438742209</v>
      </c>
      <c r="G234" s="37">
        <f t="shared" si="86"/>
        <v>1739.2062370917431</v>
      </c>
      <c r="H234" s="34">
        <f t="shared" si="87"/>
        <v>9.387824438742209</v>
      </c>
      <c r="I234" s="34">
        <f t="shared" si="88"/>
        <v>0</v>
      </c>
      <c r="J234" s="34">
        <f t="shared" si="89"/>
        <v>3</v>
      </c>
      <c r="K234" s="34">
        <f>'Specification &amp; Data'!B$18*9.81*'Specification &amp; Data'!L$15</f>
        <v>604.07460105300004</v>
      </c>
      <c r="L234" s="34">
        <f>('Specification &amp; Data'!B$22*'Specification &amp; Data'!B$10*'Specification &amp; Data'!B$20*(Simulation!F234^2-'Specification &amp; Data'!B$21^2))/2</f>
        <v>39.094897209435267</v>
      </c>
      <c r="M234" s="34">
        <f t="shared" si="90"/>
        <v>0</v>
      </c>
      <c r="N234" s="34">
        <f>'Specification &amp; Data'!B$24*'Specification &amp; Data'!B$18*8.91</f>
        <v>92.968722</v>
      </c>
      <c r="O234" s="34">
        <f t="shared" si="77"/>
        <v>736.13822026243531</v>
      </c>
      <c r="P234" s="40">
        <f t="shared" si="78"/>
        <v>736.13822026243531</v>
      </c>
      <c r="Q234" s="34">
        <f>IF(J234=1,'Specification &amp; Data'!B$52,IF(Simulation!J234=2,'Specification &amp; Data'!B$53,IF(Simulation!J234=3,'Specification &amp; Data'!B$54)))</f>
        <v>565.87802352621827</v>
      </c>
      <c r="R234" s="34">
        <f>(0.5*'Specification &amp; Data'!B$18*Simulation!F234^2)/1000</f>
        <v>22.989476616865034</v>
      </c>
      <c r="T234" s="40">
        <f>P234*'Specification &amp; Data'!B$14*0.9</f>
        <v>195.35975845426168</v>
      </c>
      <c r="U234" s="40">
        <f>T234/(IF(J234=1,'Specification &amp; Data'!H$7,IF(Simulation!J234=2,'Specification &amp; Data'!H$8,IF(Simulation!J234=3,'Specification &amp; Data'!H$9))))</f>
        <v>15.350180128164453</v>
      </c>
      <c r="V234" s="40">
        <f t="shared" si="91"/>
        <v>1.5443060377541394E-2</v>
      </c>
      <c r="W234" s="40">
        <f t="shared" si="92"/>
        <v>2.9589377710209846E-2</v>
      </c>
      <c r="X234" s="40">
        <f t="shared" si="79"/>
        <v>6.9107363744718846</v>
      </c>
      <c r="Y234" s="40">
        <f t="shared" si="80"/>
        <v>9.2637216815977013</v>
      </c>
      <c r="Z234" s="40">
        <f t="shared" si="93"/>
        <v>4299.146375686285</v>
      </c>
      <c r="AA234" s="40">
        <f t="shared" si="94"/>
        <v>15</v>
      </c>
      <c r="AB234" s="40">
        <f t="shared" si="95"/>
        <v>4500</v>
      </c>
      <c r="AC234" s="40">
        <f t="shared" si="81"/>
        <v>1.9196489929088568E-3</v>
      </c>
      <c r="AD234" s="40">
        <f t="shared" si="96"/>
        <v>0.15964234819290371</v>
      </c>
      <c r="AE234" s="34">
        <f t="shared" si="97"/>
        <v>1280.2961840420428</v>
      </c>
      <c r="AF234" s="34">
        <f t="shared" si="98"/>
        <v>6.9107363744718846</v>
      </c>
      <c r="AG234" s="34">
        <f t="shared" si="82"/>
        <v>9.2637216815977013</v>
      </c>
      <c r="AH234" s="34">
        <f>INDEX('Specification &amp; Data'!E$24:R$46,MATCH(Simulation!AA234,'Specification &amp; Data'!D$24:D$46,0),MATCH(Simulation!AB234,'Specification &amp; Data'!E$47:R$47,0))</f>
        <v>439.44570101250008</v>
      </c>
      <c r="AI234" s="34">
        <f t="shared" si="83"/>
        <v>1.9196489929088568E-3</v>
      </c>
      <c r="AJ234" s="34">
        <f t="shared" si="75"/>
        <v>0.84358149738677235</v>
      </c>
      <c r="AK234" s="34">
        <f t="shared" si="99"/>
        <v>79.499061159629193</v>
      </c>
      <c r="AL234" s="34">
        <v>2.3289729133329802</v>
      </c>
    </row>
    <row r="235" spans="2:38" x14ac:dyDescent="0.25">
      <c r="C235" s="34">
        <f t="shared" si="84"/>
        <v>233</v>
      </c>
      <c r="D235" s="34">
        <v>21.5</v>
      </c>
      <c r="E235" s="34">
        <f t="shared" si="76"/>
        <v>34.600838645649858</v>
      </c>
      <c r="F235" s="34">
        <f t="shared" si="85"/>
        <v>9.6113440682360718</v>
      </c>
      <c r="G235" s="37">
        <f t="shared" si="86"/>
        <v>1748.7058213452322</v>
      </c>
      <c r="H235" s="34">
        <f t="shared" si="87"/>
        <v>9.4995842534891395</v>
      </c>
      <c r="I235" s="34">
        <f t="shared" si="88"/>
        <v>0.22351962949386106</v>
      </c>
      <c r="J235" s="34">
        <f t="shared" si="89"/>
        <v>3</v>
      </c>
      <c r="K235" s="34">
        <v>0</v>
      </c>
      <c r="L235" s="34">
        <f>('Specification &amp; Data'!B$22*'Specification &amp; Data'!B$10*'Specification &amp; Data'!B$20*(Simulation!F235^2-'Specification &amp; Data'!B$21^2))/2</f>
        <v>41.091375019200676</v>
      </c>
      <c r="M235" s="34">
        <f t="shared" si="90"/>
        <v>126.4848461572987</v>
      </c>
      <c r="N235" s="34">
        <f>'Specification &amp; Data'!B$24*'Specification &amp; Data'!B$18*8.91</f>
        <v>92.968722</v>
      </c>
      <c r="O235" s="34">
        <f t="shared" si="77"/>
        <v>260.54494317649937</v>
      </c>
      <c r="P235" s="40">
        <f t="shared" si="78"/>
        <v>260.54494317649937</v>
      </c>
      <c r="Q235" s="34">
        <f>IF(J235=1,'Specification &amp; Data'!B$52,IF(Simulation!J235=2,'Specification &amp; Data'!B$53,IF(Simulation!J235=3,'Specification &amp; Data'!B$54)))</f>
        <v>565.87802352621827</v>
      </c>
      <c r="R235" s="34">
        <f>(0.5*'Specification &amp; Data'!B$18*Simulation!F235^2)/1000</f>
        <v>24.097246181736654</v>
      </c>
      <c r="T235" s="40">
        <f>P235*'Specification &amp; Data'!B$14*0.9</f>
        <v>69.144619535301757</v>
      </c>
      <c r="U235" s="40">
        <f>T235/(IF(J235=1,'Specification &amp; Data'!H$7,IF(Simulation!J235=2,'Specification &amp; Data'!H$8,IF(Simulation!J235=3,'Specification &amp; Data'!H$9))))</f>
        <v>5.4329631299619736</v>
      </c>
      <c r="V235" s="40">
        <f t="shared" si="91"/>
        <v>1.5552766861859855E-2</v>
      </c>
      <c r="W235" s="40">
        <f t="shared" si="92"/>
        <v>2.9589377710209846E-2</v>
      </c>
      <c r="X235" s="40">
        <f t="shared" si="79"/>
        <v>2.5041870941083517</v>
      </c>
      <c r="Y235" s="40">
        <f t="shared" si="80"/>
        <v>3.3568191610031524</v>
      </c>
      <c r="Z235" s="40">
        <f t="shared" si="93"/>
        <v>4401.5070036788165</v>
      </c>
      <c r="AA235" s="40">
        <f t="shared" si="94"/>
        <v>5</v>
      </c>
      <c r="AB235" s="40">
        <f t="shared" si="95"/>
        <v>4500</v>
      </c>
      <c r="AC235" s="40">
        <f t="shared" si="81"/>
        <v>6.9560752614120883E-4</v>
      </c>
      <c r="AD235" s="40">
        <f t="shared" si="96"/>
        <v>0.16033795571904491</v>
      </c>
      <c r="AE235" s="34">
        <f t="shared" si="97"/>
        <v>455.61645885480721</v>
      </c>
      <c r="AF235" s="34">
        <f t="shared" si="98"/>
        <v>2.5041870941083517</v>
      </c>
      <c r="AG235" s="34">
        <f t="shared" si="82"/>
        <v>3.3568191610031524</v>
      </c>
      <c r="AH235" s="34">
        <f>INDEX('Specification &amp; Data'!E$24:R$46,MATCH(Simulation!AA235,'Specification &amp; Data'!D$24:D$46,0),MATCH(Simulation!AB235,'Specification &amp; Data'!E$47:R$47,0))</f>
        <v>620.28480150000007</v>
      </c>
      <c r="AI235" s="34">
        <f t="shared" si="83"/>
        <v>6.9560752614120883E-4</v>
      </c>
      <c r="AJ235" s="34">
        <f t="shared" si="75"/>
        <v>0.43147477627440584</v>
      </c>
      <c r="AK235" s="34">
        <f t="shared" si="99"/>
        <v>79.930535935903592</v>
      </c>
      <c r="AL235" s="34">
        <v>2.3289729133329802</v>
      </c>
    </row>
    <row r="236" spans="2:38" x14ac:dyDescent="0.25">
      <c r="C236" s="34">
        <f t="shared" si="84"/>
        <v>234</v>
      </c>
      <c r="D236" s="34">
        <v>22</v>
      </c>
      <c r="E236" s="34">
        <f t="shared" si="76"/>
        <v>35.405509311827764</v>
      </c>
      <c r="F236" s="34">
        <f t="shared" si="85"/>
        <v>9.8348636977299346</v>
      </c>
      <c r="G236" s="37">
        <f t="shared" si="86"/>
        <v>1758.4289252282151</v>
      </c>
      <c r="H236" s="34">
        <f t="shared" si="87"/>
        <v>9.7231038829830041</v>
      </c>
      <c r="I236" s="34">
        <f t="shared" si="88"/>
        <v>0.22351962949386461</v>
      </c>
      <c r="J236" s="34">
        <f t="shared" si="89"/>
        <v>3</v>
      </c>
      <c r="K236" s="34">
        <v>0</v>
      </c>
      <c r="L236" s="34">
        <f>('Specification &amp; Data'!B$22*'Specification &amp; Data'!B$10*'Specification &amp; Data'!B$20*(Simulation!F236^2-'Specification &amp; Data'!B$21^2))/2</f>
        <v>43.134828777431153</v>
      </c>
      <c r="M236" s="34">
        <f t="shared" si="90"/>
        <v>126.48484615730071</v>
      </c>
      <c r="N236" s="34">
        <f>'Specification &amp; Data'!B$24*'Specification &amp; Data'!B$18*8.91</f>
        <v>92.968722</v>
      </c>
      <c r="O236" s="34">
        <f t="shared" si="77"/>
        <v>262.58839693473186</v>
      </c>
      <c r="P236" s="40">
        <f t="shared" si="78"/>
        <v>262.58839693473186</v>
      </c>
      <c r="Q236" s="34">
        <f>IF(J236=1,'Specification &amp; Data'!B$52,IF(Simulation!J236=2,'Specification &amp; Data'!B$53,IF(Simulation!J236=3,'Specification &amp; Data'!B$54)))</f>
        <v>565.87802352621827</v>
      </c>
      <c r="R236" s="34">
        <f>(0.5*'Specification &amp; Data'!B$18*Simulation!F236^2)/1000</f>
        <v>25.231080912840547</v>
      </c>
      <c r="T236" s="40">
        <f>P236*'Specification &amp; Data'!B$14*0.9</f>
        <v>69.686920724986535</v>
      </c>
      <c r="U236" s="40">
        <f>T236/(IF(J236=1,'Specification &amp; Data'!H$7,IF(Simulation!J236=2,'Specification &amp; Data'!H$8,IF(Simulation!J236=3,'Specification &amp; Data'!H$9))))</f>
        <v>5.4755738549712811</v>
      </c>
      <c r="V236" s="40">
        <f t="shared" si="91"/>
        <v>1.5670607184540677E-2</v>
      </c>
      <c r="W236" s="40">
        <f t="shared" si="92"/>
        <v>2.9589377710209846E-2</v>
      </c>
      <c r="X236" s="40">
        <f t="shared" si="79"/>
        <v>2.5825210924584927</v>
      </c>
      <c r="Y236" s="40">
        <f t="shared" si="80"/>
        <v>3.4618245207218399</v>
      </c>
      <c r="Z236" s="40">
        <f t="shared" si="93"/>
        <v>4503.8676316713463</v>
      </c>
      <c r="AA236" s="40">
        <f t="shared" si="94"/>
        <v>5</v>
      </c>
      <c r="AB236" s="40">
        <f t="shared" si="95"/>
        <v>4500</v>
      </c>
      <c r="AC236" s="40">
        <f t="shared" si="81"/>
        <v>7.1736697012735908E-4</v>
      </c>
      <c r="AD236" s="40">
        <f t="shared" si="96"/>
        <v>0.16105532268917228</v>
      </c>
      <c r="AE236" s="34">
        <f t="shared" si="97"/>
        <v>461.74303259934049</v>
      </c>
      <c r="AF236" s="34">
        <f t="shared" si="98"/>
        <v>2.5825210924584927</v>
      </c>
      <c r="AG236" s="34">
        <f t="shared" si="82"/>
        <v>3.4618245207218399</v>
      </c>
      <c r="AH236" s="34">
        <f>INDEX('Specification &amp; Data'!E$24:R$46,MATCH(Simulation!AA236,'Specification &amp; Data'!D$24:D$46,0),MATCH(Simulation!AB236,'Specification &amp; Data'!E$47:R$47,0))</f>
        <v>620.28480150000007</v>
      </c>
      <c r="AI236" s="34">
        <f t="shared" si="83"/>
        <v>7.1736697012735908E-4</v>
      </c>
      <c r="AJ236" s="34">
        <f t="shared" si="75"/>
        <v>0.44497182866810542</v>
      </c>
      <c r="AK236" s="34">
        <f t="shared" si="99"/>
        <v>80.375507764571694</v>
      </c>
      <c r="AL236" s="34">
        <v>2.3289729133329802</v>
      </c>
    </row>
    <row r="237" spans="2:38" x14ac:dyDescent="0.25">
      <c r="C237" s="34">
        <f t="shared" si="84"/>
        <v>235</v>
      </c>
      <c r="D237" s="34">
        <v>20.5</v>
      </c>
      <c r="E237" s="34">
        <f t="shared" si="76"/>
        <v>32.991497313294055</v>
      </c>
      <c r="F237" s="34">
        <f t="shared" si="85"/>
        <v>9.1643048092483479</v>
      </c>
      <c r="G237" s="37">
        <f t="shared" si="86"/>
        <v>1767.9285094817042</v>
      </c>
      <c r="H237" s="34">
        <f t="shared" si="87"/>
        <v>9.4995842534891413</v>
      </c>
      <c r="I237" s="34">
        <f t="shared" si="88"/>
        <v>-0.67055888848158673</v>
      </c>
      <c r="J237" s="34">
        <f t="shared" si="89"/>
        <v>3</v>
      </c>
      <c r="K237" s="34">
        <v>0</v>
      </c>
      <c r="L237" s="34">
        <f>('Specification &amp; Data'!B$22*'Specification &amp; Data'!B$10*'Specification &amp; Data'!B$20*(Simulation!F237^2-'Specification &amp; Data'!B$21^2))/2</f>
        <v>37.14539534813494</v>
      </c>
      <c r="M237" s="34">
        <f t="shared" si="90"/>
        <v>-379.4545384718981</v>
      </c>
      <c r="N237" s="34">
        <f>'Specification &amp; Data'!B$24*'Specification &amp; Data'!B$18*8.91</f>
        <v>92.968722</v>
      </c>
      <c r="O237" s="34">
        <f t="shared" si="77"/>
        <v>-249.34042112376318</v>
      </c>
      <c r="P237" s="40">
        <f t="shared" si="78"/>
        <v>249.34042112376318</v>
      </c>
      <c r="Q237" s="34">
        <f>IF(J237=1,'Specification &amp; Data'!B$52,IF(Simulation!J237=2,'Specification &amp; Data'!B$53,IF(Simulation!J237=3,'Specification &amp; Data'!B$54)))</f>
        <v>565.87802352621827</v>
      </c>
      <c r="R237" s="34">
        <f>(0.5*'Specification &amp; Data'!B$18*Simulation!F237^2)/1000</f>
        <v>21.907772218225702</v>
      </c>
      <c r="T237" s="40">
        <f>P237*'Specification &amp; Data'!B$14*0.9</f>
        <v>66.171111759767925</v>
      </c>
      <c r="U237" s="40">
        <f>T237/(IF(J237=1,'Specification &amp; Data'!H$7,IF(Simulation!J237=2,'Specification &amp; Data'!H$8,IF(Simulation!J237=3,'Specification &amp; Data'!H$9))))</f>
        <v>5.1993229968655346</v>
      </c>
      <c r="V237" s="40">
        <f t="shared" si="91"/>
        <v>1.576516599710466E-2</v>
      </c>
      <c r="W237" s="40">
        <f t="shared" si="92"/>
        <v>3.0224108715888875E-2</v>
      </c>
      <c r="X237" s="40">
        <f t="shared" si="79"/>
        <v>2.2850316204445114</v>
      </c>
      <c r="Y237" s="40">
        <f t="shared" si="80"/>
        <v>3.0630450676199881</v>
      </c>
      <c r="Z237" s="40">
        <f t="shared" si="93"/>
        <v>4196.7857476937543</v>
      </c>
      <c r="AA237" s="40">
        <f t="shared" si="94"/>
        <v>5</v>
      </c>
      <c r="AB237" s="40">
        <f t="shared" si="95"/>
        <v>4000</v>
      </c>
      <c r="AC237" s="40">
        <f t="shared" si="81"/>
        <v>6.3473100567903095E-4</v>
      </c>
      <c r="AD237" s="40">
        <f t="shared" si="96"/>
        <v>0.16169005369485132</v>
      </c>
      <c r="AE237" s="34">
        <f t="shared" si="97"/>
        <v>-440.81603907087504</v>
      </c>
      <c r="AF237" s="34">
        <f t="shared" si="98"/>
        <v>-2.2850316204445114</v>
      </c>
      <c r="AG237" s="34">
        <f t="shared" si="82"/>
        <v>-3.0630450676199881</v>
      </c>
      <c r="AH237" s="34">
        <f>INDEX('Specification &amp; Data'!E$24:R$46,MATCH(Simulation!AA237,'Specification &amp; Data'!D$24:D$46,0),MATCH(Simulation!AB237,'Specification &amp; Data'!E$47:R$47,0))</f>
        <v>651.64144500000009</v>
      </c>
      <c r="AI237" s="34">
        <f t="shared" si="83"/>
        <v>-6.3473100567903095E-4</v>
      </c>
      <c r="AJ237" s="34">
        <f t="shared" si="75"/>
        <v>0.413617029726987</v>
      </c>
      <c r="AK237" s="34">
        <f t="shared" si="99"/>
        <v>80.789124794298687</v>
      </c>
      <c r="AL237" s="34">
        <v>2.3289729133329802</v>
      </c>
    </row>
    <row r="238" spans="2:38" x14ac:dyDescent="0.25">
      <c r="C238" s="34">
        <f t="shared" si="84"/>
        <v>236</v>
      </c>
      <c r="D238" s="34">
        <v>19.8</v>
      </c>
      <c r="E238" s="34">
        <f t="shared" si="76"/>
        <v>31.864958380644989</v>
      </c>
      <c r="F238" s="34">
        <f t="shared" si="85"/>
        <v>8.851377327956941</v>
      </c>
      <c r="G238" s="37">
        <f t="shared" si="86"/>
        <v>1776.9363505503068</v>
      </c>
      <c r="H238" s="34">
        <f t="shared" si="87"/>
        <v>9.0078410686026444</v>
      </c>
      <c r="I238" s="34">
        <f t="shared" si="88"/>
        <v>-0.31292748129140691</v>
      </c>
      <c r="J238" s="34">
        <f t="shared" si="89"/>
        <v>2</v>
      </c>
      <c r="K238" s="34">
        <v>0</v>
      </c>
      <c r="L238" s="34">
        <f>('Specification &amp; Data'!B$22*'Specification &amp; Data'!B$10*'Specification &amp; Data'!B$20*(Simulation!F238^2-'Specification &amp; Data'!B$21^2))/2</f>
        <v>34.49501233573578</v>
      </c>
      <c r="M238" s="34">
        <f t="shared" si="90"/>
        <v>-178.03239687863763</v>
      </c>
      <c r="N238" s="34">
        <f>'Specification &amp; Data'!B$24*'Specification &amp; Data'!B$18*8.91</f>
        <v>92.968722</v>
      </c>
      <c r="O238" s="34">
        <f t="shared" si="77"/>
        <v>-50.568662542901862</v>
      </c>
      <c r="P238" s="40">
        <f t="shared" si="78"/>
        <v>50.568662542901862</v>
      </c>
      <c r="Q238" s="34">
        <f>IF(J238=1,'Specification &amp; Data'!B$52,IF(Simulation!J238=2,'Specification &amp; Data'!B$53,IF(Simulation!J238=3,'Specification &amp; Data'!B$54)))</f>
        <v>568.92541410528543</v>
      </c>
      <c r="R238" s="34">
        <f>(0.5*'Specification &amp; Data'!B$18*Simulation!F238^2)/1000</f>
        <v>20.43717553940084</v>
      </c>
      <c r="T238" s="40">
        <f>P238*'Specification &amp; Data'!B$14*0.9</f>
        <v>13.420145059462419</v>
      </c>
      <c r="U238" s="40">
        <f>T238/(IF(J238=1,'Specification &amp; Data'!H$7,IF(Simulation!J238=2,'Specification &amp; Data'!H$8,IF(Simulation!J238=3,'Specification &amp; Data'!H$9))))</f>
        <v>0.80513969159417997</v>
      </c>
      <c r="V238" s="40">
        <f t="shared" si="91"/>
        <v>1.5849979433248028E-2</v>
      </c>
      <c r="W238" s="40">
        <f t="shared" si="92"/>
        <v>3.0348442691760361E-2</v>
      </c>
      <c r="X238" s="40">
        <f t="shared" si="79"/>
        <v>0.44760231313734694</v>
      </c>
      <c r="Y238" s="40">
        <f t="shared" si="80"/>
        <v>0.60000310072030416</v>
      </c>
      <c r="Z238" s="40">
        <f t="shared" si="93"/>
        <v>5308.7523632668062</v>
      </c>
      <c r="AA238" s="40">
        <f t="shared" si="94"/>
        <v>1</v>
      </c>
      <c r="AB238" s="40">
        <f t="shared" si="95"/>
        <v>5500</v>
      </c>
      <c r="AC238" s="40">
        <f t="shared" si="81"/>
        <v>1.2433397587148525E-4</v>
      </c>
      <c r="AD238" s="40">
        <f t="shared" si="96"/>
        <v>0.16181438767072281</v>
      </c>
      <c r="AE238" s="34">
        <f t="shared" si="97"/>
        <v>-89.857294671194026</v>
      </c>
      <c r="AF238" s="34">
        <f t="shared" si="98"/>
        <v>-0.44760231313734694</v>
      </c>
      <c r="AG238" s="34">
        <f t="shared" si="82"/>
        <v>-0.60000310072030416</v>
      </c>
      <c r="AH238" s="34">
        <f>INDEX('Specification &amp; Data'!E$24:R$46,MATCH(Simulation!AA238,'Specification &amp; Data'!D$24:D$46,0),MATCH(Simulation!AB238,'Specification &amp; Data'!E$47:R$47,0))</f>
        <v>863.13181500000007</v>
      </c>
      <c r="AI238" s="34">
        <f t="shared" si="83"/>
        <v>-1.2433397587148525E-4</v>
      </c>
      <c r="AJ238" s="34">
        <f t="shared" si="75"/>
        <v>0.10731661026012128</v>
      </c>
      <c r="AK238" s="34">
        <f t="shared" si="99"/>
        <v>80.896441404558814</v>
      </c>
      <c r="AL238" s="34">
        <v>2.3289729133329802</v>
      </c>
    </row>
    <row r="239" spans="2:38" x14ac:dyDescent="0.25">
      <c r="C239" s="34">
        <f t="shared" si="84"/>
        <v>237</v>
      </c>
      <c r="D239" s="34">
        <v>18</v>
      </c>
      <c r="E239" s="34">
        <f t="shared" si="76"/>
        <v>28.968143982404534</v>
      </c>
      <c r="F239" s="34">
        <f t="shared" si="85"/>
        <v>8.0467066617790373</v>
      </c>
      <c r="G239" s="37">
        <f t="shared" si="86"/>
        <v>1785.3853925451747</v>
      </c>
      <c r="H239" s="34">
        <f t="shared" si="87"/>
        <v>8.44904199486799</v>
      </c>
      <c r="I239" s="34">
        <f t="shared" si="88"/>
        <v>-0.80467066617790195</v>
      </c>
      <c r="J239" s="34">
        <f t="shared" si="89"/>
        <v>2</v>
      </c>
      <c r="K239" s="34">
        <v>0</v>
      </c>
      <c r="L239" s="34">
        <f>('Specification &amp; Data'!B$22*'Specification &amp; Data'!B$10*'Specification &amp; Data'!B$20*(Simulation!F239^2-'Specification &amp; Data'!B$21^2))/2</f>
        <v>28.102525268609277</v>
      </c>
      <c r="M239" s="34">
        <f t="shared" si="90"/>
        <v>-457.79759197363876</v>
      </c>
      <c r="N239" s="34">
        <f>'Specification &amp; Data'!B$24*'Specification &amp; Data'!B$18*8.91</f>
        <v>92.968722</v>
      </c>
      <c r="O239" s="34">
        <f t="shared" si="77"/>
        <v>-336.72634470502948</v>
      </c>
      <c r="P239" s="40">
        <f t="shared" si="78"/>
        <v>336.72634470502948</v>
      </c>
      <c r="Q239" s="34">
        <f>IF(J239=1,'Specification &amp; Data'!B$52,IF(Simulation!J239=2,'Specification &amp; Data'!B$53,IF(Simulation!J239=3,'Specification &amp; Data'!B$54)))</f>
        <v>568.92541410528543</v>
      </c>
      <c r="R239" s="34">
        <f>(0.5*'Specification &amp; Data'!B$18*Simulation!F239^2)/1000</f>
        <v>16.890227718513092</v>
      </c>
      <c r="T239" s="40">
        <f>P239*'Specification &amp; Data'!B$14*0.9</f>
        <v>89.361991479411671</v>
      </c>
      <c r="U239" s="40">
        <f>T239/(IF(J239=1,'Specification &amp; Data'!H$7,IF(Simulation!J239=2,'Specification &amp; Data'!H$8,IF(Simulation!J239=3,'Specification &amp; Data'!H$9))))</f>
        <v>5.3612599521973694</v>
      </c>
      <c r="V239" s="40">
        <f t="shared" si="91"/>
        <v>1.5912794093606842E-2</v>
      </c>
      <c r="W239" s="40">
        <f t="shared" si="92"/>
        <v>3.1101092169853267E-2</v>
      </c>
      <c r="X239" s="40">
        <f t="shared" si="79"/>
        <v>2.7095381211344653</v>
      </c>
      <c r="Y239" s="40">
        <f t="shared" si="80"/>
        <v>3.6320886342285057</v>
      </c>
      <c r="Z239" s="40">
        <f t="shared" si="93"/>
        <v>4826.1385120607329</v>
      </c>
      <c r="AA239" s="40">
        <f t="shared" si="94"/>
        <v>5</v>
      </c>
      <c r="AB239" s="40">
        <f t="shared" si="95"/>
        <v>5000</v>
      </c>
      <c r="AC239" s="40">
        <f t="shared" si="81"/>
        <v>7.5264947809290704E-4</v>
      </c>
      <c r="AD239" s="40">
        <f t="shared" si="96"/>
        <v>0.16256703714881574</v>
      </c>
      <c r="AE239" s="34">
        <f t="shared" si="97"/>
        <v>-601.18629712149084</v>
      </c>
      <c r="AF239" s="34">
        <f t="shared" si="98"/>
        <v>-2.7095381211344653</v>
      </c>
      <c r="AG239" s="34">
        <f t="shared" si="82"/>
        <v>-3.6320886342285057</v>
      </c>
      <c r="AH239" s="34">
        <f>INDEX('Specification &amp; Data'!E$24:R$46,MATCH(Simulation!AA239,'Specification &amp; Data'!D$24:D$46,0),MATCH(Simulation!AB239,'Specification &amp; Data'!E$47:R$47,0))</f>
        <v>588.92815799999994</v>
      </c>
      <c r="AI239" s="34">
        <f t="shared" si="83"/>
        <v>-7.5264947809290704E-4</v>
      </c>
      <c r="AJ239" s="34">
        <f t="shared" si="75"/>
        <v>0.44325647075291708</v>
      </c>
      <c r="AK239" s="34">
        <f t="shared" si="99"/>
        <v>81.339697875311728</v>
      </c>
      <c r="AL239" s="34">
        <v>2.3289729133329802</v>
      </c>
    </row>
    <row r="240" spans="2:38" x14ac:dyDescent="0.25">
      <c r="C240" s="34">
        <f t="shared" si="84"/>
        <v>238</v>
      </c>
      <c r="D240" s="34">
        <v>16</v>
      </c>
      <c r="E240" s="34">
        <f t="shared" si="76"/>
        <v>25.749461317692919</v>
      </c>
      <c r="F240" s="34">
        <f t="shared" si="85"/>
        <v>7.1526281438035886</v>
      </c>
      <c r="G240" s="37">
        <f t="shared" si="86"/>
        <v>1792.985059947966</v>
      </c>
      <c r="H240" s="34">
        <f t="shared" si="87"/>
        <v>7.5996674027913134</v>
      </c>
      <c r="I240" s="34">
        <f t="shared" si="88"/>
        <v>-0.8940785179754478</v>
      </c>
      <c r="J240" s="34">
        <f t="shared" si="89"/>
        <v>2</v>
      </c>
      <c r="K240" s="34">
        <v>0</v>
      </c>
      <c r="L240" s="34">
        <f>('Specification &amp; Data'!B$22*'Specification &amp; Data'!B$10*'Specification &amp; Data'!B$20*(Simulation!F240^2-'Specification &amp; Data'!B$21^2))/2</f>
        <v>21.713796277359986</v>
      </c>
      <c r="M240" s="34">
        <f t="shared" si="90"/>
        <v>-508.66399108182151</v>
      </c>
      <c r="N240" s="34">
        <f>'Specification &amp; Data'!B$24*'Specification &amp; Data'!B$18*8.91</f>
        <v>92.968722</v>
      </c>
      <c r="O240" s="34">
        <f t="shared" si="77"/>
        <v>-393.98147280446153</v>
      </c>
      <c r="P240" s="40">
        <f t="shared" si="78"/>
        <v>393.98147280446153</v>
      </c>
      <c r="Q240" s="34">
        <f>IF(J240=1,'Specification &amp; Data'!B$52,IF(Simulation!J240=2,'Specification &amp; Data'!B$53,IF(Simulation!J240=3,'Specification &amp; Data'!B$54)))</f>
        <v>568.92541410528543</v>
      </c>
      <c r="R240" s="34">
        <f>(0.5*'Specification &amp; Data'!B$18*Simulation!F240^2)/1000</f>
        <v>13.345365110923924</v>
      </c>
      <c r="T240" s="40">
        <f>P240*'Specification &amp; Data'!B$14*0.9</f>
        <v>104.55662162887634</v>
      </c>
      <c r="U240" s="40">
        <f>T240/(IF(J240=1,'Specification &amp; Data'!H$7,IF(Simulation!J240=2,'Specification &amp; Data'!H$8,IF(Simulation!J240=3,'Specification &amp; Data'!H$9))))</f>
        <v>6.2728596240505192</v>
      </c>
      <c r="V240" s="40">
        <f t="shared" si="91"/>
        <v>1.5955935957596361E-2</v>
      </c>
      <c r="W240" s="40">
        <f t="shared" si="92"/>
        <v>3.188387077277504E-2</v>
      </c>
      <c r="X240" s="40">
        <f t="shared" si="79"/>
        <v>2.8180029705183798</v>
      </c>
      <c r="Y240" s="40">
        <f t="shared" si="80"/>
        <v>3.777483874689517</v>
      </c>
      <c r="Z240" s="40">
        <f t="shared" si="93"/>
        <v>4289.9008996095399</v>
      </c>
      <c r="AA240" s="40">
        <f t="shared" si="94"/>
        <v>6</v>
      </c>
      <c r="AB240" s="40">
        <f t="shared" si="95"/>
        <v>4500</v>
      </c>
      <c r="AC240" s="40">
        <f t="shared" si="81"/>
        <v>7.8277860292177211E-4</v>
      </c>
      <c r="AD240" s="40">
        <f t="shared" si="96"/>
        <v>0.16334981575173751</v>
      </c>
      <c r="AE240" s="34">
        <f t="shared" si="97"/>
        <v>-706.40289463469537</v>
      </c>
      <c r="AF240" s="34">
        <f t="shared" si="98"/>
        <v>-2.8180029705183798</v>
      </c>
      <c r="AG240" s="34">
        <f t="shared" si="82"/>
        <v>-3.777483874689517</v>
      </c>
      <c r="AH240" s="34">
        <f>INDEX('Specification &amp; Data'!E$24:R$46,MATCH(Simulation!AA240,'Specification &amp; Data'!D$24:D$46,0),MATCH(Simulation!AB240,'Specification &amp; Data'!E$47:R$47,0))</f>
        <v>560.76049575000002</v>
      </c>
      <c r="AI240" s="34">
        <f t="shared" si="83"/>
        <v>-7.8277860292177211E-4</v>
      </c>
      <c r="AJ240" s="34">
        <f t="shared" si="75"/>
        <v>0.43895131743690535</v>
      </c>
      <c r="AK240" s="34">
        <f t="shared" si="99"/>
        <v>81.778649192748631</v>
      </c>
      <c r="AL240" s="34">
        <v>2.3289729133329802</v>
      </c>
    </row>
    <row r="241" spans="2:38" x14ac:dyDescent="0.25">
      <c r="C241" s="34">
        <f t="shared" si="84"/>
        <v>239</v>
      </c>
      <c r="D241" s="34">
        <v>14</v>
      </c>
      <c r="E241" s="34">
        <f t="shared" si="76"/>
        <v>22.530778652981304</v>
      </c>
      <c r="F241" s="34">
        <f t="shared" si="85"/>
        <v>6.2585496258281399</v>
      </c>
      <c r="G241" s="37">
        <f t="shared" si="86"/>
        <v>1799.6906488327818</v>
      </c>
      <c r="H241" s="34">
        <f t="shared" si="87"/>
        <v>6.7055888848158638</v>
      </c>
      <c r="I241" s="34">
        <f t="shared" si="88"/>
        <v>-0.89407851797544957</v>
      </c>
      <c r="J241" s="34">
        <f t="shared" si="89"/>
        <v>2</v>
      </c>
      <c r="K241" s="34">
        <v>0</v>
      </c>
      <c r="L241" s="34">
        <f>('Specification &amp; Data'!B$22*'Specification &amp; Data'!B$10*'Specification &amp; Data'!B$20*(Simulation!F241^2-'Specification &amp; Data'!B$21^2))/2</f>
        <v>16.076682461551783</v>
      </c>
      <c r="M241" s="34">
        <f t="shared" si="90"/>
        <v>-508.66399108182253</v>
      </c>
      <c r="N241" s="34">
        <f>'Specification &amp; Data'!B$24*'Specification &amp; Data'!B$18*8.91</f>
        <v>92.968722</v>
      </c>
      <c r="O241" s="34">
        <f t="shared" si="77"/>
        <v>-399.61858662027072</v>
      </c>
      <c r="P241" s="40">
        <f t="shared" si="78"/>
        <v>399.61858662027072</v>
      </c>
      <c r="Q241" s="34">
        <f>IF(J241=1,'Specification &amp; Data'!B$52,IF(Simulation!J241=2,'Specification &amp; Data'!B$53,IF(Simulation!J241=3,'Specification &amp; Data'!B$54)))</f>
        <v>568.92541410528543</v>
      </c>
      <c r="R241" s="34">
        <f>(0.5*'Specification &amp; Data'!B$18*Simulation!F241^2)/1000</f>
        <v>10.217545163051129</v>
      </c>
      <c r="T241" s="40">
        <f>P241*'Specification &amp; Data'!B$14*0.9</f>
        <v>106.05262491076415</v>
      </c>
      <c r="U241" s="40">
        <f>T241/(IF(J241=1,'Specification &amp; Data'!H$7,IF(Simulation!J241=2,'Specification &amp; Data'!H$8,IF(Simulation!J241=3,'Specification &amp; Data'!H$9))))</f>
        <v>6.3626121278920298</v>
      </c>
      <c r="V241" s="40">
        <f t="shared" si="91"/>
        <v>1.5983885045097557E-2</v>
      </c>
      <c r="W241" s="40">
        <f t="shared" si="92"/>
        <v>3.2578602093821227E-2</v>
      </c>
      <c r="X241" s="40">
        <f t="shared" si="79"/>
        <v>2.5010327557662655</v>
      </c>
      <c r="Y241" s="40">
        <f t="shared" si="80"/>
        <v>3.352590825423948</v>
      </c>
      <c r="Z241" s="40">
        <f t="shared" si="93"/>
        <v>3753.6632871583488</v>
      </c>
      <c r="AA241" s="40">
        <f t="shared" si="94"/>
        <v>6</v>
      </c>
      <c r="AB241" s="40">
        <f t="shared" si="95"/>
        <v>4000</v>
      </c>
      <c r="AC241" s="40">
        <f t="shared" si="81"/>
        <v>6.9473132104618484E-4</v>
      </c>
      <c r="AD241" s="40">
        <f t="shared" si="96"/>
        <v>0.16404454707278371</v>
      </c>
      <c r="AE241" s="34">
        <f t="shared" si="97"/>
        <v>-719.18983344027424</v>
      </c>
      <c r="AF241" s="34">
        <f t="shared" si="98"/>
        <v>-2.5010327557662655</v>
      </c>
      <c r="AG241" s="34">
        <f t="shared" si="82"/>
        <v>-3.352590825423948</v>
      </c>
      <c r="AH241" s="34">
        <f>INDEX('Specification &amp; Data'!E$24:R$46,MATCH(Simulation!AA241,'Specification &amp; Data'!D$24:D$46,0),MATCH(Simulation!AB241,'Specification &amp; Data'!E$47:R$47,0))</f>
        <v>603.98588250000012</v>
      </c>
      <c r="AI241" s="34">
        <f t="shared" si="83"/>
        <v>-6.9473132104618484E-4</v>
      </c>
      <c r="AJ241" s="34">
        <f t="shared" si="75"/>
        <v>0.41960791004247083</v>
      </c>
      <c r="AK241" s="34">
        <f t="shared" si="99"/>
        <v>82.198257102791104</v>
      </c>
      <c r="AL241" s="34">
        <v>2.3289729133329802</v>
      </c>
    </row>
    <row r="242" spans="2:38" x14ac:dyDescent="0.25">
      <c r="C242" s="34">
        <f t="shared" si="84"/>
        <v>240</v>
      </c>
      <c r="D242" s="34">
        <v>12</v>
      </c>
      <c r="E242" s="34">
        <f t="shared" si="76"/>
        <v>19.312095988269689</v>
      </c>
      <c r="F242" s="34">
        <f t="shared" si="85"/>
        <v>5.3644711078526912</v>
      </c>
      <c r="G242" s="37">
        <f t="shared" si="86"/>
        <v>1805.5021591996222</v>
      </c>
      <c r="H242" s="34">
        <f t="shared" si="87"/>
        <v>5.811510366840416</v>
      </c>
      <c r="I242" s="34">
        <f t="shared" si="88"/>
        <v>-0.8940785179754478</v>
      </c>
      <c r="J242" s="34">
        <f t="shared" si="89"/>
        <v>2</v>
      </c>
      <c r="K242" s="34">
        <v>0</v>
      </c>
      <c r="L242" s="34">
        <f>('Specification &amp; Data'!B$22*'Specification &amp; Data'!B$10*'Specification &amp; Data'!B$20*(Simulation!F242^2-'Specification &amp; Data'!B$21^2))/2</f>
        <v>11.19118382118468</v>
      </c>
      <c r="M242" s="34">
        <f t="shared" si="90"/>
        <v>-508.66399108182151</v>
      </c>
      <c r="N242" s="34">
        <f>'Specification &amp; Data'!B$24*'Specification &amp; Data'!B$18*8.91</f>
        <v>92.968722</v>
      </c>
      <c r="O242" s="34">
        <f t="shared" si="77"/>
        <v>-404.50408526063683</v>
      </c>
      <c r="P242" s="40">
        <f t="shared" si="78"/>
        <v>404.50408526063683</v>
      </c>
      <c r="Q242" s="34">
        <f>IF(J242=1,'Specification &amp; Data'!B$52,IF(Simulation!J242=2,'Specification &amp; Data'!B$53,IF(Simulation!J242=3,'Specification &amp; Data'!B$54)))</f>
        <v>568.92541410528543</v>
      </c>
      <c r="R242" s="34">
        <f>(0.5*'Specification &amp; Data'!B$18*Simulation!F242^2)/1000</f>
        <v>7.5067678748947078</v>
      </c>
      <c r="T242" s="40">
        <f>P242*'Specification &amp; Data'!B$14*0.9</f>
        <v>107.34916108839978</v>
      </c>
      <c r="U242" s="40">
        <f>T242/(IF(J242=1,'Specification &amp; Data'!H$7,IF(Simulation!J242=2,'Specification &amp; Data'!H$8,IF(Simulation!J242=3,'Specification &amp; Data'!H$9))))</f>
        <v>6.4403976312213116</v>
      </c>
      <c r="V242" s="40">
        <f t="shared" si="91"/>
        <v>1.6000561373506285E-2</v>
      </c>
      <c r="W242" s="40">
        <f t="shared" si="92"/>
        <v>3.3181366115595967E-2</v>
      </c>
      <c r="X242" s="40">
        <f t="shared" si="79"/>
        <v>2.169950478389068</v>
      </c>
      <c r="Y242" s="40">
        <f t="shared" si="80"/>
        <v>2.908780802130118</v>
      </c>
      <c r="Z242" s="40">
        <f t="shared" si="93"/>
        <v>3217.4256747071549</v>
      </c>
      <c r="AA242" s="40">
        <f t="shared" si="94"/>
        <v>6</v>
      </c>
      <c r="AB242" s="40">
        <f t="shared" si="95"/>
        <v>3000</v>
      </c>
      <c r="AC242" s="40">
        <f t="shared" si="81"/>
        <v>6.0276402177474107E-4</v>
      </c>
      <c r="AD242" s="40">
        <f t="shared" si="96"/>
        <v>0.16464731109455846</v>
      </c>
      <c r="AE242" s="34">
        <f t="shared" si="97"/>
        <v>-730.33299934314789</v>
      </c>
      <c r="AF242" s="34">
        <f t="shared" si="98"/>
        <v>-2.169950478389068</v>
      </c>
      <c r="AG242" s="34">
        <f t="shared" si="82"/>
        <v>-2.908780802130118</v>
      </c>
      <c r="AH242" s="34">
        <f>INDEX('Specification &amp; Data'!E$24:R$46,MATCH(Simulation!AA242,'Specification &amp; Data'!D$24:D$46,0),MATCH(Simulation!AB242,'Specification &amp; Data'!E$47:R$47,0))</f>
        <v>635.8471195781251</v>
      </c>
      <c r="AI242" s="34">
        <f t="shared" si="83"/>
        <v>-6.0276402177474107E-4</v>
      </c>
      <c r="AJ242" s="34">
        <f t="shared" si="75"/>
        <v>0.3832657670307954</v>
      </c>
      <c r="AK242" s="34">
        <f t="shared" si="99"/>
        <v>82.581522869821896</v>
      </c>
      <c r="AL242" s="34">
        <v>2.3289729133329802</v>
      </c>
    </row>
    <row r="243" spans="2:38" x14ac:dyDescent="0.25">
      <c r="C243" s="34">
        <f t="shared" si="84"/>
        <v>241</v>
      </c>
      <c r="D243" s="34">
        <v>10</v>
      </c>
      <c r="E243" s="34">
        <f t="shared" si="76"/>
        <v>16.093413323558075</v>
      </c>
      <c r="F243" s="34">
        <f t="shared" si="85"/>
        <v>4.4703925898772425</v>
      </c>
      <c r="G243" s="37">
        <f t="shared" si="86"/>
        <v>1810.4195910484871</v>
      </c>
      <c r="H243" s="34">
        <f t="shared" si="87"/>
        <v>4.9174318488649664</v>
      </c>
      <c r="I243" s="34">
        <f t="shared" si="88"/>
        <v>-0.89407851797544957</v>
      </c>
      <c r="J243" s="34">
        <f t="shared" si="89"/>
        <v>1</v>
      </c>
      <c r="K243" s="34">
        <v>0</v>
      </c>
      <c r="L243" s="34">
        <f>('Specification &amp; Data'!B$22*'Specification &amp; Data'!B$10*'Specification &amp; Data'!B$20*(Simulation!F243^2-'Specification &amp; Data'!B$21^2))/2</f>
        <v>7.0573003562586658</v>
      </c>
      <c r="M243" s="34">
        <f t="shared" si="90"/>
        <v>-514.27989361264406</v>
      </c>
      <c r="N243" s="34">
        <f>'Specification &amp; Data'!B$24*'Specification &amp; Data'!B$18*8.91</f>
        <v>92.968722</v>
      </c>
      <c r="O243" s="34">
        <f t="shared" si="77"/>
        <v>-414.25387125638537</v>
      </c>
      <c r="P243" s="40">
        <f t="shared" si="78"/>
        <v>414.25387125638537</v>
      </c>
      <c r="Q243" s="34">
        <f>IF(J243=1,'Specification &amp; Data'!B$52,IF(Simulation!J243=2,'Specification &amp; Data'!B$53,IF(Simulation!J243=3,'Specification &amp; Data'!B$54)))</f>
        <v>575.20663260893332</v>
      </c>
      <c r="R243" s="34">
        <f>(0.5*'Specification &amp; Data'!B$18*Simulation!F243^2)/1000</f>
        <v>5.2130332464546569</v>
      </c>
      <c r="T243" s="40">
        <f>P243*'Specification &amp; Data'!B$14*0.9</f>
        <v>109.93660429496381</v>
      </c>
      <c r="U243" s="40">
        <f>T243/(IF(J243=1,'Specification &amp; Data'!H$7,IF(Simulation!J243=2,'Specification &amp; Data'!H$8,IF(Simulation!J243=3,'Specification &amp; Data'!H$9))))</f>
        <v>4.8367960064635689</v>
      </c>
      <c r="V243" s="40">
        <f t="shared" si="91"/>
        <v>1.6009324957733273E-2</v>
      </c>
      <c r="W243" s="40">
        <f t="shared" si="92"/>
        <v>3.3695776514593885E-2</v>
      </c>
      <c r="X243" s="40">
        <f t="shared" si="79"/>
        <v>1.8518774363925063</v>
      </c>
      <c r="Y243" s="40">
        <f t="shared" si="80"/>
        <v>2.4824094321615364</v>
      </c>
      <c r="Z243" s="40">
        <f t="shared" si="93"/>
        <v>3656.165539439949</v>
      </c>
      <c r="AA243" s="40">
        <f t="shared" si="94"/>
        <v>5</v>
      </c>
      <c r="AB243" s="40">
        <f t="shared" si="95"/>
        <v>3500</v>
      </c>
      <c r="AC243" s="40">
        <f t="shared" si="81"/>
        <v>5.1441039899791845E-4</v>
      </c>
      <c r="AD243" s="40">
        <f t="shared" si="96"/>
        <v>0.16516172149355637</v>
      </c>
      <c r="AE243" s="34">
        <f t="shared" si="97"/>
        <v>-749.9733241902378</v>
      </c>
      <c r="AF243" s="34">
        <f t="shared" si="98"/>
        <v>-1.8518774363925063</v>
      </c>
      <c r="AG243" s="34">
        <f t="shared" si="82"/>
        <v>-2.4824094321615364</v>
      </c>
      <c r="AH243" s="34">
        <f>INDEX('Specification &amp; Data'!E$24:R$46,MATCH(Simulation!AA243,'Specification &amp; Data'!D$24:D$46,0),MATCH(Simulation!AB243,'Specification &amp; Data'!E$47:R$47,0))</f>
        <v>688.78555200000017</v>
      </c>
      <c r="AI243" s="34">
        <f t="shared" si="83"/>
        <v>-5.1441039899791845E-4</v>
      </c>
      <c r="AJ243" s="34">
        <f t="shared" si="75"/>
        <v>0.35431845062832157</v>
      </c>
      <c r="AK243" s="34">
        <f t="shared" si="99"/>
        <v>82.935841320450223</v>
      </c>
      <c r="AL243" s="34">
        <v>2.3289729133329802</v>
      </c>
    </row>
    <row r="244" spans="2:38" x14ac:dyDescent="0.25">
      <c r="C244" s="34">
        <f t="shared" si="84"/>
        <v>242</v>
      </c>
      <c r="D244" s="34">
        <v>9.9</v>
      </c>
      <c r="E244" s="34">
        <f t="shared" si="76"/>
        <v>15.932479190322494</v>
      </c>
      <c r="F244" s="34">
        <f t="shared" si="85"/>
        <v>4.4256886639784705</v>
      </c>
      <c r="G244" s="37">
        <f t="shared" si="86"/>
        <v>1814.8676316754149</v>
      </c>
      <c r="H244" s="34">
        <f t="shared" si="87"/>
        <v>4.4480406269278561</v>
      </c>
      <c r="I244" s="34">
        <f t="shared" si="88"/>
        <v>-4.4703925898772923E-2</v>
      </c>
      <c r="J244" s="34">
        <f t="shared" si="89"/>
        <v>1</v>
      </c>
      <c r="K244" s="34">
        <v>0</v>
      </c>
      <c r="L244" s="34">
        <f>('Specification &amp; Data'!B$22*'Specification &amp; Data'!B$10*'Specification &amp; Data'!B$20*(Simulation!F244^2-'Specification &amp; Data'!B$21^2))/2</f>
        <v>6.8703360813676948</v>
      </c>
      <c r="M244" s="34">
        <f t="shared" si="90"/>
        <v>-25.713994680632457</v>
      </c>
      <c r="N244" s="34">
        <f>'Specification &amp; Data'!B$24*'Specification &amp; Data'!B$18*8.91</f>
        <v>92.968722</v>
      </c>
      <c r="O244" s="34">
        <f t="shared" si="77"/>
        <v>74.125063400735229</v>
      </c>
      <c r="P244" s="40">
        <f t="shared" si="78"/>
        <v>74.125063400735229</v>
      </c>
      <c r="Q244" s="34">
        <f>IF(J244=1,'Specification &amp; Data'!B$52,IF(Simulation!J244=2,'Specification &amp; Data'!B$53,IF(Simulation!J244=3,'Specification &amp; Data'!B$54)))</f>
        <v>575.20663260893332</v>
      </c>
      <c r="R244" s="34">
        <f>(0.5*'Specification &amp; Data'!B$18*Simulation!F244^2)/1000</f>
        <v>5.1092938848502101</v>
      </c>
      <c r="T244" s="40">
        <f>P244*'Specification &amp; Data'!B$14*0.9</f>
        <v>19.67165144096435</v>
      </c>
      <c r="U244" s="40">
        <f>T244/(IF(J244=1,'Specification &amp; Data'!H$7,IF(Simulation!J244=2,'Specification &amp; Data'!H$8,IF(Simulation!J244=3,'Specification &amp; Data'!H$9))))</f>
        <v>0.86547847953275736</v>
      </c>
      <c r="V244" s="40">
        <f t="shared" si="91"/>
        <v>1.6017771060098003E-2</v>
      </c>
      <c r="W244" s="40">
        <f t="shared" si="92"/>
        <v>3.3786902751485361E-2</v>
      </c>
      <c r="X244" s="40">
        <f t="shared" si="79"/>
        <v>0.32805445280931933</v>
      </c>
      <c r="Y244" s="40">
        <f t="shared" si="80"/>
        <v>0.43975127722428864</v>
      </c>
      <c r="Z244" s="40">
        <f t="shared" si="93"/>
        <v>3619.603884045549</v>
      </c>
      <c r="AA244" s="40">
        <f t="shared" si="94"/>
        <v>1</v>
      </c>
      <c r="AB244" s="40">
        <f t="shared" si="95"/>
        <v>3500</v>
      </c>
      <c r="AC244" s="40">
        <f t="shared" si="81"/>
        <v>9.1126236891477593E-5</v>
      </c>
      <c r="AD244" s="40">
        <f t="shared" si="96"/>
        <v>0.16525284773044785</v>
      </c>
      <c r="AE244" s="34">
        <f t="shared" si="97"/>
        <v>134.52717826188234</v>
      </c>
      <c r="AF244" s="34">
        <f t="shared" si="98"/>
        <v>0.32805445280931933</v>
      </c>
      <c r="AG244" s="34">
        <f t="shared" si="82"/>
        <v>0.43975127722428864</v>
      </c>
      <c r="AH244" s="34">
        <f>INDEX('Specification &amp; Data'!E$24:R$46,MATCH(Simulation!AA244,'Specification &amp; Data'!D$24:D$46,0),MATCH(Simulation!AB244,'Specification &amp; Data'!E$47:R$47,0))</f>
        <v>951.79202299999974</v>
      </c>
      <c r="AI244" s="34">
        <f t="shared" si="83"/>
        <v>9.1126236891477593E-5</v>
      </c>
      <c r="AJ244" s="34">
        <f t="shared" si="75"/>
        <v>8.6733225359316671E-2</v>
      </c>
      <c r="AK244" s="34">
        <f t="shared" si="99"/>
        <v>83.022574545809533</v>
      </c>
      <c r="AL244" s="34">
        <v>2.3289729133329802</v>
      </c>
    </row>
    <row r="245" spans="2:38" x14ac:dyDescent="0.25">
      <c r="B245" s="36" t="s">
        <v>141</v>
      </c>
      <c r="C245" s="34">
        <f t="shared" si="84"/>
        <v>243</v>
      </c>
      <c r="D245" s="34">
        <v>8.5</v>
      </c>
      <c r="E245" s="34">
        <f t="shared" si="76"/>
        <v>13.679401325024363</v>
      </c>
      <c r="F245" s="34">
        <f t="shared" si="85"/>
        <v>3.7998337013956562</v>
      </c>
      <c r="G245" s="37">
        <f t="shared" si="86"/>
        <v>1818.9803928581021</v>
      </c>
      <c r="H245" s="34">
        <f t="shared" si="87"/>
        <v>4.1127611826870636</v>
      </c>
      <c r="I245" s="34">
        <f t="shared" si="88"/>
        <v>-0.62585496258281381</v>
      </c>
      <c r="J245" s="34">
        <f t="shared" si="89"/>
        <v>1</v>
      </c>
      <c r="K245" s="34">
        <v>0</v>
      </c>
      <c r="L245" s="34">
        <f>('Specification &amp; Data'!B$22*'Specification &amp; Data'!B$10*'Specification &amp; Data'!B$20*(Simulation!F245^2-'Specification &amp; Data'!B$21^2))/2</f>
        <v>4.4501352164473733</v>
      </c>
      <c r="M245" s="34">
        <f t="shared" si="90"/>
        <v>-359.99592552885031</v>
      </c>
      <c r="N245" s="34">
        <f>'Specification &amp; Data'!B$24*'Specification &amp; Data'!B$18*8.91</f>
        <v>92.968722</v>
      </c>
      <c r="O245" s="34">
        <f t="shared" si="77"/>
        <v>-262.5770683124029</v>
      </c>
      <c r="P245" s="40">
        <f t="shared" si="78"/>
        <v>262.5770683124029</v>
      </c>
      <c r="Q245" s="34">
        <f>IF(J245=1,'Specification &amp; Data'!B$52,IF(Simulation!J245=2,'Specification &amp; Data'!B$53,IF(Simulation!J245=3,'Specification &amp; Data'!B$54)))</f>
        <v>575.20663260893332</v>
      </c>
      <c r="R245" s="34">
        <f>(0.5*'Specification &amp; Data'!B$18*Simulation!F245^2)/1000</f>
        <v>3.7664165205634901</v>
      </c>
      <c r="T245" s="40">
        <f>P245*'Specification &amp; Data'!B$14*0.9</f>
        <v>69.683914282906926</v>
      </c>
      <c r="U245" s="40">
        <f>T245/(IF(J245=1,'Specification &amp; Data'!H$7,IF(Simulation!J245=2,'Specification &amp; Data'!H$8,IF(Simulation!J245=3,'Specification &amp; Data'!H$9))))</f>
        <v>3.0658294430670709</v>
      </c>
      <c r="V245" s="40">
        <f t="shared" si="91"/>
        <v>1.6022468219478898E-2</v>
      </c>
      <c r="W245" s="40">
        <f t="shared" si="92"/>
        <v>3.4064055305204011E-2</v>
      </c>
      <c r="X245" s="40">
        <f t="shared" si="79"/>
        <v>0.99774919338713797</v>
      </c>
      <c r="Y245" s="40">
        <f t="shared" si="80"/>
        <v>1.3374654066851717</v>
      </c>
      <c r="Z245" s="40">
        <f t="shared" si="93"/>
        <v>3107.7407085239561</v>
      </c>
      <c r="AA245" s="40">
        <f t="shared" si="94"/>
        <v>3</v>
      </c>
      <c r="AB245" s="40">
        <f t="shared" si="95"/>
        <v>3000</v>
      </c>
      <c r="AC245" s="40">
        <f t="shared" si="81"/>
        <v>2.7715255371864946E-4</v>
      </c>
      <c r="AD245" s="40">
        <f t="shared" si="96"/>
        <v>0.16553000028416651</v>
      </c>
      <c r="AE245" s="34">
        <f t="shared" si="97"/>
        <v>-477.6225388744233</v>
      </c>
      <c r="AF245" s="34">
        <f t="shared" si="98"/>
        <v>-0.99774919338713797</v>
      </c>
      <c r="AG245" s="34">
        <f t="shared" si="82"/>
        <v>-1.3374654066851717</v>
      </c>
      <c r="AH245" s="34">
        <f>INDEX('Specification &amp; Data'!E$24:R$46,MATCH(Simulation!AA245,'Specification &amp; Data'!D$24:D$46,0),MATCH(Simulation!AB245,'Specification &amp; Data'!E$47:R$47,0))</f>
        <v>806.02508350000016</v>
      </c>
      <c r="AI245" s="34">
        <f t="shared" si="83"/>
        <v>-2.7715255371864946E-4</v>
      </c>
      <c r="AJ245" s="34">
        <f t="shared" si="75"/>
        <v>0.2233919102533127</v>
      </c>
      <c r="AK245" s="34">
        <f t="shared" si="99"/>
        <v>83.245966456062845</v>
      </c>
      <c r="AL245" s="34">
        <v>2.3289729133329802</v>
      </c>
    </row>
    <row r="246" spans="2:38" x14ac:dyDescent="0.25">
      <c r="C246" s="34">
        <f t="shared" si="84"/>
        <v>244</v>
      </c>
      <c r="D246" s="34">
        <v>8.5</v>
      </c>
      <c r="E246" s="34">
        <f t="shared" si="76"/>
        <v>13.679401325024363</v>
      </c>
      <c r="F246" s="34">
        <f t="shared" si="85"/>
        <v>3.7998337013956562</v>
      </c>
      <c r="G246" s="37">
        <f t="shared" si="86"/>
        <v>1822.7802265594978</v>
      </c>
      <c r="H246" s="34">
        <f t="shared" si="87"/>
        <v>3.7998337013956562</v>
      </c>
      <c r="I246" s="34">
        <f t="shared" si="88"/>
        <v>0</v>
      </c>
      <c r="J246" s="34">
        <f t="shared" si="89"/>
        <v>1</v>
      </c>
      <c r="K246" s="34">
        <v>0</v>
      </c>
      <c r="L246" s="34">
        <f>('Specification &amp; Data'!B$22*'Specification &amp; Data'!B$10*'Specification &amp; Data'!B$20*(Simulation!F246^2-'Specification &amp; Data'!B$21^2))/2</f>
        <v>4.4501352164473733</v>
      </c>
      <c r="M246" s="34">
        <f t="shared" si="90"/>
        <v>0</v>
      </c>
      <c r="N246" s="34">
        <f>'Specification &amp; Data'!B$24*'Specification &amp; Data'!B$18*8.91</f>
        <v>92.968722</v>
      </c>
      <c r="O246" s="34">
        <f t="shared" si="77"/>
        <v>97.418857216447378</v>
      </c>
      <c r="P246" s="40">
        <f t="shared" si="78"/>
        <v>97.418857216447378</v>
      </c>
      <c r="Q246" s="34">
        <f>IF(J246=1,'Specification &amp; Data'!B$52,IF(Simulation!J246=2,'Specification &amp; Data'!B$53,IF(Simulation!J246=3,'Specification &amp; Data'!B$54)))</f>
        <v>575.20663260893332</v>
      </c>
      <c r="R246" s="34">
        <f>(0.5*'Specification &amp; Data'!B$18*Simulation!F246^2)/1000</f>
        <v>3.7664165205634901</v>
      </c>
      <c r="T246" s="40">
        <f>P246*'Specification &amp; Data'!B$14*0.9</f>
        <v>25.853465953595649</v>
      </c>
      <c r="U246" s="40">
        <f>T246/(IF(J246=1,'Specification &amp; Data'!H$7,IF(Simulation!J246=2,'Specification &amp; Data'!H$8,IF(Simulation!J246=3,'Specification &amp; Data'!H$9))))</f>
        <v>1.1374550058148531</v>
      </c>
      <c r="V246" s="40">
        <f t="shared" si="91"/>
        <v>1.6027165378859794E-2</v>
      </c>
      <c r="W246" s="40">
        <f t="shared" si="92"/>
        <v>3.4064055305204011E-2</v>
      </c>
      <c r="X246" s="40">
        <f t="shared" si="79"/>
        <v>0.37017545680250818</v>
      </c>
      <c r="Y246" s="40">
        <f t="shared" si="80"/>
        <v>0.49621374906502436</v>
      </c>
      <c r="Z246" s="40">
        <f t="shared" si="93"/>
        <v>3107.7407085239565</v>
      </c>
      <c r="AA246" s="40">
        <f t="shared" si="94"/>
        <v>1</v>
      </c>
      <c r="AB246" s="40">
        <f t="shared" si="95"/>
        <v>3000</v>
      </c>
      <c r="AC246" s="40">
        <f t="shared" si="81"/>
        <v>1.0282651577847449E-4</v>
      </c>
      <c r="AD246" s="40">
        <f t="shared" si="96"/>
        <v>0.16563282679994498</v>
      </c>
      <c r="AE246" s="34">
        <f t="shared" si="97"/>
        <v>177.57316662816331</v>
      </c>
      <c r="AF246" s="34">
        <f t="shared" si="98"/>
        <v>0.37017545680250818</v>
      </c>
      <c r="AG246" s="34">
        <f t="shared" si="82"/>
        <v>0.49621374906502436</v>
      </c>
      <c r="AH246" s="34">
        <f>INDEX('Specification &amp; Data'!E$24:R$46,MATCH(Simulation!AA246,'Specification &amp; Data'!D$24:D$46,0),MATCH(Simulation!AB246,'Specification &amp; Data'!E$47:R$47,0))</f>
        <v>966.15913333333356</v>
      </c>
      <c r="AI246" s="34">
        <f t="shared" si="83"/>
        <v>1.0282651577847449E-4</v>
      </c>
      <c r="AJ246" s="34">
        <f t="shared" si="75"/>
        <v>9.9346777368217259E-2</v>
      </c>
      <c r="AK246" s="34">
        <f t="shared" si="99"/>
        <v>83.345313233431057</v>
      </c>
      <c r="AL246" s="34">
        <v>2.3289729133329802</v>
      </c>
    </row>
    <row r="247" spans="2:38" x14ac:dyDescent="0.25">
      <c r="C247" s="34">
        <f t="shared" si="84"/>
        <v>245</v>
      </c>
      <c r="D247" s="34">
        <v>8.5</v>
      </c>
      <c r="E247" s="34">
        <f t="shared" si="76"/>
        <v>13.679401325024363</v>
      </c>
      <c r="F247" s="34">
        <f t="shared" si="85"/>
        <v>3.7998337013956562</v>
      </c>
      <c r="G247" s="37">
        <f t="shared" si="86"/>
        <v>1826.5800602608936</v>
      </c>
      <c r="H247" s="34">
        <f t="shared" si="87"/>
        <v>3.7998337013956562</v>
      </c>
      <c r="I247" s="34">
        <f t="shared" si="88"/>
        <v>0</v>
      </c>
      <c r="J247" s="34">
        <f t="shared" si="89"/>
        <v>1</v>
      </c>
      <c r="K247" s="34">
        <v>0</v>
      </c>
      <c r="L247" s="34">
        <f>('Specification &amp; Data'!B$22*'Specification &amp; Data'!B$10*'Specification &amp; Data'!B$20*(Simulation!F247^2-'Specification &amp; Data'!B$21^2))/2</f>
        <v>4.4501352164473733</v>
      </c>
      <c r="M247" s="34">
        <f t="shared" si="90"/>
        <v>0</v>
      </c>
      <c r="N247" s="34">
        <f>'Specification &amp; Data'!B$24*'Specification &amp; Data'!B$18*8.91</f>
        <v>92.968722</v>
      </c>
      <c r="O247" s="34">
        <f t="shared" si="77"/>
        <v>97.418857216447378</v>
      </c>
      <c r="P247" s="40">
        <f t="shared" si="78"/>
        <v>97.418857216447378</v>
      </c>
      <c r="Q247" s="34">
        <f>IF(J247=1,'Specification &amp; Data'!B$52,IF(Simulation!J247=2,'Specification &amp; Data'!B$53,IF(Simulation!J247=3,'Specification &amp; Data'!B$54)))</f>
        <v>575.20663260893332</v>
      </c>
      <c r="R247" s="34">
        <f>(0.5*'Specification &amp; Data'!B$18*Simulation!F247^2)/1000</f>
        <v>3.7664165205634901</v>
      </c>
      <c r="T247" s="40">
        <f>P247*'Specification &amp; Data'!B$14*0.9</f>
        <v>25.853465953595649</v>
      </c>
      <c r="U247" s="40">
        <f>T247/(IF(J247=1,'Specification &amp; Data'!H$7,IF(Simulation!J247=2,'Specification &amp; Data'!H$8,IF(Simulation!J247=3,'Specification &amp; Data'!H$9))))</f>
        <v>1.1374550058148531</v>
      </c>
      <c r="V247" s="40">
        <f t="shared" si="91"/>
        <v>1.6031862538240689E-2</v>
      </c>
      <c r="W247" s="40">
        <f t="shared" si="92"/>
        <v>3.4064055305204011E-2</v>
      </c>
      <c r="X247" s="40">
        <f t="shared" si="79"/>
        <v>0.37017545680250818</v>
      </c>
      <c r="Y247" s="40">
        <f t="shared" si="80"/>
        <v>0.49621374906502436</v>
      </c>
      <c r="Z247" s="40">
        <f t="shared" si="93"/>
        <v>3107.7407085239565</v>
      </c>
      <c r="AA247" s="40">
        <f t="shared" si="94"/>
        <v>1</v>
      </c>
      <c r="AB247" s="40">
        <f t="shared" si="95"/>
        <v>3000</v>
      </c>
      <c r="AC247" s="40">
        <f t="shared" si="81"/>
        <v>1.0282651577847449E-4</v>
      </c>
      <c r="AD247" s="40">
        <f t="shared" si="96"/>
        <v>0.16573565331572346</v>
      </c>
      <c r="AE247" s="34">
        <f t="shared" si="97"/>
        <v>177.94334208496585</v>
      </c>
      <c r="AF247" s="34">
        <f t="shared" si="98"/>
        <v>0.37017545680250818</v>
      </c>
      <c r="AG247" s="34">
        <f t="shared" si="82"/>
        <v>0.49621374906502436</v>
      </c>
      <c r="AH247" s="34">
        <f>INDEX('Specification &amp; Data'!E$24:R$46,MATCH(Simulation!AA247,'Specification &amp; Data'!D$24:D$46,0),MATCH(Simulation!AB247,'Specification &amp; Data'!E$47:R$47,0))</f>
        <v>966.15913333333356</v>
      </c>
      <c r="AI247" s="34">
        <f t="shared" si="83"/>
        <v>1.0282651577847449E-4</v>
      </c>
      <c r="AJ247" s="34">
        <f t="shared" si="75"/>
        <v>9.9346777368217259E-2</v>
      </c>
      <c r="AK247" s="34">
        <f t="shared" si="99"/>
        <v>83.444660010799268</v>
      </c>
      <c r="AL247" s="34">
        <v>2.3289729133329802</v>
      </c>
    </row>
    <row r="248" spans="2:38" x14ac:dyDescent="0.25">
      <c r="C248" s="34">
        <f t="shared" si="84"/>
        <v>246</v>
      </c>
      <c r="D248" s="34">
        <v>8.5</v>
      </c>
      <c r="E248" s="34">
        <f t="shared" si="76"/>
        <v>13.679401325024363</v>
      </c>
      <c r="F248" s="34">
        <f t="shared" si="85"/>
        <v>3.7998337013956562</v>
      </c>
      <c r="G248" s="37">
        <f t="shared" si="86"/>
        <v>1830.3798939622893</v>
      </c>
      <c r="H248" s="34">
        <f t="shared" si="87"/>
        <v>3.7998337013956562</v>
      </c>
      <c r="I248" s="34">
        <f t="shared" si="88"/>
        <v>0</v>
      </c>
      <c r="J248" s="34">
        <f t="shared" si="89"/>
        <v>1</v>
      </c>
      <c r="K248" s="34">
        <v>0</v>
      </c>
      <c r="L248" s="34">
        <f>('Specification &amp; Data'!B$22*'Specification &amp; Data'!B$10*'Specification &amp; Data'!B$20*(Simulation!F248^2-'Specification &amp; Data'!B$21^2))/2</f>
        <v>4.4501352164473733</v>
      </c>
      <c r="M248" s="34">
        <f t="shared" si="90"/>
        <v>0</v>
      </c>
      <c r="N248" s="34">
        <f>'Specification &amp; Data'!B$24*'Specification &amp; Data'!B$18*8.91</f>
        <v>92.968722</v>
      </c>
      <c r="O248" s="34">
        <f t="shared" si="77"/>
        <v>97.418857216447378</v>
      </c>
      <c r="P248" s="40">
        <f t="shared" si="78"/>
        <v>97.418857216447378</v>
      </c>
      <c r="Q248" s="34">
        <f>IF(J248=1,'Specification &amp; Data'!B$52,IF(Simulation!J248=2,'Specification &amp; Data'!B$53,IF(Simulation!J248=3,'Specification &amp; Data'!B$54)))</f>
        <v>575.20663260893332</v>
      </c>
      <c r="R248" s="34">
        <f>(0.5*'Specification &amp; Data'!B$18*Simulation!F248^2)/1000</f>
        <v>3.7664165205634901</v>
      </c>
      <c r="T248" s="40">
        <f>P248*'Specification &amp; Data'!B$14*0.9</f>
        <v>25.853465953595649</v>
      </c>
      <c r="U248" s="40">
        <f>T248/(IF(J248=1,'Specification &amp; Data'!H$7,IF(Simulation!J248=2,'Specification &amp; Data'!H$8,IF(Simulation!J248=3,'Specification &amp; Data'!H$9))))</f>
        <v>1.1374550058148531</v>
      </c>
      <c r="V248" s="40">
        <f t="shared" si="91"/>
        <v>1.6036559697621584E-2</v>
      </c>
      <c r="W248" s="40">
        <f t="shared" si="92"/>
        <v>3.4064055305204011E-2</v>
      </c>
      <c r="X248" s="40">
        <f t="shared" si="79"/>
        <v>0.37017545680250818</v>
      </c>
      <c r="Y248" s="40">
        <f t="shared" si="80"/>
        <v>0.49621374906502436</v>
      </c>
      <c r="Z248" s="40">
        <f t="shared" si="93"/>
        <v>3107.7407085239565</v>
      </c>
      <c r="AA248" s="40">
        <f t="shared" si="94"/>
        <v>1</v>
      </c>
      <c r="AB248" s="40">
        <f t="shared" si="95"/>
        <v>3000</v>
      </c>
      <c r="AC248" s="40">
        <f t="shared" si="81"/>
        <v>1.0282651577847449E-4</v>
      </c>
      <c r="AD248" s="40">
        <f t="shared" si="96"/>
        <v>0.16583847983150193</v>
      </c>
      <c r="AE248" s="34">
        <f t="shared" si="97"/>
        <v>178.31351754176836</v>
      </c>
      <c r="AF248" s="34">
        <f t="shared" si="98"/>
        <v>0.37017545680250818</v>
      </c>
      <c r="AG248" s="34">
        <f t="shared" si="82"/>
        <v>0.49621374906502436</v>
      </c>
      <c r="AH248" s="34">
        <f>INDEX('Specification &amp; Data'!E$24:R$46,MATCH(Simulation!AA248,'Specification &amp; Data'!D$24:D$46,0),MATCH(Simulation!AB248,'Specification &amp; Data'!E$47:R$47,0))</f>
        <v>966.15913333333356</v>
      </c>
      <c r="AI248" s="34">
        <f t="shared" si="83"/>
        <v>1.0282651577847449E-4</v>
      </c>
      <c r="AJ248" s="34">
        <f t="shared" si="75"/>
        <v>9.9346777368217259E-2</v>
      </c>
      <c r="AK248" s="34">
        <f t="shared" si="99"/>
        <v>83.544006788167479</v>
      </c>
      <c r="AL248" s="34">
        <v>2.3289729133329802</v>
      </c>
    </row>
    <row r="249" spans="2:38" x14ac:dyDescent="0.25">
      <c r="C249" s="34">
        <f t="shared" si="84"/>
        <v>247</v>
      </c>
      <c r="D249" s="34">
        <v>8.5</v>
      </c>
      <c r="E249" s="34">
        <f t="shared" si="76"/>
        <v>13.679401325024363</v>
      </c>
      <c r="F249" s="34">
        <f t="shared" si="85"/>
        <v>3.7998337013956562</v>
      </c>
      <c r="G249" s="37">
        <f t="shared" si="86"/>
        <v>1834.1797276636851</v>
      </c>
      <c r="H249" s="34">
        <f t="shared" si="87"/>
        <v>3.7998337013956562</v>
      </c>
      <c r="I249" s="34">
        <f t="shared" si="88"/>
        <v>0</v>
      </c>
      <c r="J249" s="34">
        <f t="shared" si="89"/>
        <v>1</v>
      </c>
      <c r="K249" s="34">
        <v>0</v>
      </c>
      <c r="L249" s="34">
        <f>('Specification &amp; Data'!B$22*'Specification &amp; Data'!B$10*'Specification &amp; Data'!B$20*(Simulation!F249^2-'Specification &amp; Data'!B$21^2))/2</f>
        <v>4.4501352164473733</v>
      </c>
      <c r="M249" s="34">
        <f t="shared" si="90"/>
        <v>0</v>
      </c>
      <c r="N249" s="34">
        <f>'Specification &amp; Data'!B$24*'Specification &amp; Data'!B$18*8.91</f>
        <v>92.968722</v>
      </c>
      <c r="O249" s="34">
        <f t="shared" si="77"/>
        <v>97.418857216447378</v>
      </c>
      <c r="P249" s="40">
        <f t="shared" si="78"/>
        <v>97.418857216447378</v>
      </c>
      <c r="Q249" s="34">
        <f>IF(J249=1,'Specification &amp; Data'!B$52,IF(Simulation!J249=2,'Specification &amp; Data'!B$53,IF(Simulation!J249=3,'Specification &amp; Data'!B$54)))</f>
        <v>575.20663260893332</v>
      </c>
      <c r="R249" s="34">
        <f>(0.5*'Specification &amp; Data'!B$18*Simulation!F249^2)/1000</f>
        <v>3.7664165205634901</v>
      </c>
      <c r="T249" s="40">
        <f>P249*'Specification &amp; Data'!B$14*0.9</f>
        <v>25.853465953595649</v>
      </c>
      <c r="U249" s="40">
        <f>T249/(IF(J249=1,'Specification &amp; Data'!H$7,IF(Simulation!J249=2,'Specification &amp; Data'!H$8,IF(Simulation!J249=3,'Specification &amp; Data'!H$9))))</f>
        <v>1.1374550058148531</v>
      </c>
      <c r="V249" s="40">
        <f t="shared" si="91"/>
        <v>1.604125685700248E-2</v>
      </c>
      <c r="W249" s="40">
        <f t="shared" si="92"/>
        <v>3.4064055305204011E-2</v>
      </c>
      <c r="X249" s="40">
        <f t="shared" si="79"/>
        <v>0.37017545680250818</v>
      </c>
      <c r="Y249" s="40">
        <f t="shared" si="80"/>
        <v>0.49621374906502436</v>
      </c>
      <c r="Z249" s="40">
        <f t="shared" si="93"/>
        <v>3107.7407085239565</v>
      </c>
      <c r="AA249" s="40">
        <f t="shared" si="94"/>
        <v>1</v>
      </c>
      <c r="AB249" s="40">
        <f t="shared" si="95"/>
        <v>3000</v>
      </c>
      <c r="AC249" s="40">
        <f t="shared" si="81"/>
        <v>1.0282651577847449E-4</v>
      </c>
      <c r="AD249" s="40">
        <f t="shared" si="96"/>
        <v>0.16594130634728041</v>
      </c>
      <c r="AE249" s="34">
        <f t="shared" si="97"/>
        <v>178.68369299857088</v>
      </c>
      <c r="AF249" s="34">
        <f t="shared" si="98"/>
        <v>0.37017545680250818</v>
      </c>
      <c r="AG249" s="34">
        <f t="shared" si="82"/>
        <v>0.49621374906502436</v>
      </c>
      <c r="AH249" s="34">
        <f>INDEX('Specification &amp; Data'!E$24:R$46,MATCH(Simulation!AA249,'Specification &amp; Data'!D$24:D$46,0),MATCH(Simulation!AB249,'Specification &amp; Data'!E$47:R$47,0))</f>
        <v>966.15913333333356</v>
      </c>
      <c r="AI249" s="34">
        <f t="shared" si="83"/>
        <v>1.0282651577847449E-4</v>
      </c>
      <c r="AJ249" s="34">
        <f t="shared" si="75"/>
        <v>9.9346777368217259E-2</v>
      </c>
      <c r="AK249" s="34">
        <f t="shared" si="99"/>
        <v>83.643353565535691</v>
      </c>
      <c r="AL249" s="34">
        <v>2.3289729133329802</v>
      </c>
    </row>
    <row r="250" spans="2:38" x14ac:dyDescent="0.25">
      <c r="C250" s="34">
        <f t="shared" si="84"/>
        <v>248</v>
      </c>
      <c r="D250" s="34">
        <v>8.5</v>
      </c>
      <c r="E250" s="34">
        <f t="shared" si="76"/>
        <v>13.679401325024363</v>
      </c>
      <c r="F250" s="34">
        <f t="shared" si="85"/>
        <v>3.7998337013956562</v>
      </c>
      <c r="G250" s="37">
        <f t="shared" si="86"/>
        <v>1837.9795613650808</v>
      </c>
      <c r="H250" s="34">
        <f t="shared" si="87"/>
        <v>3.7998337013956562</v>
      </c>
      <c r="I250" s="34">
        <f t="shared" si="88"/>
        <v>0</v>
      </c>
      <c r="J250" s="34">
        <f t="shared" si="89"/>
        <v>1</v>
      </c>
      <c r="K250" s="34">
        <v>0</v>
      </c>
      <c r="L250" s="34">
        <f>('Specification &amp; Data'!B$22*'Specification &amp; Data'!B$10*'Specification &amp; Data'!B$20*(Simulation!F250^2-'Specification &amp; Data'!B$21^2))/2</f>
        <v>4.4501352164473733</v>
      </c>
      <c r="M250" s="34">
        <f t="shared" si="90"/>
        <v>0</v>
      </c>
      <c r="N250" s="34">
        <f>'Specification &amp; Data'!B$24*'Specification &amp; Data'!B$18*8.91</f>
        <v>92.968722</v>
      </c>
      <c r="O250" s="34">
        <f t="shared" si="77"/>
        <v>97.418857216447378</v>
      </c>
      <c r="P250" s="40">
        <f t="shared" si="78"/>
        <v>97.418857216447378</v>
      </c>
      <c r="Q250" s="34">
        <f>IF(J250=1,'Specification &amp; Data'!B$52,IF(Simulation!J250=2,'Specification &amp; Data'!B$53,IF(Simulation!J250=3,'Specification &amp; Data'!B$54)))</f>
        <v>575.20663260893332</v>
      </c>
      <c r="R250" s="34">
        <f>(0.5*'Specification &amp; Data'!B$18*Simulation!F250^2)/1000</f>
        <v>3.7664165205634901</v>
      </c>
      <c r="T250" s="40">
        <f>P250*'Specification &amp; Data'!B$14*0.9</f>
        <v>25.853465953595649</v>
      </c>
      <c r="U250" s="40">
        <f>T250/(IF(J250=1,'Specification &amp; Data'!H$7,IF(Simulation!J250=2,'Specification &amp; Data'!H$8,IF(Simulation!J250=3,'Specification &amp; Data'!H$9))))</f>
        <v>1.1374550058148531</v>
      </c>
      <c r="V250" s="40">
        <f t="shared" si="91"/>
        <v>1.6045954016383375E-2</v>
      </c>
      <c r="W250" s="40">
        <f t="shared" si="92"/>
        <v>3.4064055305204011E-2</v>
      </c>
      <c r="X250" s="40">
        <f t="shared" si="79"/>
        <v>0.37017545680250818</v>
      </c>
      <c r="Y250" s="40">
        <f t="shared" si="80"/>
        <v>0.49621374906502436</v>
      </c>
      <c r="Z250" s="40">
        <f t="shared" si="93"/>
        <v>3107.7407085239565</v>
      </c>
      <c r="AA250" s="40">
        <f t="shared" si="94"/>
        <v>1</v>
      </c>
      <c r="AB250" s="40">
        <f t="shared" si="95"/>
        <v>3000</v>
      </c>
      <c r="AC250" s="40">
        <f t="shared" si="81"/>
        <v>1.0282651577847449E-4</v>
      </c>
      <c r="AD250" s="40">
        <f t="shared" si="96"/>
        <v>0.16604413286305889</v>
      </c>
      <c r="AE250" s="34">
        <f t="shared" si="97"/>
        <v>179.05386845537339</v>
      </c>
      <c r="AF250" s="34">
        <f t="shared" si="98"/>
        <v>0.37017545680250818</v>
      </c>
      <c r="AG250" s="34">
        <f t="shared" si="82"/>
        <v>0.49621374906502436</v>
      </c>
      <c r="AH250" s="34">
        <f>INDEX('Specification &amp; Data'!E$24:R$46,MATCH(Simulation!AA250,'Specification &amp; Data'!D$24:D$46,0),MATCH(Simulation!AB250,'Specification &amp; Data'!E$47:R$47,0))</f>
        <v>966.15913333333356</v>
      </c>
      <c r="AI250" s="34">
        <f t="shared" si="83"/>
        <v>1.0282651577847449E-4</v>
      </c>
      <c r="AJ250" s="34">
        <f t="shared" si="75"/>
        <v>9.9346777368217259E-2</v>
      </c>
      <c r="AK250" s="34">
        <f t="shared" si="99"/>
        <v>83.742700342903902</v>
      </c>
      <c r="AL250" s="34">
        <v>2.3289729133329802</v>
      </c>
    </row>
    <row r="251" spans="2:38" x14ac:dyDescent="0.25">
      <c r="C251" s="34">
        <f t="shared" si="84"/>
        <v>249</v>
      </c>
      <c r="D251" s="34">
        <v>8.5</v>
      </c>
      <c r="E251" s="34">
        <f t="shared" si="76"/>
        <v>13.679401325024363</v>
      </c>
      <c r="F251" s="34">
        <f t="shared" si="85"/>
        <v>3.7998337013956562</v>
      </c>
      <c r="G251" s="37">
        <f t="shared" si="86"/>
        <v>1841.7793950664766</v>
      </c>
      <c r="H251" s="34">
        <f t="shared" si="87"/>
        <v>3.7998337013956562</v>
      </c>
      <c r="I251" s="34">
        <f t="shared" si="88"/>
        <v>0</v>
      </c>
      <c r="J251" s="34">
        <f t="shared" si="89"/>
        <v>1</v>
      </c>
      <c r="K251" s="34">
        <v>0</v>
      </c>
      <c r="L251" s="34">
        <f>('Specification &amp; Data'!B$22*'Specification &amp; Data'!B$10*'Specification &amp; Data'!B$20*(Simulation!F251^2-'Specification &amp; Data'!B$21^2))/2</f>
        <v>4.4501352164473733</v>
      </c>
      <c r="M251" s="34">
        <f t="shared" si="90"/>
        <v>0</v>
      </c>
      <c r="N251" s="34">
        <f>'Specification &amp; Data'!B$24*'Specification &amp; Data'!B$18*8.91</f>
        <v>92.968722</v>
      </c>
      <c r="O251" s="34">
        <f t="shared" si="77"/>
        <v>97.418857216447378</v>
      </c>
      <c r="P251" s="40">
        <f t="shared" si="78"/>
        <v>97.418857216447378</v>
      </c>
      <c r="Q251" s="34">
        <f>IF(J251=1,'Specification &amp; Data'!B$52,IF(Simulation!J251=2,'Specification &amp; Data'!B$53,IF(Simulation!J251=3,'Specification &amp; Data'!B$54)))</f>
        <v>575.20663260893332</v>
      </c>
      <c r="R251" s="34">
        <f>(0.5*'Specification &amp; Data'!B$18*Simulation!F251^2)/1000</f>
        <v>3.7664165205634901</v>
      </c>
      <c r="T251" s="40">
        <f>P251*'Specification &amp; Data'!B$14*0.9</f>
        <v>25.853465953595649</v>
      </c>
      <c r="U251" s="40">
        <f>T251/(IF(J251=1,'Specification &amp; Data'!H$7,IF(Simulation!J251=2,'Specification &amp; Data'!H$8,IF(Simulation!J251=3,'Specification &amp; Data'!H$9))))</f>
        <v>1.1374550058148531</v>
      </c>
      <c r="V251" s="40">
        <f t="shared" si="91"/>
        <v>1.605065117576427E-2</v>
      </c>
      <c r="W251" s="40">
        <f t="shared" si="92"/>
        <v>3.4064055305204011E-2</v>
      </c>
      <c r="X251" s="40">
        <f t="shared" si="79"/>
        <v>0.37017545680250818</v>
      </c>
      <c r="Y251" s="40">
        <f t="shared" si="80"/>
        <v>0.49621374906502436</v>
      </c>
      <c r="Z251" s="40">
        <f t="shared" si="93"/>
        <v>3107.7407085239565</v>
      </c>
      <c r="AA251" s="40">
        <f t="shared" si="94"/>
        <v>1</v>
      </c>
      <c r="AB251" s="40">
        <f t="shared" si="95"/>
        <v>3000</v>
      </c>
      <c r="AC251" s="40">
        <f t="shared" si="81"/>
        <v>1.0282651577847449E-4</v>
      </c>
      <c r="AD251" s="40">
        <f t="shared" si="96"/>
        <v>0.16614695937883736</v>
      </c>
      <c r="AE251" s="34">
        <f t="shared" si="97"/>
        <v>179.4240439121759</v>
      </c>
      <c r="AF251" s="34">
        <f t="shared" si="98"/>
        <v>0.37017545680250818</v>
      </c>
      <c r="AG251" s="34">
        <f t="shared" si="82"/>
        <v>0.49621374906502436</v>
      </c>
      <c r="AH251" s="34">
        <f>INDEX('Specification &amp; Data'!E$24:R$46,MATCH(Simulation!AA251,'Specification &amp; Data'!D$24:D$46,0),MATCH(Simulation!AB251,'Specification &amp; Data'!E$47:R$47,0))</f>
        <v>966.15913333333356</v>
      </c>
      <c r="AI251" s="34">
        <f t="shared" si="83"/>
        <v>1.0282651577847449E-4</v>
      </c>
      <c r="AJ251" s="34">
        <f t="shared" si="75"/>
        <v>9.9346777368217259E-2</v>
      </c>
      <c r="AK251" s="34">
        <f t="shared" si="99"/>
        <v>83.842047120272113</v>
      </c>
      <c r="AL251" s="34">
        <v>2.3289729133329802</v>
      </c>
    </row>
    <row r="252" spans="2:38" x14ac:dyDescent="0.25">
      <c r="C252" s="34">
        <f t="shared" si="84"/>
        <v>250</v>
      </c>
      <c r="D252" s="34">
        <v>8.5</v>
      </c>
      <c r="E252" s="34">
        <f t="shared" si="76"/>
        <v>13.679401325024363</v>
      </c>
      <c r="F252" s="34">
        <f t="shared" si="85"/>
        <v>3.7998337013956562</v>
      </c>
      <c r="G252" s="37">
        <f t="shared" si="86"/>
        <v>1845.5792287678723</v>
      </c>
      <c r="H252" s="34">
        <f t="shared" si="87"/>
        <v>3.7998337013956562</v>
      </c>
      <c r="I252" s="34">
        <f t="shared" si="88"/>
        <v>0</v>
      </c>
      <c r="J252" s="34">
        <f t="shared" si="89"/>
        <v>1</v>
      </c>
      <c r="K252" s="34">
        <v>0</v>
      </c>
      <c r="L252" s="34">
        <f>('Specification &amp; Data'!B$22*'Specification &amp; Data'!B$10*'Specification &amp; Data'!B$20*(Simulation!F252^2-'Specification &amp; Data'!B$21^2))/2</f>
        <v>4.4501352164473733</v>
      </c>
      <c r="M252" s="34">
        <f t="shared" si="90"/>
        <v>0</v>
      </c>
      <c r="N252" s="34">
        <f>'Specification &amp; Data'!B$24*'Specification &amp; Data'!B$18*8.91</f>
        <v>92.968722</v>
      </c>
      <c r="O252" s="34">
        <f t="shared" si="77"/>
        <v>97.418857216447378</v>
      </c>
      <c r="P252" s="40">
        <f t="shared" si="78"/>
        <v>97.418857216447378</v>
      </c>
      <c r="Q252" s="34">
        <f>IF(J252=1,'Specification &amp; Data'!B$52,IF(Simulation!J252=2,'Specification &amp; Data'!B$53,IF(Simulation!J252=3,'Specification &amp; Data'!B$54)))</f>
        <v>575.20663260893332</v>
      </c>
      <c r="R252" s="34">
        <f>(0.5*'Specification &amp; Data'!B$18*Simulation!F252^2)/1000</f>
        <v>3.7664165205634901</v>
      </c>
      <c r="T252" s="40">
        <f>P252*'Specification &amp; Data'!B$14*0.9</f>
        <v>25.853465953595649</v>
      </c>
      <c r="U252" s="40">
        <f>T252/(IF(J252=1,'Specification &amp; Data'!H$7,IF(Simulation!J252=2,'Specification &amp; Data'!H$8,IF(Simulation!J252=3,'Specification &amp; Data'!H$9))))</f>
        <v>1.1374550058148531</v>
      </c>
      <c r="V252" s="40">
        <f t="shared" si="91"/>
        <v>1.6055348335145166E-2</v>
      </c>
      <c r="W252" s="40">
        <f t="shared" si="92"/>
        <v>3.4064055305204011E-2</v>
      </c>
      <c r="X252" s="40">
        <f t="shared" si="79"/>
        <v>0.37017545680250818</v>
      </c>
      <c r="Y252" s="40">
        <f t="shared" si="80"/>
        <v>0.49621374906502436</v>
      </c>
      <c r="Z252" s="40">
        <f t="shared" si="93"/>
        <v>3107.7407085239565</v>
      </c>
      <c r="AA252" s="40">
        <f t="shared" si="94"/>
        <v>1</v>
      </c>
      <c r="AB252" s="40">
        <f t="shared" si="95"/>
        <v>3000</v>
      </c>
      <c r="AC252" s="40">
        <f t="shared" si="81"/>
        <v>1.0282651577847449E-4</v>
      </c>
      <c r="AD252" s="40">
        <f t="shared" si="96"/>
        <v>0.16624978589461584</v>
      </c>
      <c r="AE252" s="34">
        <f t="shared" si="97"/>
        <v>179.79421936897845</v>
      </c>
      <c r="AF252" s="34">
        <f t="shared" si="98"/>
        <v>0.37017545680250818</v>
      </c>
      <c r="AG252" s="34">
        <f t="shared" si="82"/>
        <v>0.49621374906502436</v>
      </c>
      <c r="AH252" s="34">
        <f>INDEX('Specification &amp; Data'!E$24:R$46,MATCH(Simulation!AA252,'Specification &amp; Data'!D$24:D$46,0),MATCH(Simulation!AB252,'Specification &amp; Data'!E$47:R$47,0))</f>
        <v>966.15913333333356</v>
      </c>
      <c r="AI252" s="34">
        <f t="shared" si="83"/>
        <v>1.0282651577847449E-4</v>
      </c>
      <c r="AJ252" s="34">
        <f t="shared" si="75"/>
        <v>9.9346777368217259E-2</v>
      </c>
      <c r="AK252" s="34">
        <f t="shared" si="99"/>
        <v>83.941393897640324</v>
      </c>
      <c r="AL252" s="34">
        <v>2.3289729133329802</v>
      </c>
    </row>
    <row r="253" spans="2:38" x14ac:dyDescent="0.25">
      <c r="C253" s="34">
        <f t="shared" si="84"/>
        <v>251</v>
      </c>
      <c r="D253" s="34">
        <v>8.5</v>
      </c>
      <c r="E253" s="34">
        <f t="shared" si="76"/>
        <v>13.679401325024363</v>
      </c>
      <c r="F253" s="34">
        <f t="shared" si="85"/>
        <v>3.7998337013956562</v>
      </c>
      <c r="G253" s="37">
        <f t="shared" si="86"/>
        <v>1849.3790624692681</v>
      </c>
      <c r="H253" s="34">
        <f t="shared" si="87"/>
        <v>3.7998337013956562</v>
      </c>
      <c r="I253" s="34">
        <f t="shared" si="88"/>
        <v>0</v>
      </c>
      <c r="J253" s="34">
        <f t="shared" si="89"/>
        <v>1</v>
      </c>
      <c r="K253" s="34">
        <v>0</v>
      </c>
      <c r="L253" s="34">
        <f>('Specification &amp; Data'!B$22*'Specification &amp; Data'!B$10*'Specification &amp; Data'!B$20*(Simulation!F253^2-'Specification &amp; Data'!B$21^2))/2</f>
        <v>4.4501352164473733</v>
      </c>
      <c r="M253" s="34">
        <f t="shared" si="90"/>
        <v>0</v>
      </c>
      <c r="N253" s="34">
        <f>'Specification &amp; Data'!B$24*'Specification &amp; Data'!B$18*8.91</f>
        <v>92.968722</v>
      </c>
      <c r="O253" s="34">
        <f t="shared" si="77"/>
        <v>97.418857216447378</v>
      </c>
      <c r="P253" s="40">
        <f t="shared" si="78"/>
        <v>97.418857216447378</v>
      </c>
      <c r="Q253" s="34">
        <f>IF(J253=1,'Specification &amp; Data'!B$52,IF(Simulation!J253=2,'Specification &amp; Data'!B$53,IF(Simulation!J253=3,'Specification &amp; Data'!B$54)))</f>
        <v>575.20663260893332</v>
      </c>
      <c r="R253" s="34">
        <f>(0.5*'Specification &amp; Data'!B$18*Simulation!F253^2)/1000</f>
        <v>3.7664165205634901</v>
      </c>
      <c r="T253" s="40">
        <f>P253*'Specification &amp; Data'!B$14*0.9</f>
        <v>25.853465953595649</v>
      </c>
      <c r="U253" s="40">
        <f>T253/(IF(J253=1,'Specification &amp; Data'!H$7,IF(Simulation!J253=2,'Specification &amp; Data'!H$8,IF(Simulation!J253=3,'Specification &amp; Data'!H$9))))</f>
        <v>1.1374550058148531</v>
      </c>
      <c r="V253" s="40">
        <f t="shared" si="91"/>
        <v>1.6060045494526061E-2</v>
      </c>
      <c r="W253" s="40">
        <f t="shared" si="92"/>
        <v>3.4064055305204011E-2</v>
      </c>
      <c r="X253" s="40">
        <f t="shared" si="79"/>
        <v>0.37017545680250818</v>
      </c>
      <c r="Y253" s="40">
        <f t="shared" si="80"/>
        <v>0.49621374906502436</v>
      </c>
      <c r="Z253" s="40">
        <f t="shared" si="93"/>
        <v>3107.7407085239565</v>
      </c>
      <c r="AA253" s="40">
        <f t="shared" si="94"/>
        <v>1</v>
      </c>
      <c r="AB253" s="40">
        <f t="shared" si="95"/>
        <v>3000</v>
      </c>
      <c r="AC253" s="40">
        <f t="shared" si="81"/>
        <v>1.0282651577847449E-4</v>
      </c>
      <c r="AD253" s="40">
        <f t="shared" si="96"/>
        <v>0.16635261241039431</v>
      </c>
      <c r="AE253" s="34">
        <f t="shared" si="97"/>
        <v>180.16439482578093</v>
      </c>
      <c r="AF253" s="34">
        <f t="shared" si="98"/>
        <v>0.37017545680250818</v>
      </c>
      <c r="AG253" s="34">
        <f t="shared" si="82"/>
        <v>0.49621374906502436</v>
      </c>
      <c r="AH253" s="34">
        <f>INDEX('Specification &amp; Data'!E$24:R$46,MATCH(Simulation!AA253,'Specification &amp; Data'!D$24:D$46,0),MATCH(Simulation!AB253,'Specification &amp; Data'!E$47:R$47,0))</f>
        <v>966.15913333333356</v>
      </c>
      <c r="AI253" s="34">
        <f t="shared" si="83"/>
        <v>1.0282651577847449E-4</v>
      </c>
      <c r="AJ253" s="34">
        <f t="shared" si="75"/>
        <v>9.9346777368217259E-2</v>
      </c>
      <c r="AK253" s="34">
        <f t="shared" si="99"/>
        <v>84.040740675008536</v>
      </c>
      <c r="AL253" s="34">
        <v>2.3289729133329802</v>
      </c>
    </row>
    <row r="254" spans="2:38" x14ac:dyDescent="0.25">
      <c r="B254" s="36" t="s">
        <v>142</v>
      </c>
      <c r="C254" s="34">
        <f t="shared" si="84"/>
        <v>252</v>
      </c>
      <c r="D254" s="34">
        <v>8.5</v>
      </c>
      <c r="E254" s="34">
        <f t="shared" si="76"/>
        <v>13.679401325024363</v>
      </c>
      <c r="F254" s="34">
        <f t="shared" si="85"/>
        <v>3.7998337013956562</v>
      </c>
      <c r="G254" s="37">
        <f t="shared" si="86"/>
        <v>1853.1788961706638</v>
      </c>
      <c r="H254" s="34">
        <f t="shared" si="87"/>
        <v>3.7998337013956562</v>
      </c>
      <c r="I254" s="34">
        <f t="shared" si="88"/>
        <v>0</v>
      </c>
      <c r="J254" s="34">
        <f t="shared" si="89"/>
        <v>1</v>
      </c>
      <c r="K254" s="34">
        <v>0</v>
      </c>
      <c r="L254" s="34">
        <f>('Specification &amp; Data'!B$22*'Specification &amp; Data'!B$10*'Specification &amp; Data'!B$20*(Simulation!F254^2-'Specification &amp; Data'!B$21^2))/2</f>
        <v>4.4501352164473733</v>
      </c>
      <c r="M254" s="34">
        <f t="shared" si="90"/>
        <v>0</v>
      </c>
      <c r="N254" s="34">
        <f>'Specification &amp; Data'!B$24*'Specification &amp; Data'!B$18*8.91</f>
        <v>92.968722</v>
      </c>
      <c r="O254" s="34">
        <f t="shared" si="77"/>
        <v>97.418857216447378</v>
      </c>
      <c r="P254" s="40">
        <f t="shared" si="78"/>
        <v>97.418857216447378</v>
      </c>
      <c r="Q254" s="34">
        <f>IF(J254=1,'Specification &amp; Data'!B$52,IF(Simulation!J254=2,'Specification &amp; Data'!B$53,IF(Simulation!J254=3,'Specification &amp; Data'!B$54)))</f>
        <v>575.20663260893332</v>
      </c>
      <c r="R254" s="34">
        <f>(0.5*'Specification &amp; Data'!B$18*Simulation!F254^2)/1000</f>
        <v>3.7664165205634901</v>
      </c>
      <c r="T254" s="40">
        <f>P254*'Specification &amp; Data'!B$14*0.9</f>
        <v>25.853465953595649</v>
      </c>
      <c r="U254" s="40">
        <f>T254/(IF(J254=1,'Specification &amp; Data'!H$7,IF(Simulation!J254=2,'Specification &amp; Data'!H$8,IF(Simulation!J254=3,'Specification &amp; Data'!H$9))))</f>
        <v>1.1374550058148531</v>
      </c>
      <c r="V254" s="40">
        <f t="shared" si="91"/>
        <v>1.6064742653906956E-2</v>
      </c>
      <c r="W254" s="40">
        <f t="shared" si="92"/>
        <v>3.4064055305204011E-2</v>
      </c>
      <c r="X254" s="40">
        <f t="shared" si="79"/>
        <v>0.37017545680250818</v>
      </c>
      <c r="Y254" s="40">
        <f t="shared" si="80"/>
        <v>0.49621374906502436</v>
      </c>
      <c r="Z254" s="40">
        <f t="shared" si="93"/>
        <v>3107.7407085239565</v>
      </c>
      <c r="AA254" s="40">
        <f t="shared" si="94"/>
        <v>1</v>
      </c>
      <c r="AB254" s="40">
        <f t="shared" si="95"/>
        <v>3000</v>
      </c>
      <c r="AC254" s="40">
        <f t="shared" si="81"/>
        <v>1.0282651577847449E-4</v>
      </c>
      <c r="AD254" s="40">
        <f t="shared" si="96"/>
        <v>0.16645543892617279</v>
      </c>
      <c r="AE254" s="34">
        <f t="shared" si="97"/>
        <v>180.53457028258347</v>
      </c>
      <c r="AF254" s="34">
        <f t="shared" si="98"/>
        <v>0.37017545680250818</v>
      </c>
      <c r="AG254" s="34">
        <f t="shared" si="82"/>
        <v>0.49621374906502436</v>
      </c>
      <c r="AH254" s="34">
        <f>INDEX('Specification &amp; Data'!E$24:R$46,MATCH(Simulation!AA254,'Specification &amp; Data'!D$24:D$46,0),MATCH(Simulation!AB254,'Specification &amp; Data'!E$47:R$47,0))</f>
        <v>966.15913333333356</v>
      </c>
      <c r="AI254" s="34">
        <f t="shared" si="83"/>
        <v>1.0282651577847449E-4</v>
      </c>
      <c r="AJ254" s="34">
        <f t="shared" si="75"/>
        <v>9.9346777368217259E-2</v>
      </c>
      <c r="AK254" s="34">
        <f t="shared" si="99"/>
        <v>84.140087452376747</v>
      </c>
      <c r="AL254" s="34">
        <v>2.3289729133329802</v>
      </c>
    </row>
    <row r="255" spans="2:38" x14ac:dyDescent="0.25">
      <c r="C255" s="34">
        <f t="shared" si="84"/>
        <v>253</v>
      </c>
      <c r="D255" s="34">
        <v>9</v>
      </c>
      <c r="E255" s="34">
        <f t="shared" si="76"/>
        <v>14.484071991202267</v>
      </c>
      <c r="F255" s="34">
        <f t="shared" si="85"/>
        <v>4.0233533308895186</v>
      </c>
      <c r="G255" s="37">
        <f t="shared" si="86"/>
        <v>1857.0904896868064</v>
      </c>
      <c r="H255" s="34">
        <f t="shared" si="87"/>
        <v>3.9115935161425872</v>
      </c>
      <c r="I255" s="34">
        <f t="shared" si="88"/>
        <v>0.22351962949386195</v>
      </c>
      <c r="J255" s="34">
        <f t="shared" si="89"/>
        <v>1</v>
      </c>
      <c r="K255" s="34">
        <v>0</v>
      </c>
      <c r="L255" s="34">
        <f>('Specification &amp; Data'!B$22*'Specification &amp; Data'!B$10*'Specification &amp; Data'!B$20*(Simulation!F255^2-'Specification &amp; Data'!B$21^2))/2</f>
        <v>5.27221431458607</v>
      </c>
      <c r="M255" s="34">
        <f t="shared" si="90"/>
        <v>128.56997340316076</v>
      </c>
      <c r="N255" s="34">
        <f>'Specification &amp; Data'!B$24*'Specification &amp; Data'!B$18*8.91</f>
        <v>92.968722</v>
      </c>
      <c r="O255" s="34">
        <f t="shared" si="77"/>
        <v>226.81090971774682</v>
      </c>
      <c r="P255" s="40">
        <f t="shared" si="78"/>
        <v>226.81090971774682</v>
      </c>
      <c r="Q255" s="34">
        <f>IF(J255=1,'Specification &amp; Data'!B$52,IF(Simulation!J255=2,'Specification &amp; Data'!B$53,IF(Simulation!J255=3,'Specification &amp; Data'!B$54)))</f>
        <v>575.20663260893332</v>
      </c>
      <c r="R255" s="34">
        <f>(0.5*'Specification &amp; Data'!B$18*Simulation!F255^2)/1000</f>
        <v>4.222556929628273</v>
      </c>
      <c r="T255" s="40">
        <f>P255*'Specification &amp; Data'!B$14*0.9</f>
        <v>60.192126040478968</v>
      </c>
      <c r="U255" s="40">
        <f>T255/(IF(J255=1,'Specification &amp; Data'!H$7,IF(Simulation!J255=2,'Specification &amp; Data'!H$8,IF(Simulation!J255=3,'Specification &amp; Data'!H$9))))</f>
        <v>2.6482265549335096</v>
      </c>
      <c r="V255" s="40">
        <f t="shared" si="91"/>
        <v>1.6070634870857997E-2</v>
      </c>
      <c r="W255" s="40">
        <f t="shared" si="92"/>
        <v>3.4064055305204011E-2</v>
      </c>
      <c r="X255" s="40">
        <f t="shared" si="79"/>
        <v>0.91254042909497857</v>
      </c>
      <c r="Y255" s="40">
        <f t="shared" si="80"/>
        <v>1.2232445430227594</v>
      </c>
      <c r="Z255" s="40">
        <f t="shared" si="93"/>
        <v>3290.5489854959533</v>
      </c>
      <c r="AA255" s="40">
        <f t="shared" si="94"/>
        <v>3</v>
      </c>
      <c r="AB255" s="40">
        <f t="shared" si="95"/>
        <v>3500</v>
      </c>
      <c r="AC255" s="40">
        <f t="shared" si="81"/>
        <v>2.5348345252638294E-4</v>
      </c>
      <c r="AD255" s="40">
        <f t="shared" si="96"/>
        <v>0.16670892237869916</v>
      </c>
      <c r="AE255" s="34">
        <f t="shared" si="97"/>
        <v>421.20838339404054</v>
      </c>
      <c r="AF255" s="34">
        <f t="shared" si="98"/>
        <v>0.91254042909497857</v>
      </c>
      <c r="AG255" s="34">
        <f t="shared" si="82"/>
        <v>1.2232445430227594</v>
      </c>
      <c r="AH255" s="34">
        <f>INDEX('Specification &amp; Data'!E$24:R$46,MATCH(Simulation!AA255,'Specification &amp; Data'!D$24:D$46,0),MATCH(Simulation!AB255,'Specification &amp; Data'!E$47:R$47,0))</f>
        <v>754.57172700000012</v>
      </c>
      <c r="AI255" s="34">
        <f t="shared" si="83"/>
        <v>2.5348345252638294E-4</v>
      </c>
      <c r="AJ255" s="34">
        <f t="shared" si="75"/>
        <v>0.19127144653875533</v>
      </c>
      <c r="AK255" s="34">
        <f t="shared" si="99"/>
        <v>84.331358898915497</v>
      </c>
      <c r="AL255" s="34">
        <v>2.3289729133329802</v>
      </c>
    </row>
    <row r="256" spans="2:38" x14ac:dyDescent="0.25">
      <c r="C256" s="34">
        <f t="shared" si="84"/>
        <v>254</v>
      </c>
      <c r="D256" s="34">
        <v>9.5</v>
      </c>
      <c r="E256" s="34">
        <f t="shared" si="76"/>
        <v>15.288742657380171</v>
      </c>
      <c r="F256" s="34">
        <f t="shared" si="85"/>
        <v>4.2468729603833806</v>
      </c>
      <c r="G256" s="37">
        <f t="shared" si="86"/>
        <v>1861.225602832443</v>
      </c>
      <c r="H256" s="34">
        <f t="shared" si="87"/>
        <v>4.1351131456364492</v>
      </c>
      <c r="I256" s="34">
        <f t="shared" si="88"/>
        <v>0.22351962949386106</v>
      </c>
      <c r="J256" s="34">
        <f t="shared" si="89"/>
        <v>1</v>
      </c>
      <c r="K256" s="34">
        <v>0</v>
      </c>
      <c r="L256" s="34">
        <f>('Specification &amp; Data'!B$22*'Specification &amp; Data'!B$10*'Specification &amp; Data'!B$20*(Simulation!F256^2-'Specification &amp; Data'!B$21^2))/2</f>
        <v>6.1412693611898339</v>
      </c>
      <c r="M256" s="34">
        <f t="shared" si="90"/>
        <v>128.56997340316025</v>
      </c>
      <c r="N256" s="34">
        <f>'Specification &amp; Data'!B$24*'Specification &amp; Data'!B$18*8.91</f>
        <v>92.968722</v>
      </c>
      <c r="O256" s="34">
        <f t="shared" si="77"/>
        <v>227.67996476435007</v>
      </c>
      <c r="P256" s="40">
        <f t="shared" si="78"/>
        <v>227.67996476435007</v>
      </c>
      <c r="Q256" s="34">
        <f>IF(J256=1,'Specification &amp; Data'!B$52,IF(Simulation!J256=2,'Specification &amp; Data'!B$53,IF(Simulation!J256=3,'Specification &amp; Data'!B$54)))</f>
        <v>575.20663260893332</v>
      </c>
      <c r="R256" s="34">
        <f>(0.5*'Specification &amp; Data'!B$18*Simulation!F256^2)/1000</f>
        <v>4.7047625049253288</v>
      </c>
      <c r="T256" s="40">
        <f>P256*'Specification &amp; Data'!B$14*0.9</f>
        <v>60.422759879769835</v>
      </c>
      <c r="U256" s="40">
        <f>T256/(IF(J256=1,'Specification &amp; Data'!H$7,IF(Simulation!J256=2,'Specification &amp; Data'!H$8,IF(Simulation!J256=3,'Specification &amp; Data'!H$9))))</f>
        <v>2.6583735741178058</v>
      </c>
      <c r="V256" s="40">
        <f t="shared" si="91"/>
        <v>1.6077879646078128E-2</v>
      </c>
      <c r="W256" s="40">
        <f t="shared" si="92"/>
        <v>3.4064055305204011E-2</v>
      </c>
      <c r="X256" s="40">
        <f t="shared" si="79"/>
        <v>0.96692788597875912</v>
      </c>
      <c r="Y256" s="40">
        <f t="shared" si="80"/>
        <v>1.296149981204771</v>
      </c>
      <c r="Z256" s="40">
        <f t="shared" si="93"/>
        <v>3473.3572624679509</v>
      </c>
      <c r="AA256" s="40">
        <f t="shared" si="94"/>
        <v>3</v>
      </c>
      <c r="AB256" s="40">
        <f t="shared" si="95"/>
        <v>3500</v>
      </c>
      <c r="AC256" s="40">
        <f t="shared" si="81"/>
        <v>2.6859107943854422E-4</v>
      </c>
      <c r="AD256" s="40">
        <f t="shared" si="96"/>
        <v>0.16697751345813772</v>
      </c>
      <c r="AE256" s="34">
        <f t="shared" si="97"/>
        <v>423.76377967139683</v>
      </c>
      <c r="AF256" s="34">
        <f t="shared" si="98"/>
        <v>0.96692788597875912</v>
      </c>
      <c r="AG256" s="34">
        <f t="shared" si="82"/>
        <v>1.296149981204771</v>
      </c>
      <c r="AH256" s="34">
        <f>INDEX('Specification &amp; Data'!E$24:R$46,MATCH(Simulation!AA256,'Specification &amp; Data'!D$24:D$46,0),MATCH(Simulation!AB256,'Specification &amp; Data'!E$47:R$47,0))</f>
        <v>754.57172700000012</v>
      </c>
      <c r="AI256" s="34">
        <f t="shared" si="83"/>
        <v>2.6859107943854422E-4</v>
      </c>
      <c r="AJ256" s="34">
        <f t="shared" si="75"/>
        <v>0.20267123466873654</v>
      </c>
      <c r="AK256" s="34">
        <f t="shared" si="99"/>
        <v>84.534030133584238</v>
      </c>
      <c r="AL256" s="34">
        <v>2.3289729133329802</v>
      </c>
    </row>
    <row r="257" spans="2:38" x14ac:dyDescent="0.25">
      <c r="C257" s="34">
        <f t="shared" si="84"/>
        <v>255</v>
      </c>
      <c r="D257" s="34">
        <v>8.5</v>
      </c>
      <c r="E257" s="34">
        <f t="shared" si="76"/>
        <v>13.679401325024363</v>
      </c>
      <c r="F257" s="34">
        <f t="shared" si="85"/>
        <v>3.7998337013956562</v>
      </c>
      <c r="G257" s="37">
        <f t="shared" si="86"/>
        <v>1865.2489561633324</v>
      </c>
      <c r="H257" s="34">
        <f t="shared" si="87"/>
        <v>4.0233533308895186</v>
      </c>
      <c r="I257" s="34">
        <f t="shared" si="88"/>
        <v>-0.4470392589877239</v>
      </c>
      <c r="J257" s="34">
        <f t="shared" si="89"/>
        <v>1</v>
      </c>
      <c r="K257" s="34">
        <v>0</v>
      </c>
      <c r="L257" s="34">
        <f>('Specification &amp; Data'!B$22*'Specification &amp; Data'!B$10*'Specification &amp; Data'!B$20*(Simulation!F257^2-'Specification &amp; Data'!B$21^2))/2</f>
        <v>4.4501352164473733</v>
      </c>
      <c r="M257" s="34">
        <f t="shared" si="90"/>
        <v>-257.13994680632152</v>
      </c>
      <c r="N257" s="34">
        <f>'Specification &amp; Data'!B$24*'Specification &amp; Data'!B$18*8.91</f>
        <v>92.968722</v>
      </c>
      <c r="O257" s="34">
        <f t="shared" si="77"/>
        <v>-159.72108958987417</v>
      </c>
      <c r="P257" s="40">
        <f t="shared" si="78"/>
        <v>159.72108958987417</v>
      </c>
      <c r="Q257" s="34">
        <f>IF(J257=1,'Specification &amp; Data'!B$52,IF(Simulation!J257=2,'Specification &amp; Data'!B$53,IF(Simulation!J257=3,'Specification &amp; Data'!B$54)))</f>
        <v>575.20663260893332</v>
      </c>
      <c r="R257" s="34">
        <f>(0.5*'Specification &amp; Data'!B$18*Simulation!F257^2)/1000</f>
        <v>3.7664165205634901</v>
      </c>
      <c r="T257" s="40">
        <f>P257*'Specification &amp; Data'!B$14*0.9</f>
        <v>42.38751992962046</v>
      </c>
      <c r="U257" s="40">
        <f>T257/(IF(J257=1,'Specification &amp; Data'!H$7,IF(Simulation!J257=2,'Specification &amp; Data'!H$8,IF(Simulation!J257=3,'Specification &amp; Data'!H$9))))</f>
        <v>1.8648910291008063</v>
      </c>
      <c r="V257" s="40">
        <f t="shared" si="91"/>
        <v>1.6082576805459024E-2</v>
      </c>
      <c r="W257" s="40">
        <f t="shared" si="92"/>
        <v>3.423264241049491E-2</v>
      </c>
      <c r="X257" s="40">
        <f t="shared" si="79"/>
        <v>0.60691357904723875</v>
      </c>
      <c r="Y257" s="40">
        <f t="shared" si="80"/>
        <v>0.81355707647082942</v>
      </c>
      <c r="Z257" s="40">
        <f t="shared" si="93"/>
        <v>3107.7407085239552</v>
      </c>
      <c r="AA257" s="40">
        <f t="shared" si="94"/>
        <v>2</v>
      </c>
      <c r="AB257" s="40">
        <f t="shared" si="95"/>
        <v>3000</v>
      </c>
      <c r="AC257" s="40">
        <f t="shared" si="81"/>
        <v>1.6858710529089966E-4</v>
      </c>
      <c r="AD257" s="40">
        <f t="shared" si="96"/>
        <v>0.16714610056342863</v>
      </c>
      <c r="AE257" s="34">
        <f t="shared" si="97"/>
        <v>-297.91959563478292</v>
      </c>
      <c r="AF257" s="34">
        <f t="shared" si="98"/>
        <v>-0.60691357904723875</v>
      </c>
      <c r="AG257" s="34">
        <f t="shared" si="82"/>
        <v>-0.81355707647082942</v>
      </c>
      <c r="AH257" s="34">
        <f>INDEX('Specification &amp; Data'!E$24:R$46,MATCH(Simulation!AA257,'Specification &amp; Data'!D$24:D$46,0),MATCH(Simulation!AB257,'Specification &amp; Data'!E$47:R$47,0))</f>
        <v>855.21836400000018</v>
      </c>
      <c r="AI257" s="34">
        <f t="shared" si="83"/>
        <v>-1.6858710529089966E-4</v>
      </c>
      <c r="AJ257" s="34">
        <f t="shared" si="75"/>
        <v>0.14417878837837897</v>
      </c>
      <c r="AK257" s="34">
        <f t="shared" si="99"/>
        <v>84.678208921962622</v>
      </c>
      <c r="AL257" s="34">
        <v>2.3289729133329802</v>
      </c>
    </row>
    <row r="258" spans="2:38" x14ac:dyDescent="0.25">
      <c r="B258" s="36" t="s">
        <v>143</v>
      </c>
      <c r="C258" s="34">
        <f t="shared" si="84"/>
        <v>256</v>
      </c>
      <c r="D258" s="34">
        <v>8.5</v>
      </c>
      <c r="E258" s="34">
        <f t="shared" si="76"/>
        <v>13.679401325024363</v>
      </c>
      <c r="F258" s="34">
        <f t="shared" si="85"/>
        <v>3.7998337013956562</v>
      </c>
      <c r="G258" s="37">
        <f t="shared" si="86"/>
        <v>1869.0487898647282</v>
      </c>
      <c r="H258" s="34">
        <f t="shared" si="87"/>
        <v>3.7998337013956562</v>
      </c>
      <c r="I258" s="34">
        <f t="shared" si="88"/>
        <v>0</v>
      </c>
      <c r="J258" s="34">
        <f t="shared" si="89"/>
        <v>1</v>
      </c>
      <c r="K258" s="34">
        <v>0</v>
      </c>
      <c r="L258" s="34">
        <f>('Specification &amp; Data'!B$22*'Specification &amp; Data'!B$10*'Specification &amp; Data'!B$20*(Simulation!F258^2-'Specification &amp; Data'!B$21^2))/2</f>
        <v>4.4501352164473733</v>
      </c>
      <c r="M258" s="34">
        <f t="shared" si="90"/>
        <v>0</v>
      </c>
      <c r="N258" s="34">
        <f>'Specification &amp; Data'!B$24*'Specification &amp; Data'!B$18*8.91</f>
        <v>92.968722</v>
      </c>
      <c r="O258" s="34">
        <f t="shared" si="77"/>
        <v>97.418857216447378</v>
      </c>
      <c r="P258" s="40">
        <f t="shared" si="78"/>
        <v>97.418857216447378</v>
      </c>
      <c r="Q258" s="34">
        <f>IF(J258=1,'Specification &amp; Data'!B$52,IF(Simulation!J258=2,'Specification &amp; Data'!B$53,IF(Simulation!J258=3,'Specification &amp; Data'!B$54)))</f>
        <v>575.20663260893332</v>
      </c>
      <c r="R258" s="34">
        <f>(0.5*'Specification &amp; Data'!B$18*Simulation!F258^2)/1000</f>
        <v>3.7664165205634901</v>
      </c>
      <c r="T258" s="40">
        <f>P258*'Specification &amp; Data'!B$14*0.9</f>
        <v>25.853465953595649</v>
      </c>
      <c r="U258" s="40">
        <f>T258/(IF(J258=1,'Specification &amp; Data'!H$7,IF(Simulation!J258=2,'Specification &amp; Data'!H$8,IF(Simulation!J258=3,'Specification &amp; Data'!H$9))))</f>
        <v>1.1374550058148531</v>
      </c>
      <c r="V258" s="40">
        <f t="shared" si="91"/>
        <v>1.6087273964839919E-2</v>
      </c>
      <c r="W258" s="40">
        <f t="shared" si="92"/>
        <v>3.423264241049491E-2</v>
      </c>
      <c r="X258" s="40">
        <f t="shared" si="79"/>
        <v>0.37017545680250818</v>
      </c>
      <c r="Y258" s="40">
        <f t="shared" si="80"/>
        <v>0.49621374906502436</v>
      </c>
      <c r="Z258" s="40">
        <f t="shared" si="93"/>
        <v>3107.7407085239565</v>
      </c>
      <c r="AA258" s="40">
        <f t="shared" si="94"/>
        <v>1</v>
      </c>
      <c r="AB258" s="40">
        <f t="shared" si="95"/>
        <v>3000</v>
      </c>
      <c r="AC258" s="40">
        <f t="shared" si="81"/>
        <v>1.0282651577847449E-4</v>
      </c>
      <c r="AD258" s="40">
        <f t="shared" si="96"/>
        <v>0.1672489270792071</v>
      </c>
      <c r="AE258" s="34">
        <f t="shared" si="97"/>
        <v>182.08059719040571</v>
      </c>
      <c r="AF258" s="34">
        <f t="shared" si="98"/>
        <v>0.37017545680250818</v>
      </c>
      <c r="AG258" s="34">
        <f t="shared" si="82"/>
        <v>0.49621374906502436</v>
      </c>
      <c r="AH258" s="34">
        <f>INDEX('Specification &amp; Data'!E$24:R$46,MATCH(Simulation!AA258,'Specification &amp; Data'!D$24:D$46,0),MATCH(Simulation!AB258,'Specification &amp; Data'!E$47:R$47,0))</f>
        <v>966.15913333333356</v>
      </c>
      <c r="AI258" s="34">
        <f t="shared" si="83"/>
        <v>1.0282651577847449E-4</v>
      </c>
      <c r="AJ258" s="34">
        <f t="shared" ref="AJ258:AJ278" si="100">AC258*AH258</f>
        <v>9.9346777368217259E-2</v>
      </c>
      <c r="AK258" s="34">
        <f t="shared" si="99"/>
        <v>84.777555699330833</v>
      </c>
      <c r="AL258" s="34">
        <v>2.3289729133329802</v>
      </c>
    </row>
    <row r="259" spans="2:38" x14ac:dyDescent="0.25">
      <c r="C259" s="34">
        <f t="shared" si="84"/>
        <v>257</v>
      </c>
      <c r="D259" s="34">
        <v>8.5</v>
      </c>
      <c r="E259" s="34">
        <f t="shared" ref="E259:E278" si="101">F259*3.6</f>
        <v>13.679401325024363</v>
      </c>
      <c r="F259" s="34">
        <f t="shared" si="85"/>
        <v>3.7998337013956562</v>
      </c>
      <c r="G259" s="37">
        <f t="shared" si="86"/>
        <v>1872.8486235661239</v>
      </c>
      <c r="H259" s="34">
        <f t="shared" si="87"/>
        <v>3.7998337013956562</v>
      </c>
      <c r="I259" s="34">
        <f t="shared" si="88"/>
        <v>0</v>
      </c>
      <c r="J259" s="34">
        <f t="shared" si="89"/>
        <v>1</v>
      </c>
      <c r="K259" s="34">
        <v>0</v>
      </c>
      <c r="L259" s="34">
        <f>('Specification &amp; Data'!B$22*'Specification &amp; Data'!B$10*'Specification &amp; Data'!B$20*(Simulation!F259^2-'Specification &amp; Data'!B$21^2))/2</f>
        <v>4.4501352164473733</v>
      </c>
      <c r="M259" s="34">
        <f t="shared" si="90"/>
        <v>0</v>
      </c>
      <c r="N259" s="34">
        <f>'Specification &amp; Data'!B$24*'Specification &amp; Data'!B$18*8.91</f>
        <v>92.968722</v>
      </c>
      <c r="O259" s="34">
        <f t="shared" ref="O259:O278" si="102">K259+L259+M259+N259</f>
        <v>97.418857216447378</v>
      </c>
      <c r="P259" s="40">
        <f t="shared" ref="P259:P278" si="103">IF(O259&gt;=0,O259,IF(O259&lt;0,-O259))</f>
        <v>97.418857216447378</v>
      </c>
      <c r="Q259" s="34">
        <f>IF(J259=1,'Specification &amp; Data'!B$52,IF(Simulation!J259=2,'Specification &amp; Data'!B$53,IF(Simulation!J259=3,'Specification &amp; Data'!B$54)))</f>
        <v>575.20663260893332</v>
      </c>
      <c r="R259" s="34">
        <f>(0.5*'Specification &amp; Data'!B$18*Simulation!F259^2)/1000</f>
        <v>3.7664165205634901</v>
      </c>
      <c r="T259" s="40">
        <f>P259*'Specification &amp; Data'!B$14*0.9</f>
        <v>25.853465953595649</v>
      </c>
      <c r="U259" s="40">
        <f>T259/(IF(J259=1,'Specification &amp; Data'!H$7,IF(Simulation!J259=2,'Specification &amp; Data'!H$8,IF(Simulation!J259=3,'Specification &amp; Data'!H$9))))</f>
        <v>1.1374550058148531</v>
      </c>
      <c r="V259" s="40">
        <f t="shared" si="91"/>
        <v>1.6091971124220814E-2</v>
      </c>
      <c r="W259" s="40">
        <f t="shared" si="92"/>
        <v>3.423264241049491E-2</v>
      </c>
      <c r="X259" s="40">
        <f t="shared" ref="X259:X278" si="104">(P259*F259)/1000</f>
        <v>0.37017545680250818</v>
      </c>
      <c r="Y259" s="40">
        <f t="shared" ref="Y259:Y278" si="105">X259*1000/(746)</f>
        <v>0.49621374906502436</v>
      </c>
      <c r="Z259" s="40">
        <f t="shared" si="93"/>
        <v>3107.7407085239565</v>
      </c>
      <c r="AA259" s="40">
        <f t="shared" si="94"/>
        <v>1</v>
      </c>
      <c r="AB259" s="40">
        <f t="shared" si="95"/>
        <v>3000</v>
      </c>
      <c r="AC259" s="40">
        <f t="shared" ref="AC259:AC278" si="106">X259/3600</f>
        <v>1.0282651577847449E-4</v>
      </c>
      <c r="AD259" s="40">
        <f t="shared" si="96"/>
        <v>0.16735175359498558</v>
      </c>
      <c r="AE259" s="34">
        <f t="shared" si="97"/>
        <v>182.45077264720825</v>
      </c>
      <c r="AF259" s="34">
        <f t="shared" si="98"/>
        <v>0.37017545680250818</v>
      </c>
      <c r="AG259" s="34">
        <f t="shared" ref="AG259:AG278" si="107">AF259*1000/(746)</f>
        <v>0.49621374906502436</v>
      </c>
      <c r="AH259" s="34">
        <f>INDEX('Specification &amp; Data'!E$24:R$46,MATCH(Simulation!AA259,'Specification &amp; Data'!D$24:D$46,0),MATCH(Simulation!AB259,'Specification &amp; Data'!E$47:R$47,0))</f>
        <v>966.15913333333356</v>
      </c>
      <c r="AI259" s="34">
        <f t="shared" ref="AI259:AI278" si="108">AF259/3600</f>
        <v>1.0282651577847449E-4</v>
      </c>
      <c r="AJ259" s="34">
        <f t="shared" si="100"/>
        <v>9.9346777368217259E-2</v>
      </c>
      <c r="AK259" s="34">
        <f t="shared" si="99"/>
        <v>84.876902476699044</v>
      </c>
      <c r="AL259" s="34">
        <v>2.3289729133329802</v>
      </c>
    </row>
    <row r="260" spans="2:38" x14ac:dyDescent="0.25">
      <c r="C260" s="34">
        <f t="shared" ref="C260:C278" si="109">C259+1</f>
        <v>258</v>
      </c>
      <c r="D260" s="34">
        <v>8.5</v>
      </c>
      <c r="E260" s="34">
        <f t="shared" si="101"/>
        <v>13.679401325024363</v>
      </c>
      <c r="F260" s="34">
        <f t="shared" ref="F260:F278" si="110">D260/2.23694</f>
        <v>3.7998337013956562</v>
      </c>
      <c r="G260" s="37">
        <f t="shared" ref="G260:G278" si="111">G259+((F260+F259)/2)</f>
        <v>1876.6484572675197</v>
      </c>
      <c r="H260" s="34">
        <f t="shared" ref="H260:H278" si="112">(F260+F259)/2</f>
        <v>3.7998337013956562</v>
      </c>
      <c r="I260" s="34">
        <f t="shared" ref="I260:I277" si="113">(H260-F259)*2</f>
        <v>0</v>
      </c>
      <c r="J260" s="34">
        <f t="shared" ref="J260:J277" si="114">IF(D260&lt;=10,1,IF(AND(D260&gt;10,D260&lt;=20),2,IF(D260&gt;20,3)))</f>
        <v>1</v>
      </c>
      <c r="K260" s="34">
        <v>0</v>
      </c>
      <c r="L260" s="34">
        <f>('Specification &amp; Data'!B$22*'Specification &amp; Data'!B$10*'Specification &amp; Data'!B$20*(Simulation!F260^2-'Specification &amp; Data'!B$21^2))/2</f>
        <v>4.4501352164473733</v>
      </c>
      <c r="M260" s="34">
        <f t="shared" ref="M260:M278" si="115">Q260*I260</f>
        <v>0</v>
      </c>
      <c r="N260" s="34">
        <f>'Specification &amp; Data'!B$24*'Specification &amp; Data'!B$18*8.91</f>
        <v>92.968722</v>
      </c>
      <c r="O260" s="34">
        <f t="shared" si="102"/>
        <v>97.418857216447378</v>
      </c>
      <c r="P260" s="40">
        <f t="shared" si="103"/>
        <v>97.418857216447378</v>
      </c>
      <c r="Q260" s="34">
        <f>IF(J260=1,'Specification &amp; Data'!B$52,IF(Simulation!J260=2,'Specification &amp; Data'!B$53,IF(Simulation!J260=3,'Specification &amp; Data'!B$54)))</f>
        <v>575.20663260893332</v>
      </c>
      <c r="R260" s="34">
        <f>(0.5*'Specification &amp; Data'!B$18*Simulation!F260^2)/1000</f>
        <v>3.7664165205634901</v>
      </c>
      <c r="T260" s="40">
        <f>P260*'Specification &amp; Data'!B$14*0.9</f>
        <v>25.853465953595649</v>
      </c>
      <c r="U260" s="40">
        <f>T260/(IF(J260=1,'Specification &amp; Data'!H$7,IF(Simulation!J260=2,'Specification &amp; Data'!H$8,IF(Simulation!J260=3,'Specification &amp; Data'!H$9))))</f>
        <v>1.1374550058148531</v>
      </c>
      <c r="V260" s="40">
        <f t="shared" ref="V260:V278" si="116">V259+(L260*F260/(1000*3600))</f>
        <v>1.609666828360171E-2</v>
      </c>
      <c r="W260" s="40">
        <f t="shared" ref="W260:W278" si="117">W259+(IF(I260&lt;0,AC260,0))</f>
        <v>3.423264241049491E-2</v>
      </c>
      <c r="X260" s="40">
        <f t="shared" si="104"/>
        <v>0.37017545680250818</v>
      </c>
      <c r="Y260" s="40">
        <f t="shared" si="105"/>
        <v>0.49621374906502436</v>
      </c>
      <c r="Z260" s="40">
        <f t="shared" ref="Z260:Z277" si="118">(60*1000*X260)/(2*PI()*U260)</f>
        <v>3107.7407085239565</v>
      </c>
      <c r="AA260" s="40">
        <f t="shared" ref="AA260:AA278" si="119">ROUND(U260,0)</f>
        <v>1</v>
      </c>
      <c r="AB260" s="40">
        <f t="shared" ref="AB260:AB278" si="120">MROUND(Z260,500)</f>
        <v>3000</v>
      </c>
      <c r="AC260" s="40">
        <f t="shared" si="106"/>
        <v>1.0282651577847449E-4</v>
      </c>
      <c r="AD260" s="40">
        <f t="shared" ref="AD260:AD278" si="121">AD259+AC260</f>
        <v>0.16745458011076406</v>
      </c>
      <c r="AE260" s="34">
        <f t="shared" ref="AE260:AE278" si="122">(O260*G260)/1000</f>
        <v>182.82094810401074</v>
      </c>
      <c r="AF260" s="34">
        <f t="shared" ref="AF260:AF278" si="123">(O260*F260)/1000</f>
        <v>0.37017545680250818</v>
      </c>
      <c r="AG260" s="34">
        <f t="shared" si="107"/>
        <v>0.49621374906502436</v>
      </c>
      <c r="AH260" s="34">
        <f>INDEX('Specification &amp; Data'!E$24:R$46,MATCH(Simulation!AA260,'Specification &amp; Data'!D$24:D$46,0),MATCH(Simulation!AB260,'Specification &amp; Data'!E$47:R$47,0))</f>
        <v>966.15913333333356</v>
      </c>
      <c r="AI260" s="34">
        <f t="shared" si="108"/>
        <v>1.0282651577847449E-4</v>
      </c>
      <c r="AJ260" s="34">
        <f t="shared" si="100"/>
        <v>9.9346777368217259E-2</v>
      </c>
      <c r="AK260" s="34">
        <f t="shared" ref="AK260:AK278" si="124">AK259+AJ260</f>
        <v>84.976249254067255</v>
      </c>
      <c r="AL260" s="34">
        <v>2.3289729133329802</v>
      </c>
    </row>
    <row r="261" spans="2:38" x14ac:dyDescent="0.25">
      <c r="C261" s="34">
        <f t="shared" si="109"/>
        <v>259</v>
      </c>
      <c r="D261" s="34">
        <v>8.5</v>
      </c>
      <c r="E261" s="34">
        <f t="shared" si="101"/>
        <v>13.679401325024363</v>
      </c>
      <c r="F261" s="34">
        <f t="shared" si="110"/>
        <v>3.7998337013956562</v>
      </c>
      <c r="G261" s="37">
        <f t="shared" si="111"/>
        <v>1880.4482909689154</v>
      </c>
      <c r="H261" s="34">
        <f t="shared" si="112"/>
        <v>3.7998337013956562</v>
      </c>
      <c r="I261" s="34">
        <f t="shared" si="113"/>
        <v>0</v>
      </c>
      <c r="J261" s="34">
        <f t="shared" si="114"/>
        <v>1</v>
      </c>
      <c r="K261" s="34">
        <v>0</v>
      </c>
      <c r="L261" s="34">
        <f>('Specification &amp; Data'!B$22*'Specification &amp; Data'!B$10*'Specification &amp; Data'!B$20*(Simulation!F261^2-'Specification &amp; Data'!B$21^2))/2</f>
        <v>4.4501352164473733</v>
      </c>
      <c r="M261" s="34">
        <f t="shared" si="115"/>
        <v>0</v>
      </c>
      <c r="N261" s="34">
        <f>'Specification &amp; Data'!B$24*'Specification &amp; Data'!B$18*8.91</f>
        <v>92.968722</v>
      </c>
      <c r="O261" s="34">
        <f t="shared" si="102"/>
        <v>97.418857216447378</v>
      </c>
      <c r="P261" s="40">
        <f t="shared" si="103"/>
        <v>97.418857216447378</v>
      </c>
      <c r="Q261" s="34">
        <f>IF(J261=1,'Specification &amp; Data'!B$52,IF(Simulation!J261=2,'Specification &amp; Data'!B$53,IF(Simulation!J261=3,'Specification &amp; Data'!B$54)))</f>
        <v>575.20663260893332</v>
      </c>
      <c r="R261" s="34">
        <f>(0.5*'Specification &amp; Data'!B$18*Simulation!F261^2)/1000</f>
        <v>3.7664165205634901</v>
      </c>
      <c r="T261" s="40">
        <f>P261*'Specification &amp; Data'!B$14*0.9</f>
        <v>25.853465953595649</v>
      </c>
      <c r="U261" s="40">
        <f>T261/(IF(J261=1,'Specification &amp; Data'!H$7,IF(Simulation!J261=2,'Specification &amp; Data'!H$8,IF(Simulation!J261=3,'Specification &amp; Data'!H$9))))</f>
        <v>1.1374550058148531</v>
      </c>
      <c r="V261" s="40">
        <f t="shared" si="116"/>
        <v>1.6101365442982605E-2</v>
      </c>
      <c r="W261" s="40">
        <f t="shared" si="117"/>
        <v>3.423264241049491E-2</v>
      </c>
      <c r="X261" s="40">
        <f t="shared" si="104"/>
        <v>0.37017545680250818</v>
      </c>
      <c r="Y261" s="40">
        <f t="shared" si="105"/>
        <v>0.49621374906502436</v>
      </c>
      <c r="Z261" s="40">
        <f t="shared" si="118"/>
        <v>3107.7407085239565</v>
      </c>
      <c r="AA261" s="40">
        <f t="shared" si="119"/>
        <v>1</v>
      </c>
      <c r="AB261" s="40">
        <f t="shared" si="120"/>
        <v>3000</v>
      </c>
      <c r="AC261" s="40">
        <f t="shared" si="106"/>
        <v>1.0282651577847449E-4</v>
      </c>
      <c r="AD261" s="40">
        <f t="shared" si="121"/>
        <v>0.16755740662654253</v>
      </c>
      <c r="AE261" s="34">
        <f t="shared" si="122"/>
        <v>183.19112356081325</v>
      </c>
      <c r="AF261" s="34">
        <f t="shared" si="123"/>
        <v>0.37017545680250818</v>
      </c>
      <c r="AG261" s="34">
        <f t="shared" si="107"/>
        <v>0.49621374906502436</v>
      </c>
      <c r="AH261" s="34">
        <f>INDEX('Specification &amp; Data'!E$24:R$46,MATCH(Simulation!AA261,'Specification &amp; Data'!D$24:D$46,0),MATCH(Simulation!AB261,'Specification &amp; Data'!E$47:R$47,0))</f>
        <v>966.15913333333356</v>
      </c>
      <c r="AI261" s="34">
        <f t="shared" si="108"/>
        <v>1.0282651577847449E-4</v>
      </c>
      <c r="AJ261" s="34">
        <f t="shared" si="100"/>
        <v>9.9346777368217259E-2</v>
      </c>
      <c r="AK261" s="34">
        <f t="shared" si="124"/>
        <v>85.075596031435467</v>
      </c>
      <c r="AL261" s="34">
        <v>2.3289729133329802</v>
      </c>
    </row>
    <row r="262" spans="2:38" x14ac:dyDescent="0.25">
      <c r="C262" s="34">
        <f t="shared" si="109"/>
        <v>260</v>
      </c>
      <c r="D262" s="34">
        <v>8.5</v>
      </c>
      <c r="E262" s="34">
        <f t="shared" si="101"/>
        <v>13.679401325024363</v>
      </c>
      <c r="F262" s="34">
        <f t="shared" si="110"/>
        <v>3.7998337013956562</v>
      </c>
      <c r="G262" s="37">
        <f t="shared" si="111"/>
        <v>1884.2481246703112</v>
      </c>
      <c r="H262" s="34">
        <f t="shared" si="112"/>
        <v>3.7998337013956562</v>
      </c>
      <c r="I262" s="34">
        <f t="shared" si="113"/>
        <v>0</v>
      </c>
      <c r="J262" s="34">
        <f t="shared" si="114"/>
        <v>1</v>
      </c>
      <c r="K262" s="34">
        <v>0</v>
      </c>
      <c r="L262" s="34">
        <f>('Specification &amp; Data'!B$22*'Specification &amp; Data'!B$10*'Specification &amp; Data'!B$20*(Simulation!F262^2-'Specification &amp; Data'!B$21^2))/2</f>
        <v>4.4501352164473733</v>
      </c>
      <c r="M262" s="34">
        <f t="shared" si="115"/>
        <v>0</v>
      </c>
      <c r="N262" s="34">
        <f>'Specification &amp; Data'!B$24*'Specification &amp; Data'!B$18*8.91</f>
        <v>92.968722</v>
      </c>
      <c r="O262" s="34">
        <f t="shared" si="102"/>
        <v>97.418857216447378</v>
      </c>
      <c r="P262" s="40">
        <f t="shared" si="103"/>
        <v>97.418857216447378</v>
      </c>
      <c r="Q262" s="34">
        <f>IF(J262=1,'Specification &amp; Data'!B$52,IF(Simulation!J262=2,'Specification &amp; Data'!B$53,IF(Simulation!J262=3,'Specification &amp; Data'!B$54)))</f>
        <v>575.20663260893332</v>
      </c>
      <c r="R262" s="34">
        <f>(0.5*'Specification &amp; Data'!B$18*Simulation!F262^2)/1000</f>
        <v>3.7664165205634901</v>
      </c>
      <c r="T262" s="40">
        <f>P262*'Specification &amp; Data'!B$14*0.9</f>
        <v>25.853465953595649</v>
      </c>
      <c r="U262" s="40">
        <f>T262/(IF(J262=1,'Specification &amp; Data'!H$7,IF(Simulation!J262=2,'Specification &amp; Data'!H$8,IF(Simulation!J262=3,'Specification &amp; Data'!H$9))))</f>
        <v>1.1374550058148531</v>
      </c>
      <c r="V262" s="40">
        <f t="shared" si="116"/>
        <v>1.61060626023635E-2</v>
      </c>
      <c r="W262" s="40">
        <f t="shared" si="117"/>
        <v>3.423264241049491E-2</v>
      </c>
      <c r="X262" s="40">
        <f t="shared" si="104"/>
        <v>0.37017545680250818</v>
      </c>
      <c r="Y262" s="40">
        <f t="shared" si="105"/>
        <v>0.49621374906502436</v>
      </c>
      <c r="Z262" s="40">
        <f t="shared" si="118"/>
        <v>3107.7407085239565</v>
      </c>
      <c r="AA262" s="40">
        <f t="shared" si="119"/>
        <v>1</v>
      </c>
      <c r="AB262" s="40">
        <f t="shared" si="120"/>
        <v>3000</v>
      </c>
      <c r="AC262" s="40">
        <f t="shared" si="106"/>
        <v>1.0282651577847449E-4</v>
      </c>
      <c r="AD262" s="40">
        <f t="shared" si="121"/>
        <v>0.16766023314232101</v>
      </c>
      <c r="AE262" s="34">
        <f t="shared" si="122"/>
        <v>183.5612990176158</v>
      </c>
      <c r="AF262" s="34">
        <f t="shared" si="123"/>
        <v>0.37017545680250818</v>
      </c>
      <c r="AG262" s="34">
        <f t="shared" si="107"/>
        <v>0.49621374906502436</v>
      </c>
      <c r="AH262" s="34">
        <f>INDEX('Specification &amp; Data'!E$24:R$46,MATCH(Simulation!AA262,'Specification &amp; Data'!D$24:D$46,0),MATCH(Simulation!AB262,'Specification &amp; Data'!E$47:R$47,0))</f>
        <v>966.15913333333356</v>
      </c>
      <c r="AI262" s="34">
        <f t="shared" si="108"/>
        <v>1.0282651577847449E-4</v>
      </c>
      <c r="AJ262" s="34">
        <f t="shared" si="100"/>
        <v>9.9346777368217259E-2</v>
      </c>
      <c r="AK262" s="34">
        <f t="shared" si="124"/>
        <v>85.174942808803678</v>
      </c>
      <c r="AL262" s="34">
        <v>2.3289729133329802</v>
      </c>
    </row>
    <row r="263" spans="2:38" x14ac:dyDescent="0.25">
      <c r="C263" s="34">
        <f t="shared" si="109"/>
        <v>261</v>
      </c>
      <c r="D263" s="34">
        <v>8.5</v>
      </c>
      <c r="E263" s="34">
        <f t="shared" si="101"/>
        <v>13.679401325024363</v>
      </c>
      <c r="F263" s="34">
        <f t="shared" si="110"/>
        <v>3.7998337013956562</v>
      </c>
      <c r="G263" s="37">
        <f t="shared" si="111"/>
        <v>1888.047958371707</v>
      </c>
      <c r="H263" s="34">
        <f t="shared" si="112"/>
        <v>3.7998337013956562</v>
      </c>
      <c r="I263" s="34">
        <f t="shared" si="113"/>
        <v>0</v>
      </c>
      <c r="J263" s="34">
        <f t="shared" si="114"/>
        <v>1</v>
      </c>
      <c r="K263" s="34">
        <v>0</v>
      </c>
      <c r="L263" s="34">
        <f>('Specification &amp; Data'!B$22*'Specification &amp; Data'!B$10*'Specification &amp; Data'!B$20*(Simulation!F263^2-'Specification &amp; Data'!B$21^2))/2</f>
        <v>4.4501352164473733</v>
      </c>
      <c r="M263" s="34">
        <f t="shared" si="115"/>
        <v>0</v>
      </c>
      <c r="N263" s="34">
        <f>'Specification &amp; Data'!B$24*'Specification &amp; Data'!B$18*8.91</f>
        <v>92.968722</v>
      </c>
      <c r="O263" s="34">
        <f t="shared" si="102"/>
        <v>97.418857216447378</v>
      </c>
      <c r="P263" s="40">
        <f t="shared" si="103"/>
        <v>97.418857216447378</v>
      </c>
      <c r="Q263" s="34">
        <f>IF(J263=1,'Specification &amp; Data'!B$52,IF(Simulation!J263=2,'Specification &amp; Data'!B$53,IF(Simulation!J263=3,'Specification &amp; Data'!B$54)))</f>
        <v>575.20663260893332</v>
      </c>
      <c r="R263" s="34">
        <f>(0.5*'Specification &amp; Data'!B$18*Simulation!F263^2)/1000</f>
        <v>3.7664165205634901</v>
      </c>
      <c r="T263" s="40">
        <f>P263*'Specification &amp; Data'!B$14*0.9</f>
        <v>25.853465953595649</v>
      </c>
      <c r="U263" s="40">
        <f>T263/(IF(J263=1,'Specification &amp; Data'!H$7,IF(Simulation!J263=2,'Specification &amp; Data'!H$8,IF(Simulation!J263=3,'Specification &amp; Data'!H$9))))</f>
        <v>1.1374550058148531</v>
      </c>
      <c r="V263" s="40">
        <f t="shared" si="116"/>
        <v>1.6110759761744396E-2</v>
      </c>
      <c r="W263" s="40">
        <f t="shared" si="117"/>
        <v>3.423264241049491E-2</v>
      </c>
      <c r="X263" s="40">
        <f t="shared" si="104"/>
        <v>0.37017545680250818</v>
      </c>
      <c r="Y263" s="40">
        <f t="shared" si="105"/>
        <v>0.49621374906502436</v>
      </c>
      <c r="Z263" s="40">
        <f t="shared" si="118"/>
        <v>3107.7407085239565</v>
      </c>
      <c r="AA263" s="40">
        <f t="shared" si="119"/>
        <v>1</v>
      </c>
      <c r="AB263" s="40">
        <f t="shared" si="120"/>
        <v>3000</v>
      </c>
      <c r="AC263" s="40">
        <f t="shared" si="106"/>
        <v>1.0282651577847449E-4</v>
      </c>
      <c r="AD263" s="40">
        <f t="shared" si="121"/>
        <v>0.16776305965809948</v>
      </c>
      <c r="AE263" s="34">
        <f t="shared" si="122"/>
        <v>183.93147447441831</v>
      </c>
      <c r="AF263" s="34">
        <f t="shared" si="123"/>
        <v>0.37017545680250818</v>
      </c>
      <c r="AG263" s="34">
        <f t="shared" si="107"/>
        <v>0.49621374906502436</v>
      </c>
      <c r="AH263" s="34">
        <f>INDEX('Specification &amp; Data'!E$24:R$46,MATCH(Simulation!AA263,'Specification &amp; Data'!D$24:D$46,0),MATCH(Simulation!AB263,'Specification &amp; Data'!E$47:R$47,0))</f>
        <v>966.15913333333356</v>
      </c>
      <c r="AI263" s="34">
        <f t="shared" si="108"/>
        <v>1.0282651577847449E-4</v>
      </c>
      <c r="AJ263" s="34">
        <f t="shared" si="100"/>
        <v>9.9346777368217259E-2</v>
      </c>
      <c r="AK263" s="34">
        <f t="shared" si="124"/>
        <v>85.274289586171889</v>
      </c>
      <c r="AL263" s="34">
        <v>2.3289729133329802</v>
      </c>
    </row>
    <row r="264" spans="2:38" x14ac:dyDescent="0.25">
      <c r="B264" s="36" t="s">
        <v>144</v>
      </c>
      <c r="C264" s="34">
        <f t="shared" si="109"/>
        <v>262</v>
      </c>
      <c r="D264" s="34">
        <v>8.5</v>
      </c>
      <c r="E264" s="34">
        <f t="shared" si="101"/>
        <v>13.679401325024363</v>
      </c>
      <c r="F264" s="34">
        <f t="shared" si="110"/>
        <v>3.7998337013956562</v>
      </c>
      <c r="G264" s="37">
        <f t="shared" si="111"/>
        <v>1891.8477920731027</v>
      </c>
      <c r="H264" s="34">
        <f t="shared" si="112"/>
        <v>3.7998337013956562</v>
      </c>
      <c r="I264" s="34">
        <f t="shared" si="113"/>
        <v>0</v>
      </c>
      <c r="J264" s="34">
        <f t="shared" si="114"/>
        <v>1</v>
      </c>
      <c r="K264" s="34">
        <v>0</v>
      </c>
      <c r="L264" s="34">
        <f>('Specification &amp; Data'!B$22*'Specification &amp; Data'!B$10*'Specification &amp; Data'!B$20*(Simulation!F264^2-'Specification &amp; Data'!B$21^2))/2</f>
        <v>4.4501352164473733</v>
      </c>
      <c r="M264" s="34">
        <f t="shared" si="115"/>
        <v>0</v>
      </c>
      <c r="N264" s="34">
        <f>'Specification &amp; Data'!B$24*'Specification &amp; Data'!B$18*8.91</f>
        <v>92.968722</v>
      </c>
      <c r="O264" s="34">
        <f t="shared" si="102"/>
        <v>97.418857216447378</v>
      </c>
      <c r="P264" s="40">
        <f t="shared" si="103"/>
        <v>97.418857216447378</v>
      </c>
      <c r="Q264" s="34">
        <f>IF(J264=1,'Specification &amp; Data'!B$52,IF(Simulation!J264=2,'Specification &amp; Data'!B$53,IF(Simulation!J264=3,'Specification &amp; Data'!B$54)))</f>
        <v>575.20663260893332</v>
      </c>
      <c r="R264" s="34">
        <f>(0.5*'Specification &amp; Data'!B$18*Simulation!F264^2)/1000</f>
        <v>3.7664165205634901</v>
      </c>
      <c r="T264" s="40">
        <f>P264*'Specification &amp; Data'!B$14*0.9</f>
        <v>25.853465953595649</v>
      </c>
      <c r="U264" s="40">
        <f>T264/(IF(J264=1,'Specification &amp; Data'!H$7,IF(Simulation!J264=2,'Specification &amp; Data'!H$8,IF(Simulation!J264=3,'Specification &amp; Data'!H$9))))</f>
        <v>1.1374550058148531</v>
      </c>
      <c r="V264" s="40">
        <f t="shared" si="116"/>
        <v>1.6115456921125291E-2</v>
      </c>
      <c r="W264" s="40">
        <f t="shared" si="117"/>
        <v>3.423264241049491E-2</v>
      </c>
      <c r="X264" s="40">
        <f t="shared" si="104"/>
        <v>0.37017545680250818</v>
      </c>
      <c r="Y264" s="40">
        <f t="shared" si="105"/>
        <v>0.49621374906502436</v>
      </c>
      <c r="Z264" s="40">
        <f t="shared" si="118"/>
        <v>3107.7407085239565</v>
      </c>
      <c r="AA264" s="40">
        <f t="shared" si="119"/>
        <v>1</v>
      </c>
      <c r="AB264" s="40">
        <f t="shared" si="120"/>
        <v>3000</v>
      </c>
      <c r="AC264" s="40">
        <f t="shared" si="106"/>
        <v>1.0282651577847449E-4</v>
      </c>
      <c r="AD264" s="40">
        <f t="shared" si="121"/>
        <v>0.16786588617387796</v>
      </c>
      <c r="AE264" s="34">
        <f t="shared" si="122"/>
        <v>184.30164993122082</v>
      </c>
      <c r="AF264" s="34">
        <f t="shared" si="123"/>
        <v>0.37017545680250818</v>
      </c>
      <c r="AG264" s="34">
        <f t="shared" si="107"/>
        <v>0.49621374906502436</v>
      </c>
      <c r="AH264" s="34">
        <f>INDEX('Specification &amp; Data'!E$24:R$46,MATCH(Simulation!AA264,'Specification &amp; Data'!D$24:D$46,0),MATCH(Simulation!AB264,'Specification &amp; Data'!E$47:R$47,0))</f>
        <v>966.15913333333356</v>
      </c>
      <c r="AI264" s="34">
        <f t="shared" si="108"/>
        <v>1.0282651577847449E-4</v>
      </c>
      <c r="AJ264" s="34">
        <f t="shared" si="100"/>
        <v>9.9346777368217259E-2</v>
      </c>
      <c r="AK264" s="34">
        <f t="shared" si="124"/>
        <v>85.373636363540101</v>
      </c>
      <c r="AL264" s="34">
        <v>2.3289729133329802</v>
      </c>
    </row>
    <row r="265" spans="2:38" x14ac:dyDescent="0.25">
      <c r="C265" s="34">
        <f t="shared" si="109"/>
        <v>263</v>
      </c>
      <c r="D265" s="34">
        <v>9.5</v>
      </c>
      <c r="E265" s="34">
        <f t="shared" si="101"/>
        <v>15.288742657380171</v>
      </c>
      <c r="F265" s="34">
        <f t="shared" si="110"/>
        <v>4.2468729603833806</v>
      </c>
      <c r="G265" s="37">
        <f t="shared" si="111"/>
        <v>1895.8711454039922</v>
      </c>
      <c r="H265" s="34">
        <f t="shared" si="112"/>
        <v>4.0233533308895186</v>
      </c>
      <c r="I265" s="34">
        <f t="shared" si="113"/>
        <v>0.44703925898772479</v>
      </c>
      <c r="J265" s="34">
        <f t="shared" si="114"/>
        <v>1</v>
      </c>
      <c r="K265" s="34">
        <v>0</v>
      </c>
      <c r="L265" s="34">
        <f>('Specification &amp; Data'!B$22*'Specification &amp; Data'!B$10*'Specification &amp; Data'!B$20*(Simulation!F265^2-'Specification &amp; Data'!B$21^2))/2</f>
        <v>6.1412693611898339</v>
      </c>
      <c r="M265" s="34">
        <f t="shared" si="115"/>
        <v>257.13994680632203</v>
      </c>
      <c r="N265" s="34">
        <f>'Specification &amp; Data'!B$24*'Specification &amp; Data'!B$18*8.91</f>
        <v>92.968722</v>
      </c>
      <c r="O265" s="34">
        <f t="shared" si="102"/>
        <v>356.24993816751186</v>
      </c>
      <c r="P265" s="40">
        <f t="shared" si="103"/>
        <v>356.24993816751186</v>
      </c>
      <c r="Q265" s="34">
        <f>IF(J265=1,'Specification &amp; Data'!B$52,IF(Simulation!J265=2,'Specification &amp; Data'!B$53,IF(Simulation!J265=3,'Specification &amp; Data'!B$54)))</f>
        <v>575.20663260893332</v>
      </c>
      <c r="R265" s="34">
        <f>(0.5*'Specification &amp; Data'!B$18*Simulation!F265^2)/1000</f>
        <v>4.7047625049253288</v>
      </c>
      <c r="T265" s="40">
        <f>P265*'Specification &amp; Data'!B$14*0.9</f>
        <v>94.543252821378147</v>
      </c>
      <c r="U265" s="40">
        <f>T265/(IF(J265=1,'Specification &amp; Data'!H$7,IF(Simulation!J265=2,'Specification &amp; Data'!H$8,IF(Simulation!J265=3,'Specification &amp; Data'!H$9))))</f>
        <v>4.1595465915756469</v>
      </c>
      <c r="V265" s="40">
        <f t="shared" si="116"/>
        <v>1.6122701696345422E-2</v>
      </c>
      <c r="W265" s="40">
        <f t="shared" si="117"/>
        <v>3.423264241049491E-2</v>
      </c>
      <c r="X265" s="40">
        <f t="shared" si="104"/>
        <v>1.5129482295418575</v>
      </c>
      <c r="Y265" s="40">
        <f t="shared" si="105"/>
        <v>2.0280807366512836</v>
      </c>
      <c r="Z265" s="40">
        <f t="shared" si="118"/>
        <v>3473.3572624679518</v>
      </c>
      <c r="AA265" s="40">
        <f t="shared" si="119"/>
        <v>4</v>
      </c>
      <c r="AB265" s="40">
        <f t="shared" si="120"/>
        <v>3500</v>
      </c>
      <c r="AC265" s="40">
        <f t="shared" si="106"/>
        <v>4.2026339709496041E-4</v>
      </c>
      <c r="AD265" s="40">
        <f t="shared" si="121"/>
        <v>0.16828614957097293</v>
      </c>
      <c r="AE265" s="34">
        <f t="shared" si="122"/>
        <v>675.40397832374208</v>
      </c>
      <c r="AF265" s="34">
        <f t="shared" si="123"/>
        <v>1.5129482295418575</v>
      </c>
      <c r="AG265" s="34">
        <f t="shared" si="107"/>
        <v>2.0280807366512836</v>
      </c>
      <c r="AH265" s="34">
        <f>INDEX('Specification &amp; Data'!E$24:R$46,MATCH(Simulation!AA265,'Specification &amp; Data'!D$24:D$46,0),MATCH(Simulation!AB265,'Specification &amp; Data'!E$47:R$47,0))</f>
        <v>717.30149399999993</v>
      </c>
      <c r="AI265" s="34">
        <f t="shared" si="108"/>
        <v>4.2026339709496041E-4</v>
      </c>
      <c r="AJ265" s="34">
        <f t="shared" si="100"/>
        <v>0.30145556260973033</v>
      </c>
      <c r="AK265" s="34">
        <f t="shared" si="124"/>
        <v>85.675091926149832</v>
      </c>
      <c r="AL265" s="34">
        <v>2.3289729133329802</v>
      </c>
    </row>
    <row r="266" spans="2:38" x14ac:dyDescent="0.25">
      <c r="C266" s="34">
        <f t="shared" si="109"/>
        <v>264</v>
      </c>
      <c r="D266" s="34">
        <v>10</v>
      </c>
      <c r="E266" s="34">
        <f t="shared" si="101"/>
        <v>16.093413323558075</v>
      </c>
      <c r="F266" s="34">
        <f t="shared" si="110"/>
        <v>4.4703925898772425</v>
      </c>
      <c r="G266" s="37">
        <f t="shared" si="111"/>
        <v>1900.2297781791224</v>
      </c>
      <c r="H266" s="34">
        <f t="shared" si="112"/>
        <v>4.358632775130312</v>
      </c>
      <c r="I266" s="34">
        <f t="shared" si="113"/>
        <v>0.22351962949386284</v>
      </c>
      <c r="J266" s="34">
        <f t="shared" si="114"/>
        <v>1</v>
      </c>
      <c r="K266" s="34">
        <v>0</v>
      </c>
      <c r="L266" s="34">
        <f>('Specification &amp; Data'!B$22*'Specification &amp; Data'!B$10*'Specification &amp; Data'!B$20*(Simulation!F266^2-'Specification &amp; Data'!B$21^2))/2</f>
        <v>7.0573003562586658</v>
      </c>
      <c r="M266" s="34">
        <f t="shared" si="115"/>
        <v>128.56997340316127</v>
      </c>
      <c r="N266" s="34">
        <f>'Specification &amp; Data'!B$24*'Specification &amp; Data'!B$18*8.91</f>
        <v>92.968722</v>
      </c>
      <c r="O266" s="34">
        <f t="shared" si="102"/>
        <v>228.59599575941996</v>
      </c>
      <c r="P266" s="40">
        <f t="shared" si="103"/>
        <v>228.59599575941996</v>
      </c>
      <c r="Q266" s="34">
        <f>IF(J266=1,'Specification &amp; Data'!B$52,IF(Simulation!J266=2,'Specification &amp; Data'!B$53,IF(Simulation!J266=3,'Specification &amp; Data'!B$54)))</f>
        <v>575.20663260893332</v>
      </c>
      <c r="R266" s="34">
        <f>(0.5*'Specification &amp; Data'!B$18*Simulation!F266^2)/1000</f>
        <v>5.2130332464546569</v>
      </c>
      <c r="T266" s="40">
        <f>P266*'Specification &amp; Data'!B$14*0.9</f>
        <v>60.665860413076835</v>
      </c>
      <c r="U266" s="40">
        <f>T266/(IF(J266=1,'Specification &amp; Data'!H$7,IF(Simulation!J266=2,'Specification &amp; Data'!H$8,IF(Simulation!J266=3,'Specification &amp; Data'!H$9))))</f>
        <v>2.6690690808255964</v>
      </c>
      <c r="V266" s="40">
        <f t="shared" si="116"/>
        <v>1.613146528057241E-2</v>
      </c>
      <c r="W266" s="40">
        <f t="shared" si="117"/>
        <v>3.423264241049491E-2</v>
      </c>
      <c r="X266" s="40">
        <f t="shared" si="104"/>
        <v>1.0219138455185206</v>
      </c>
      <c r="Y266" s="40">
        <f t="shared" si="105"/>
        <v>1.3698577017674538</v>
      </c>
      <c r="Z266" s="40">
        <f t="shared" si="118"/>
        <v>3656.165539439949</v>
      </c>
      <c r="AA266" s="40">
        <f t="shared" si="119"/>
        <v>3</v>
      </c>
      <c r="AB266" s="40">
        <f t="shared" si="120"/>
        <v>3500</v>
      </c>
      <c r="AC266" s="40">
        <f t="shared" si="106"/>
        <v>2.8386495708847796E-4</v>
      </c>
      <c r="AD266" s="40">
        <f t="shared" si="121"/>
        <v>0.16857001452806142</v>
      </c>
      <c r="AE266" s="34">
        <f t="shared" si="122"/>
        <v>434.38491831455821</v>
      </c>
      <c r="AF266" s="34">
        <f t="shared" si="123"/>
        <v>1.0219138455185206</v>
      </c>
      <c r="AG266" s="34">
        <f t="shared" si="107"/>
        <v>1.3698577017674538</v>
      </c>
      <c r="AH266" s="34">
        <f>INDEX('Specification &amp; Data'!E$24:R$46,MATCH(Simulation!AA266,'Specification &amp; Data'!D$24:D$46,0),MATCH(Simulation!AB266,'Specification &amp; Data'!E$47:R$47,0))</f>
        <v>754.57172700000012</v>
      </c>
      <c r="AI266" s="34">
        <f t="shared" si="108"/>
        <v>2.8386495708847796E-4</v>
      </c>
      <c r="AJ266" s="34">
        <f t="shared" si="100"/>
        <v>0.21419647090503374</v>
      </c>
      <c r="AK266" s="34">
        <f t="shared" si="124"/>
        <v>85.88928839705487</v>
      </c>
      <c r="AL266" s="34">
        <v>2.3289729133329802</v>
      </c>
    </row>
    <row r="267" spans="2:38" x14ac:dyDescent="0.25">
      <c r="C267" s="34">
        <f t="shared" si="109"/>
        <v>265</v>
      </c>
      <c r="D267" s="34">
        <v>10.199999999999999</v>
      </c>
      <c r="E267" s="34">
        <f t="shared" si="101"/>
        <v>16.415281590029235</v>
      </c>
      <c r="F267" s="34">
        <f t="shared" si="110"/>
        <v>4.5598004416747875</v>
      </c>
      <c r="G267" s="37">
        <f t="shared" si="111"/>
        <v>1904.7448746948985</v>
      </c>
      <c r="H267" s="34">
        <f t="shared" si="112"/>
        <v>4.5150965157760155</v>
      </c>
      <c r="I267" s="34">
        <f t="shared" si="113"/>
        <v>8.9407851797545845E-2</v>
      </c>
      <c r="J267" s="34">
        <f t="shared" si="114"/>
        <v>2</v>
      </c>
      <c r="K267" s="34">
        <v>0</v>
      </c>
      <c r="L267" s="34">
        <f>('Specification &amp; Data'!B$22*'Specification &amp; Data'!B$10*'Specification &amp; Data'!B$20*(Simulation!F267^2-'Specification &amp; Data'!B$21^2))/2</f>
        <v>7.436866019856418</v>
      </c>
      <c r="M267" s="34">
        <f t="shared" si="115"/>
        <v>50.866399108182755</v>
      </c>
      <c r="N267" s="34">
        <f>'Specification &amp; Data'!B$24*'Specification &amp; Data'!B$18*8.91</f>
        <v>92.968722</v>
      </c>
      <c r="O267" s="34">
        <f t="shared" si="102"/>
        <v>151.27198712803917</v>
      </c>
      <c r="P267" s="40">
        <f t="shared" si="103"/>
        <v>151.27198712803917</v>
      </c>
      <c r="Q267" s="34">
        <f>IF(J267=1,'Specification &amp; Data'!B$52,IF(Simulation!J267=2,'Specification &amp; Data'!B$53,IF(Simulation!J267=3,'Specification &amp; Data'!B$54)))</f>
        <v>568.92541410528543</v>
      </c>
      <c r="R267" s="34">
        <f>(0.5*'Specification &amp; Data'!B$18*Simulation!F267^2)/1000</f>
        <v>5.4236397896114257</v>
      </c>
      <c r="T267" s="40">
        <f>P267*'Specification &amp; Data'!B$14*0.9</f>
        <v>40.14525812244117</v>
      </c>
      <c r="U267" s="40">
        <f>T267/(IF(J267=1,'Specification &amp; Data'!H$7,IF(Simulation!J267=2,'Specification &amp; Data'!H$8,IF(Simulation!J267=3,'Specification &amp; Data'!H$9))))</f>
        <v>2.4085090437141519</v>
      </c>
      <c r="V267" s="40">
        <f t="shared" si="116"/>
        <v>1.6140884898617414E-2</v>
      </c>
      <c r="W267" s="40">
        <f t="shared" si="117"/>
        <v>3.423264241049491E-2</v>
      </c>
      <c r="X267" s="40">
        <f t="shared" si="104"/>
        <v>0.68977007371945576</v>
      </c>
      <c r="Y267" s="40">
        <f t="shared" si="105"/>
        <v>0.92462476369900237</v>
      </c>
      <c r="Z267" s="40">
        <f t="shared" si="118"/>
        <v>2734.8118235010816</v>
      </c>
      <c r="AA267" s="40">
        <f t="shared" si="119"/>
        <v>2</v>
      </c>
      <c r="AB267" s="40">
        <f t="shared" si="120"/>
        <v>2500</v>
      </c>
      <c r="AC267" s="40">
        <f t="shared" si="106"/>
        <v>1.9160279825540438E-4</v>
      </c>
      <c r="AD267" s="40">
        <f t="shared" si="121"/>
        <v>0.16876161732631681</v>
      </c>
      <c r="AE267" s="34">
        <f t="shared" si="122"/>
        <v>288.13454216704531</v>
      </c>
      <c r="AF267" s="34">
        <f t="shared" si="123"/>
        <v>0.68977007371945576</v>
      </c>
      <c r="AG267" s="34">
        <f t="shared" si="107"/>
        <v>0.92462476369900237</v>
      </c>
      <c r="AH267" s="34">
        <f>INDEX('Specification &amp; Data'!E$24:R$46,MATCH(Simulation!AA267,'Specification &amp; Data'!D$24:D$46,0),MATCH(Simulation!AB267,'Specification &amp; Data'!E$47:R$47,0))</f>
        <v>906.88719300000105</v>
      </c>
      <c r="AI267" s="34">
        <f t="shared" si="108"/>
        <v>1.9160279825540438E-4</v>
      </c>
      <c r="AJ267" s="34">
        <f t="shared" si="100"/>
        <v>0.17376212388078918</v>
      </c>
      <c r="AK267" s="34">
        <f t="shared" si="124"/>
        <v>86.063050520935661</v>
      </c>
      <c r="AL267" s="34">
        <v>2.3289729133329802</v>
      </c>
    </row>
    <row r="268" spans="2:38" x14ac:dyDescent="0.25">
      <c r="B268" s="36" t="s">
        <v>145</v>
      </c>
      <c r="C268" s="34">
        <f t="shared" si="109"/>
        <v>266</v>
      </c>
      <c r="D268" s="34">
        <v>12</v>
      </c>
      <c r="E268" s="34">
        <f t="shared" si="101"/>
        <v>19.312095988269689</v>
      </c>
      <c r="F268" s="34">
        <f t="shared" si="110"/>
        <v>5.3644711078526912</v>
      </c>
      <c r="G268" s="37">
        <f t="shared" si="111"/>
        <v>1909.7070104696622</v>
      </c>
      <c r="H268" s="34">
        <f t="shared" si="112"/>
        <v>4.9621357747637393</v>
      </c>
      <c r="I268" s="34">
        <f t="shared" si="113"/>
        <v>0.80467066617790373</v>
      </c>
      <c r="J268" s="34">
        <f t="shared" si="114"/>
        <v>2</v>
      </c>
      <c r="K268" s="34">
        <f>-'Specification &amp; Data'!B$18*9.81*'Specification &amp; Data'!L$16</f>
        <v>-830.596178979</v>
      </c>
      <c r="L268" s="34">
        <f>('Specification &amp; Data'!B$22*'Specification &amp; Data'!B$10*'Specification &amp; Data'!B$20*(Simulation!F268^2-'Specification &amp; Data'!B$21^2))/2</f>
        <v>11.19118382118468</v>
      </c>
      <c r="M268" s="34">
        <f t="shared" si="115"/>
        <v>457.79759197363978</v>
      </c>
      <c r="N268" s="34">
        <f>'Specification &amp; Data'!B$24*'Specification &amp; Data'!B$18*8.91</f>
        <v>92.968722</v>
      </c>
      <c r="O268" s="34">
        <f t="shared" si="102"/>
        <v>-268.63868118417548</v>
      </c>
      <c r="P268" s="40">
        <f t="shared" si="103"/>
        <v>268.63868118417548</v>
      </c>
      <c r="Q268" s="34">
        <f>IF(J268=1,'Specification &amp; Data'!B$52,IF(Simulation!J268=2,'Specification &amp; Data'!B$53,IF(Simulation!J268=3,'Specification &amp; Data'!B$54)))</f>
        <v>568.92541410528543</v>
      </c>
      <c r="R268" s="34">
        <f>(0.5*'Specification &amp; Data'!B$18*Simulation!F268^2)/1000</f>
        <v>7.5067678748947078</v>
      </c>
      <c r="T268" s="40">
        <f>P268*'Specification &amp; Data'!B$14*0.9</f>
        <v>71.292573083492726</v>
      </c>
      <c r="U268" s="40">
        <f>T268/(IF(J268=1,'Specification &amp; Data'!H$7,IF(Simulation!J268=2,'Specification &amp; Data'!H$8,IF(Simulation!J268=3,'Specification &amp; Data'!H$9))))</f>
        <v>4.277187768915085</v>
      </c>
      <c r="V268" s="40">
        <f t="shared" si="116"/>
        <v>1.6157561227026142E-2</v>
      </c>
      <c r="W268" s="40">
        <f t="shared" si="117"/>
        <v>3.423264241049491E-2</v>
      </c>
      <c r="X268" s="40">
        <f t="shared" si="104"/>
        <v>1.4411044436641598</v>
      </c>
      <c r="Y268" s="40">
        <f t="shared" si="105"/>
        <v>1.9317753936516888</v>
      </c>
      <c r="Z268" s="40">
        <f t="shared" si="118"/>
        <v>3217.4256747071558</v>
      </c>
      <c r="AA268" s="40">
        <f t="shared" si="119"/>
        <v>4</v>
      </c>
      <c r="AB268" s="40">
        <f t="shared" si="120"/>
        <v>3000</v>
      </c>
      <c r="AC268" s="40">
        <f t="shared" si="106"/>
        <v>4.0030678990671107E-4</v>
      </c>
      <c r="AD268" s="40">
        <f t="shared" si="121"/>
        <v>0.16916192411622352</v>
      </c>
      <c r="AE268" s="34">
        <f t="shared" si="122"/>
        <v>-513.02117274074453</v>
      </c>
      <c r="AF268" s="34">
        <f t="shared" si="123"/>
        <v>-1.4411044436641598</v>
      </c>
      <c r="AG268" s="34">
        <f t="shared" si="107"/>
        <v>-1.9317753936516888</v>
      </c>
      <c r="AH268" s="34">
        <f>INDEX('Specification &amp; Data'!E$24:R$46,MATCH(Simulation!AA268,'Specification &amp; Data'!D$24:D$46,0),MATCH(Simulation!AB268,'Specification &amp; Data'!E$47:R$47,0))</f>
        <v>756.83180300000004</v>
      </c>
      <c r="AI268" s="34">
        <f t="shared" si="108"/>
        <v>-4.0030678990671107E-4</v>
      </c>
      <c r="AJ268" s="34">
        <f t="shared" si="100"/>
        <v>0.30296490955823835</v>
      </c>
      <c r="AK268" s="34">
        <f t="shared" si="124"/>
        <v>86.366015430493903</v>
      </c>
      <c r="AL268" s="34">
        <v>2.3289729133329802</v>
      </c>
    </row>
    <row r="269" spans="2:38" x14ac:dyDescent="0.25">
      <c r="B269" s="36" t="s">
        <v>145</v>
      </c>
      <c r="C269" s="34">
        <f t="shared" si="109"/>
        <v>267</v>
      </c>
      <c r="D269" s="34">
        <v>15</v>
      </c>
      <c r="E269" s="34">
        <f t="shared" si="101"/>
        <v>24.140119985337112</v>
      </c>
      <c r="F269" s="34">
        <f t="shared" si="110"/>
        <v>6.7055888848158638</v>
      </c>
      <c r="G269" s="37">
        <f t="shared" si="111"/>
        <v>1915.7420404659965</v>
      </c>
      <c r="H269" s="34">
        <f t="shared" si="112"/>
        <v>6.0350299963342771</v>
      </c>
      <c r="I269" s="34">
        <f t="shared" si="113"/>
        <v>1.3411177769631717</v>
      </c>
      <c r="J269" s="34">
        <f t="shared" si="114"/>
        <v>2</v>
      </c>
      <c r="K269" s="34">
        <f>-'Specification &amp; Data'!B$18*9.81*'Specification &amp; Data'!L$16</f>
        <v>-830.596178979</v>
      </c>
      <c r="L269" s="34">
        <f>('Specification &amp; Data'!B$22*'Specification &amp; Data'!B$10*'Specification &amp; Data'!B$20*(Simulation!F269^2-'Specification &amp; Data'!B$21^2))/2</f>
        <v>18.801287472525743</v>
      </c>
      <c r="M269" s="34">
        <f t="shared" si="115"/>
        <v>762.99598662273229</v>
      </c>
      <c r="N269" s="34">
        <f>'Specification &amp; Data'!B$24*'Specification &amp; Data'!B$18*8.91</f>
        <v>92.968722</v>
      </c>
      <c r="O269" s="34">
        <f t="shared" si="102"/>
        <v>44.169817116257988</v>
      </c>
      <c r="P269" s="40">
        <f t="shared" si="103"/>
        <v>44.169817116257988</v>
      </c>
      <c r="Q269" s="34">
        <f>IF(J269=1,'Specification &amp; Data'!B$52,IF(Simulation!J269=2,'Specification &amp; Data'!B$53,IF(Simulation!J269=3,'Specification &amp; Data'!B$54)))</f>
        <v>568.92541410528543</v>
      </c>
      <c r="R269" s="34">
        <f>(0.5*'Specification &amp; Data'!B$18*Simulation!F269^2)/1000</f>
        <v>11.729324804522978</v>
      </c>
      <c r="T269" s="40">
        <f>P269*'Specification &amp; Data'!B$14*0.9</f>
        <v>11.721989927006929</v>
      </c>
      <c r="U269" s="40">
        <f>T269/(IF(J269=1,'Specification &amp; Data'!H$7,IF(Simulation!J269=2,'Specification &amp; Data'!H$8,IF(Simulation!J269=3,'Specification &amp; Data'!H$9))))</f>
        <v>0.70325911626759285</v>
      </c>
      <c r="V269" s="40">
        <f t="shared" si="116"/>
        <v>1.6192581700441695E-2</v>
      </c>
      <c r="W269" s="40">
        <f t="shared" si="117"/>
        <v>3.423264241049491E-2</v>
      </c>
      <c r="X269" s="40">
        <f t="shared" si="104"/>
        <v>0.29618463469912903</v>
      </c>
      <c r="Y269" s="40">
        <f t="shared" si="105"/>
        <v>0.39703034141974403</v>
      </c>
      <c r="Z269" s="40">
        <f t="shared" si="118"/>
        <v>4021.782093383943</v>
      </c>
      <c r="AA269" s="40">
        <f t="shared" si="119"/>
        <v>1</v>
      </c>
      <c r="AB269" s="40">
        <f t="shared" si="120"/>
        <v>4000</v>
      </c>
      <c r="AC269" s="40">
        <f t="shared" si="106"/>
        <v>8.2273509638646947E-5</v>
      </c>
      <c r="AD269" s="40">
        <f t="shared" si="121"/>
        <v>0.16924419762586218</v>
      </c>
      <c r="AE269" s="34">
        <f t="shared" si="122"/>
        <v>84.617975569309976</v>
      </c>
      <c r="AF269" s="34">
        <f t="shared" si="123"/>
        <v>0.29618463469912903</v>
      </c>
      <c r="AG269" s="34">
        <f t="shared" si="107"/>
        <v>0.39703034141974403</v>
      </c>
      <c r="AH269" s="34">
        <f>INDEX('Specification &amp; Data'!E$24:R$46,MATCH(Simulation!AA269,'Specification &amp; Data'!D$24:D$46,0),MATCH(Simulation!AB269,'Specification &amp; Data'!E$47:R$47,0))</f>
        <v>944.35122599999977</v>
      </c>
      <c r="AI269" s="34">
        <f t="shared" si="108"/>
        <v>8.2273509638646947E-5</v>
      </c>
      <c r="AJ269" s="34">
        <f t="shared" si="100"/>
        <v>7.7695089694579042E-2</v>
      </c>
      <c r="AK269" s="34">
        <f t="shared" si="124"/>
        <v>86.443710520188475</v>
      </c>
      <c r="AL269" s="34">
        <v>2.3289729133329802</v>
      </c>
    </row>
    <row r="270" spans="2:38" x14ac:dyDescent="0.25">
      <c r="B270" s="36" t="s">
        <v>145</v>
      </c>
      <c r="C270" s="34">
        <f t="shared" si="109"/>
        <v>268</v>
      </c>
      <c r="D270" s="34">
        <v>18</v>
      </c>
      <c r="E270" s="34">
        <f t="shared" si="101"/>
        <v>28.968143982404534</v>
      </c>
      <c r="F270" s="34">
        <f t="shared" si="110"/>
        <v>8.0467066617790373</v>
      </c>
      <c r="G270" s="37">
        <f t="shared" si="111"/>
        <v>1923.1181882392939</v>
      </c>
      <c r="H270" s="34">
        <f t="shared" si="112"/>
        <v>7.3761477732974505</v>
      </c>
      <c r="I270" s="34">
        <f t="shared" si="113"/>
        <v>1.3411177769631735</v>
      </c>
      <c r="J270" s="34">
        <f t="shared" si="114"/>
        <v>2</v>
      </c>
      <c r="K270" s="34">
        <f>-'Specification &amp; Data'!B$18*9.81*'Specification &amp; Data'!L$16</f>
        <v>-830.596178979</v>
      </c>
      <c r="L270" s="34">
        <f>('Specification &amp; Data'!B$22*'Specification &amp; Data'!B$10*'Specification &amp; Data'!B$20*(Simulation!F270^2-'Specification &amp; Data'!B$21^2))/2</f>
        <v>28.102525268609277</v>
      </c>
      <c r="M270" s="34">
        <f t="shared" si="115"/>
        <v>762.99598662273331</v>
      </c>
      <c r="N270" s="34">
        <f>'Specification &amp; Data'!B$24*'Specification &amp; Data'!B$18*8.91</f>
        <v>92.968722</v>
      </c>
      <c r="O270" s="34">
        <f t="shared" si="102"/>
        <v>53.471054912342581</v>
      </c>
      <c r="P270" s="40">
        <f t="shared" si="103"/>
        <v>53.471054912342581</v>
      </c>
      <c r="Q270" s="34">
        <f>IF(J270=1,'Specification &amp; Data'!B$52,IF(Simulation!J270=2,'Specification &amp; Data'!B$53,IF(Simulation!J270=3,'Specification &amp; Data'!B$54)))</f>
        <v>568.92541410528543</v>
      </c>
      <c r="R270" s="34">
        <f>(0.5*'Specification &amp; Data'!B$18*Simulation!F270^2)/1000</f>
        <v>16.890227718513092</v>
      </c>
      <c r="T270" s="40">
        <f>P270*'Specification &amp; Data'!B$14*0.9</f>
        <v>14.190395342121686</v>
      </c>
      <c r="U270" s="40">
        <f>T270/(IF(J270=1,'Specification &amp; Data'!H$7,IF(Simulation!J270=2,'Specification &amp; Data'!H$8,IF(Simulation!J270=3,'Specification &amp; Data'!H$9))))</f>
        <v>0.85135074760607787</v>
      </c>
      <c r="V270" s="40">
        <f t="shared" si="116"/>
        <v>1.6255396360800509E-2</v>
      </c>
      <c r="W270" s="40">
        <f t="shared" si="117"/>
        <v>3.423264241049491E-2</v>
      </c>
      <c r="X270" s="40">
        <f t="shared" si="104"/>
        <v>0.43026589377549979</v>
      </c>
      <c r="Y270" s="40">
        <f t="shared" si="105"/>
        <v>0.57676393267493264</v>
      </c>
      <c r="Z270" s="40">
        <f t="shared" si="118"/>
        <v>4826.1385120607329</v>
      </c>
      <c r="AA270" s="40">
        <f t="shared" si="119"/>
        <v>1</v>
      </c>
      <c r="AB270" s="40">
        <f t="shared" si="120"/>
        <v>5000</v>
      </c>
      <c r="AC270" s="40">
        <f t="shared" si="106"/>
        <v>1.1951830382652771E-4</v>
      </c>
      <c r="AD270" s="40">
        <f t="shared" si="121"/>
        <v>0.16936371592968871</v>
      </c>
      <c r="AE270" s="34">
        <f t="shared" si="122"/>
        <v>102.83115824626805</v>
      </c>
      <c r="AF270" s="34">
        <f t="shared" si="123"/>
        <v>0.43026589377549979</v>
      </c>
      <c r="AG270" s="34">
        <f t="shared" si="107"/>
        <v>0.57676393267493264</v>
      </c>
      <c r="AH270" s="34">
        <f>INDEX('Specification &amp; Data'!E$24:R$46,MATCH(Simulation!AA270,'Specification &amp; Data'!D$24:D$46,0),MATCH(Simulation!AB270,'Specification &amp; Data'!E$47:R$47,0))</f>
        <v>890.20495199999982</v>
      </c>
      <c r="AI270" s="34">
        <f t="shared" si="108"/>
        <v>1.1951830382652771E-4</v>
      </c>
      <c r="AJ270" s="34">
        <f t="shared" si="100"/>
        <v>0.10639578592101549</v>
      </c>
      <c r="AK270" s="34">
        <f t="shared" si="124"/>
        <v>86.550106306109484</v>
      </c>
      <c r="AL270" s="34">
        <v>2.3289729133329802</v>
      </c>
    </row>
    <row r="271" spans="2:38" x14ac:dyDescent="0.25">
      <c r="B271" s="36" t="s">
        <v>145</v>
      </c>
      <c r="C271" s="34">
        <f t="shared" si="109"/>
        <v>269</v>
      </c>
      <c r="D271" s="34">
        <v>20</v>
      </c>
      <c r="E271" s="34">
        <f t="shared" si="101"/>
        <v>32.186826647116149</v>
      </c>
      <c r="F271" s="34">
        <f t="shared" si="110"/>
        <v>8.9407851797544851</v>
      </c>
      <c r="G271" s="37">
        <f t="shared" si="111"/>
        <v>1931.6119341600606</v>
      </c>
      <c r="H271" s="34">
        <f t="shared" si="112"/>
        <v>8.4937459207667612</v>
      </c>
      <c r="I271" s="34">
        <f t="shared" si="113"/>
        <v>0.8940785179754478</v>
      </c>
      <c r="J271" s="34">
        <f t="shared" si="114"/>
        <v>2</v>
      </c>
      <c r="K271" s="34">
        <f>-'Specification &amp; Data'!B$18*9.81*'Specification &amp; Data'!L$16</f>
        <v>-830.596178979</v>
      </c>
      <c r="L271" s="34">
        <f>('Specification &amp; Data'!B$22*'Specification &amp; Data'!B$10*'Specification &amp; Data'!B$20*(Simulation!F271^2-'Specification &amp; Data'!B$21^2))/2</f>
        <v>35.24286943529966</v>
      </c>
      <c r="M271" s="34">
        <f t="shared" si="115"/>
        <v>508.66399108182151</v>
      </c>
      <c r="N271" s="34">
        <f>'Specification &amp; Data'!B$24*'Specification &amp; Data'!B$18*8.91</f>
        <v>92.968722</v>
      </c>
      <c r="O271" s="34">
        <f t="shared" si="102"/>
        <v>-193.72059646187881</v>
      </c>
      <c r="P271" s="40">
        <f t="shared" si="103"/>
        <v>193.72059646187881</v>
      </c>
      <c r="Q271" s="34">
        <f>IF(J271=1,'Specification &amp; Data'!B$52,IF(Simulation!J271=2,'Specification &amp; Data'!B$53,IF(Simulation!J271=3,'Specification &amp; Data'!B$54)))</f>
        <v>568.92541410528543</v>
      </c>
      <c r="R271" s="34">
        <f>(0.5*'Specification &amp; Data'!B$18*Simulation!F271^2)/1000</f>
        <v>20.852132985818628</v>
      </c>
      <c r="T271" s="40">
        <f>P271*'Specification &amp; Data'!B$14*0.9</f>
        <v>51.410465984113998</v>
      </c>
      <c r="U271" s="40">
        <f>T271/(IF(J271=1,'Specification &amp; Data'!H$7,IF(Simulation!J271=2,'Specification &amp; Data'!H$8,IF(Simulation!J271=3,'Specification &amp; Data'!H$9))))</f>
        <v>3.0843635850252666</v>
      </c>
      <c r="V271" s="40">
        <f t="shared" si="116"/>
        <v>1.6342923839894719E-2</v>
      </c>
      <c r="W271" s="40">
        <f t="shared" si="117"/>
        <v>3.423264241049491E-2</v>
      </c>
      <c r="X271" s="40">
        <f t="shared" si="104"/>
        <v>1.7320142378595651</v>
      </c>
      <c r="Y271" s="40">
        <f t="shared" si="105"/>
        <v>2.321734903297004</v>
      </c>
      <c r="Z271" s="40">
        <f t="shared" si="118"/>
        <v>5362.376124511924</v>
      </c>
      <c r="AA271" s="40">
        <f t="shared" si="119"/>
        <v>3</v>
      </c>
      <c r="AB271" s="40">
        <f t="shared" si="120"/>
        <v>5500</v>
      </c>
      <c r="AC271" s="40">
        <f t="shared" si="106"/>
        <v>4.8111506607210141E-4</v>
      </c>
      <c r="AD271" s="40">
        <f t="shared" si="121"/>
        <v>0.16984483099576081</v>
      </c>
      <c r="AE271" s="34">
        <f t="shared" si="122"/>
        <v>-374.19301601837032</v>
      </c>
      <c r="AF271" s="34">
        <f t="shared" si="123"/>
        <v>-1.7320142378595651</v>
      </c>
      <c r="AG271" s="34">
        <f t="shared" si="107"/>
        <v>-2.321734903297004</v>
      </c>
      <c r="AH271" s="34">
        <f>INDEX('Specification &amp; Data'!E$24:R$46,MATCH(Simulation!AA271,'Specification &amp; Data'!D$24:D$46,0),MATCH(Simulation!AB271,'Specification &amp; Data'!E$47:R$47,0))</f>
        <v>724.095099</v>
      </c>
      <c r="AI271" s="34">
        <f t="shared" si="108"/>
        <v>-4.8111506607210141E-4</v>
      </c>
      <c r="AJ271" s="34">
        <f t="shared" si="100"/>
        <v>0.34837306139786983</v>
      </c>
      <c r="AK271" s="34">
        <f t="shared" si="124"/>
        <v>86.898479367507349</v>
      </c>
      <c r="AL271" s="34">
        <v>2.3289729133329802</v>
      </c>
    </row>
    <row r="272" spans="2:38" x14ac:dyDescent="0.25">
      <c r="B272" s="36" t="s">
        <v>145</v>
      </c>
      <c r="C272" s="34">
        <f t="shared" si="109"/>
        <v>270</v>
      </c>
      <c r="D272" s="34">
        <v>18</v>
      </c>
      <c r="E272" s="34">
        <f t="shared" si="101"/>
        <v>28.968143982404534</v>
      </c>
      <c r="F272" s="34">
        <f t="shared" si="110"/>
        <v>8.0467066617790373</v>
      </c>
      <c r="G272" s="37">
        <f t="shared" si="111"/>
        <v>1940.1056800808274</v>
      </c>
      <c r="H272" s="34">
        <f t="shared" si="112"/>
        <v>8.4937459207667612</v>
      </c>
      <c r="I272" s="34">
        <f t="shared" si="113"/>
        <v>-0.8940785179754478</v>
      </c>
      <c r="J272" s="34">
        <f t="shared" si="114"/>
        <v>2</v>
      </c>
      <c r="K272" s="34">
        <f>-'Specification &amp; Data'!B$18*9.81*'Specification &amp; Data'!L$16</f>
        <v>-830.596178979</v>
      </c>
      <c r="L272" s="34">
        <f>('Specification &amp; Data'!B$22*'Specification &amp; Data'!B$10*'Specification &amp; Data'!B$20*(Simulation!F272^2-'Specification &amp; Data'!B$21^2))/2</f>
        <v>28.102525268609277</v>
      </c>
      <c r="M272" s="34">
        <f t="shared" si="115"/>
        <v>-508.66399108182151</v>
      </c>
      <c r="N272" s="34">
        <f>'Specification &amp; Data'!B$24*'Specification &amp; Data'!B$18*8.91</f>
        <v>92.968722</v>
      </c>
      <c r="O272" s="34">
        <f t="shared" si="102"/>
        <v>-1218.1889227922122</v>
      </c>
      <c r="P272" s="40">
        <f t="shared" si="103"/>
        <v>1218.1889227922122</v>
      </c>
      <c r="Q272" s="34">
        <f>IF(J272=1,'Specification &amp; Data'!B$52,IF(Simulation!J272=2,'Specification &amp; Data'!B$53,IF(Simulation!J272=3,'Specification &amp; Data'!B$54)))</f>
        <v>568.92541410528543</v>
      </c>
      <c r="R272" s="34">
        <f>(0.5*'Specification &amp; Data'!B$18*Simulation!F272^2)/1000</f>
        <v>16.890227718513092</v>
      </c>
      <c r="T272" s="40">
        <f>P272*'Specification &amp; Data'!B$14*0.9</f>
        <v>323.28859874101022</v>
      </c>
      <c r="U272" s="40">
        <f>T272/(IF(J272=1,'Specification &amp; Data'!H$7,IF(Simulation!J272=2,'Specification &amp; Data'!H$8,IF(Simulation!J272=3,'Specification &amp; Data'!H$9))))</f>
        <v>19.395653439880054</v>
      </c>
      <c r="V272" s="40">
        <f t="shared" si="116"/>
        <v>1.6405738500253533E-2</v>
      </c>
      <c r="W272" s="40">
        <f t="shared" si="117"/>
        <v>3.6955533777255335E-2</v>
      </c>
      <c r="X272" s="40">
        <f t="shared" si="104"/>
        <v>9.8024089203375251</v>
      </c>
      <c r="Y272" s="40">
        <f t="shared" si="105"/>
        <v>13.139958338254054</v>
      </c>
      <c r="Z272" s="40">
        <f t="shared" si="118"/>
        <v>4826.1385120607338</v>
      </c>
      <c r="AA272" s="40">
        <f t="shared" si="119"/>
        <v>19</v>
      </c>
      <c r="AB272" s="40">
        <f t="shared" si="120"/>
        <v>5000</v>
      </c>
      <c r="AC272" s="40">
        <f t="shared" si="106"/>
        <v>2.7228913667604235E-3</v>
      </c>
      <c r="AD272" s="40">
        <f t="shared" si="121"/>
        <v>0.17256772236252124</v>
      </c>
      <c r="AE272" s="34">
        <f t="shared" si="122"/>
        <v>-2363.4152485207155</v>
      </c>
      <c r="AF272" s="34">
        <f t="shared" si="123"/>
        <v>-9.8024089203375251</v>
      </c>
      <c r="AG272" s="34">
        <f t="shared" si="107"/>
        <v>-13.139958338254054</v>
      </c>
      <c r="AH272" s="34">
        <f>INDEX('Specification &amp; Data'!E$24:R$46,MATCH(Simulation!AA272,'Specification &amp; Data'!D$24:D$46,0),MATCH(Simulation!AB272,'Specification &amp; Data'!E$47:R$47,0))</f>
        <v>443.04624000000007</v>
      </c>
      <c r="AI272" s="34">
        <f t="shared" si="108"/>
        <v>-2.7228913667604235E-3</v>
      </c>
      <c r="AJ272" s="34">
        <f t="shared" si="100"/>
        <v>1.2063667819716668</v>
      </c>
      <c r="AK272" s="34">
        <f t="shared" si="124"/>
        <v>88.104846149479016</v>
      </c>
      <c r="AL272" s="34">
        <v>2.3289729133329802</v>
      </c>
    </row>
    <row r="273" spans="3:38" x14ac:dyDescent="0.25">
      <c r="C273" s="34">
        <f t="shared" si="109"/>
        <v>271</v>
      </c>
      <c r="D273" s="34">
        <v>16</v>
      </c>
      <c r="E273" s="34">
        <f t="shared" si="101"/>
        <v>25.749461317692919</v>
      </c>
      <c r="F273" s="34">
        <f t="shared" si="110"/>
        <v>7.1526281438035886</v>
      </c>
      <c r="G273" s="37">
        <f t="shared" si="111"/>
        <v>1947.7053474836187</v>
      </c>
      <c r="H273" s="34">
        <f t="shared" si="112"/>
        <v>7.5996674027913134</v>
      </c>
      <c r="I273" s="34">
        <f t="shared" si="113"/>
        <v>-0.8940785179754478</v>
      </c>
      <c r="J273" s="34">
        <f t="shared" si="114"/>
        <v>2</v>
      </c>
      <c r="K273" s="34">
        <v>0</v>
      </c>
      <c r="L273" s="34">
        <f>('Specification &amp; Data'!B$22*'Specification &amp; Data'!B$10*'Specification &amp; Data'!B$20*(Simulation!F273^2-'Specification &amp; Data'!B$21^2))/2</f>
        <v>21.713796277359986</v>
      </c>
      <c r="M273" s="34">
        <f t="shared" si="115"/>
        <v>-508.66399108182151</v>
      </c>
      <c r="N273" s="34">
        <f>'Specification &amp; Data'!B$24*'Specification &amp; Data'!B$18*8.91</f>
        <v>92.968722</v>
      </c>
      <c r="O273" s="34">
        <f t="shared" si="102"/>
        <v>-393.98147280446153</v>
      </c>
      <c r="P273" s="40">
        <f t="shared" si="103"/>
        <v>393.98147280446153</v>
      </c>
      <c r="Q273" s="34">
        <f>IF(J273=1,'Specification &amp; Data'!B$52,IF(Simulation!J273=2,'Specification &amp; Data'!B$53,IF(Simulation!J273=3,'Specification &amp; Data'!B$54)))</f>
        <v>568.92541410528543</v>
      </c>
      <c r="R273" s="34">
        <f>(0.5*'Specification &amp; Data'!B$18*Simulation!F273^2)/1000</f>
        <v>13.345365110923924</v>
      </c>
      <c r="T273" s="40">
        <f>P273*'Specification &amp; Data'!B$14*0.9</f>
        <v>104.55662162887634</v>
      </c>
      <c r="U273" s="40">
        <f>T273/(IF(J273=1,'Specification &amp; Data'!H$7,IF(Simulation!J273=2,'Specification &amp; Data'!H$8,IF(Simulation!J273=3,'Specification &amp; Data'!H$9))))</f>
        <v>6.2728596240505192</v>
      </c>
      <c r="V273" s="40">
        <f t="shared" si="116"/>
        <v>1.6448880364243051E-2</v>
      </c>
      <c r="W273" s="40">
        <f t="shared" si="117"/>
        <v>3.7738312380177108E-2</v>
      </c>
      <c r="X273" s="40">
        <f t="shared" si="104"/>
        <v>2.8180029705183798</v>
      </c>
      <c r="Y273" s="40">
        <f t="shared" si="105"/>
        <v>3.777483874689517</v>
      </c>
      <c r="Z273" s="40">
        <f t="shared" si="118"/>
        <v>4289.9008996095399</v>
      </c>
      <c r="AA273" s="40">
        <f t="shared" si="119"/>
        <v>6</v>
      </c>
      <c r="AB273" s="40">
        <f t="shared" si="120"/>
        <v>4500</v>
      </c>
      <c r="AC273" s="40">
        <f t="shared" si="106"/>
        <v>7.8277860292177211E-4</v>
      </c>
      <c r="AD273" s="40">
        <f t="shared" si="121"/>
        <v>0.17335050096544302</v>
      </c>
      <c r="AE273" s="34">
        <f t="shared" si="122"/>
        <v>-767.35982139072155</v>
      </c>
      <c r="AF273" s="34">
        <f t="shared" si="123"/>
        <v>-2.8180029705183798</v>
      </c>
      <c r="AG273" s="34">
        <f t="shared" si="107"/>
        <v>-3.777483874689517</v>
      </c>
      <c r="AH273" s="34">
        <f>INDEX('Specification &amp; Data'!E$24:R$46,MATCH(Simulation!AA273,'Specification &amp; Data'!D$24:D$46,0),MATCH(Simulation!AB273,'Specification &amp; Data'!E$47:R$47,0))</f>
        <v>560.76049575000002</v>
      </c>
      <c r="AI273" s="34">
        <f t="shared" si="108"/>
        <v>-7.8277860292177211E-4</v>
      </c>
      <c r="AJ273" s="34">
        <f t="shared" si="100"/>
        <v>0.43895131743690535</v>
      </c>
      <c r="AK273" s="34">
        <f t="shared" si="124"/>
        <v>88.543797466915919</v>
      </c>
      <c r="AL273" s="34">
        <v>2.3289729133329802</v>
      </c>
    </row>
    <row r="274" spans="3:38" x14ac:dyDescent="0.25">
      <c r="C274" s="34">
        <f t="shared" si="109"/>
        <v>272</v>
      </c>
      <c r="D274" s="34">
        <v>14</v>
      </c>
      <c r="E274" s="34">
        <f t="shared" si="101"/>
        <v>22.530778652981304</v>
      </c>
      <c r="F274" s="34">
        <f t="shared" si="110"/>
        <v>6.2585496258281399</v>
      </c>
      <c r="G274" s="37">
        <f t="shared" si="111"/>
        <v>1954.4109363684345</v>
      </c>
      <c r="H274" s="34">
        <f t="shared" si="112"/>
        <v>6.7055888848158638</v>
      </c>
      <c r="I274" s="34">
        <f t="shared" si="113"/>
        <v>-0.89407851797544957</v>
      </c>
      <c r="J274" s="34">
        <f t="shared" si="114"/>
        <v>2</v>
      </c>
      <c r="K274" s="34">
        <v>0</v>
      </c>
      <c r="L274" s="34">
        <f>('Specification &amp; Data'!B$22*'Specification &amp; Data'!B$10*'Specification &amp; Data'!B$20*(Simulation!F274^2-'Specification &amp; Data'!B$21^2))/2</f>
        <v>16.076682461551783</v>
      </c>
      <c r="M274" s="34">
        <f t="shared" si="115"/>
        <v>-508.66399108182253</v>
      </c>
      <c r="N274" s="34">
        <f>'Specification &amp; Data'!B$24*'Specification &amp; Data'!B$18*8.91</f>
        <v>92.968722</v>
      </c>
      <c r="O274" s="34">
        <f t="shared" si="102"/>
        <v>-399.61858662027072</v>
      </c>
      <c r="P274" s="40">
        <f t="shared" si="103"/>
        <v>399.61858662027072</v>
      </c>
      <c r="Q274" s="34">
        <f>IF(J274=1,'Specification &amp; Data'!B$52,IF(Simulation!J274=2,'Specification &amp; Data'!B$53,IF(Simulation!J274=3,'Specification &amp; Data'!B$54)))</f>
        <v>568.92541410528543</v>
      </c>
      <c r="R274" s="34">
        <f>(0.5*'Specification &amp; Data'!B$18*Simulation!F274^2)/1000</f>
        <v>10.217545163051129</v>
      </c>
      <c r="T274" s="40">
        <f>P274*'Specification &amp; Data'!B$14*0.9</f>
        <v>106.05262491076415</v>
      </c>
      <c r="U274" s="40">
        <f>T274/(IF(J274=1,'Specification &amp; Data'!H$7,IF(Simulation!J274=2,'Specification &amp; Data'!H$8,IF(Simulation!J274=3,'Specification &amp; Data'!H$9))))</f>
        <v>6.3626121278920298</v>
      </c>
      <c r="V274" s="40">
        <f t="shared" si="116"/>
        <v>1.6476829451744248E-2</v>
      </c>
      <c r="W274" s="40">
        <f t="shared" si="117"/>
        <v>3.8433043701223295E-2</v>
      </c>
      <c r="X274" s="40">
        <f t="shared" si="104"/>
        <v>2.5010327557662655</v>
      </c>
      <c r="Y274" s="40">
        <f t="shared" si="105"/>
        <v>3.352590825423948</v>
      </c>
      <c r="Z274" s="40">
        <f t="shared" si="118"/>
        <v>3753.6632871583488</v>
      </c>
      <c r="AA274" s="40">
        <f t="shared" si="119"/>
        <v>6</v>
      </c>
      <c r="AB274" s="40">
        <f t="shared" si="120"/>
        <v>4000</v>
      </c>
      <c r="AC274" s="40">
        <f t="shared" si="106"/>
        <v>6.9473132104618484E-4</v>
      </c>
      <c r="AD274" s="40">
        <f t="shared" si="121"/>
        <v>0.17404523228648922</v>
      </c>
      <c r="AE274" s="34">
        <f t="shared" si="122"/>
        <v>-781.01893606675355</v>
      </c>
      <c r="AF274" s="34">
        <f t="shared" si="123"/>
        <v>-2.5010327557662655</v>
      </c>
      <c r="AG274" s="34">
        <f t="shared" si="107"/>
        <v>-3.352590825423948</v>
      </c>
      <c r="AH274" s="34">
        <f>INDEX('Specification &amp; Data'!E$24:R$46,MATCH(Simulation!AA274,'Specification &amp; Data'!D$24:D$46,0),MATCH(Simulation!AB274,'Specification &amp; Data'!E$47:R$47,0))</f>
        <v>603.98588250000012</v>
      </c>
      <c r="AI274" s="34">
        <f t="shared" si="108"/>
        <v>-6.9473132104618484E-4</v>
      </c>
      <c r="AJ274" s="34">
        <f t="shared" si="100"/>
        <v>0.41960791004247083</v>
      </c>
      <c r="AK274" s="34">
        <f t="shared" si="124"/>
        <v>88.963405376958391</v>
      </c>
      <c r="AL274" s="34">
        <v>2.3289729133329802</v>
      </c>
    </row>
    <row r="275" spans="3:38" x14ac:dyDescent="0.25">
      <c r="C275" s="34">
        <f t="shared" si="109"/>
        <v>273</v>
      </c>
      <c r="D275" s="34">
        <v>12</v>
      </c>
      <c r="E275" s="34">
        <f t="shared" si="101"/>
        <v>19.312095988269689</v>
      </c>
      <c r="F275" s="34">
        <f t="shared" si="110"/>
        <v>5.3644711078526912</v>
      </c>
      <c r="G275" s="37">
        <f t="shared" si="111"/>
        <v>1960.2224467352748</v>
      </c>
      <c r="H275" s="34">
        <f t="shared" si="112"/>
        <v>5.811510366840416</v>
      </c>
      <c r="I275" s="34">
        <f t="shared" si="113"/>
        <v>-0.8940785179754478</v>
      </c>
      <c r="J275" s="34">
        <f t="shared" si="114"/>
        <v>2</v>
      </c>
      <c r="K275" s="34">
        <v>0</v>
      </c>
      <c r="L275" s="34">
        <f>('Specification &amp; Data'!B$22*'Specification &amp; Data'!B$10*'Specification &amp; Data'!B$20*(Simulation!F275^2-'Specification &amp; Data'!B$21^2))/2</f>
        <v>11.19118382118468</v>
      </c>
      <c r="M275" s="34">
        <f t="shared" si="115"/>
        <v>-508.66399108182151</v>
      </c>
      <c r="N275" s="34">
        <f>'Specification &amp; Data'!B$24*'Specification &amp; Data'!B$18*8.91</f>
        <v>92.968722</v>
      </c>
      <c r="O275" s="34">
        <f t="shared" si="102"/>
        <v>-404.50408526063683</v>
      </c>
      <c r="P275" s="40">
        <f t="shared" si="103"/>
        <v>404.50408526063683</v>
      </c>
      <c r="Q275" s="34">
        <f>IF(J275=1,'Specification &amp; Data'!B$52,IF(Simulation!J275=2,'Specification &amp; Data'!B$53,IF(Simulation!J275=3,'Specification &amp; Data'!B$54)))</f>
        <v>568.92541410528543</v>
      </c>
      <c r="R275" s="34">
        <f>(0.5*'Specification &amp; Data'!B$18*Simulation!F275^2)/1000</f>
        <v>7.5067678748947078</v>
      </c>
      <c r="T275" s="40">
        <f>P275*'Specification &amp; Data'!B$14*0.9</f>
        <v>107.34916108839978</v>
      </c>
      <c r="U275" s="40">
        <f>T275/(IF(J275=1,'Specification &amp; Data'!H$7,IF(Simulation!J275=2,'Specification &amp; Data'!H$8,IF(Simulation!J275=3,'Specification &amp; Data'!H$9))))</f>
        <v>6.4403976312213116</v>
      </c>
      <c r="V275" s="40">
        <f t="shared" si="116"/>
        <v>1.6493505780152976E-2</v>
      </c>
      <c r="W275" s="40">
        <f t="shared" si="117"/>
        <v>3.9035807722998035E-2</v>
      </c>
      <c r="X275" s="40">
        <f t="shared" si="104"/>
        <v>2.169950478389068</v>
      </c>
      <c r="Y275" s="40">
        <f t="shared" si="105"/>
        <v>2.908780802130118</v>
      </c>
      <c r="Z275" s="40">
        <f t="shared" si="118"/>
        <v>3217.4256747071549</v>
      </c>
      <c r="AA275" s="40">
        <f t="shared" si="119"/>
        <v>6</v>
      </c>
      <c r="AB275" s="40">
        <f t="shared" si="120"/>
        <v>3000</v>
      </c>
      <c r="AC275" s="40">
        <f t="shared" si="106"/>
        <v>6.0276402177474107E-4</v>
      </c>
      <c r="AD275" s="40">
        <f t="shared" si="121"/>
        <v>0.17464799630826397</v>
      </c>
      <c r="AE275" s="34">
        <f t="shared" si="122"/>
        <v>-792.91798772401978</v>
      </c>
      <c r="AF275" s="34">
        <f t="shared" si="123"/>
        <v>-2.169950478389068</v>
      </c>
      <c r="AG275" s="34">
        <f t="shared" si="107"/>
        <v>-2.908780802130118</v>
      </c>
      <c r="AH275" s="34">
        <f>INDEX('Specification &amp; Data'!E$24:R$46,MATCH(Simulation!AA275,'Specification &amp; Data'!D$24:D$46,0),MATCH(Simulation!AB275,'Specification &amp; Data'!E$47:R$47,0))</f>
        <v>635.8471195781251</v>
      </c>
      <c r="AI275" s="34">
        <f t="shared" si="108"/>
        <v>-6.0276402177474107E-4</v>
      </c>
      <c r="AJ275" s="34">
        <f t="shared" si="100"/>
        <v>0.3832657670307954</v>
      </c>
      <c r="AK275" s="34">
        <f t="shared" si="124"/>
        <v>89.346671143989184</v>
      </c>
      <c r="AL275" s="34">
        <v>2.3289729133329802</v>
      </c>
    </row>
    <row r="276" spans="3:38" x14ac:dyDescent="0.25">
      <c r="C276" s="34">
        <f t="shared" si="109"/>
        <v>274</v>
      </c>
      <c r="D276" s="34">
        <v>10</v>
      </c>
      <c r="E276" s="34">
        <f t="shared" si="101"/>
        <v>16.093413323558075</v>
      </c>
      <c r="F276" s="34">
        <f t="shared" si="110"/>
        <v>4.4703925898772425</v>
      </c>
      <c r="G276" s="37">
        <f t="shared" si="111"/>
        <v>1965.1398785841398</v>
      </c>
      <c r="H276" s="34">
        <f t="shared" si="112"/>
        <v>4.9174318488649664</v>
      </c>
      <c r="I276" s="34">
        <f t="shared" si="113"/>
        <v>-0.89407851797544957</v>
      </c>
      <c r="J276" s="34">
        <f t="shared" si="114"/>
        <v>1</v>
      </c>
      <c r="K276" s="34">
        <v>0</v>
      </c>
      <c r="L276" s="34">
        <f>('Specification &amp; Data'!B$22*'Specification &amp; Data'!B$10*'Specification &amp; Data'!B$20*(Simulation!F276^2-'Specification &amp; Data'!B$21^2))/2</f>
        <v>7.0573003562586658</v>
      </c>
      <c r="M276" s="34">
        <f t="shared" si="115"/>
        <v>-514.27989361264406</v>
      </c>
      <c r="N276" s="34">
        <f>'Specification &amp; Data'!B$24*'Specification &amp; Data'!B$18*8.91</f>
        <v>92.968722</v>
      </c>
      <c r="O276" s="34">
        <f t="shared" si="102"/>
        <v>-414.25387125638537</v>
      </c>
      <c r="P276" s="40">
        <f t="shared" si="103"/>
        <v>414.25387125638537</v>
      </c>
      <c r="Q276" s="34">
        <f>IF(J276=1,'Specification &amp; Data'!B$52,IF(Simulation!J276=2,'Specification &amp; Data'!B$53,IF(Simulation!J276=3,'Specification &amp; Data'!B$54)))</f>
        <v>575.20663260893332</v>
      </c>
      <c r="R276" s="34">
        <f>(0.5*'Specification &amp; Data'!B$18*Simulation!F276^2)/1000</f>
        <v>5.2130332464546569</v>
      </c>
      <c r="T276" s="40">
        <f>P276*'Specification &amp; Data'!B$14*0.9</f>
        <v>109.93660429496381</v>
      </c>
      <c r="U276" s="40">
        <f>T276/(IF(J276=1,'Specification &amp; Data'!H$7,IF(Simulation!J276=2,'Specification &amp; Data'!H$8,IF(Simulation!J276=3,'Specification &amp; Data'!H$9))))</f>
        <v>4.8367960064635689</v>
      </c>
      <c r="V276" s="40">
        <f t="shared" si="116"/>
        <v>1.6502269364379964E-2</v>
      </c>
      <c r="W276" s="40">
        <f t="shared" si="117"/>
        <v>3.9550218121995953E-2</v>
      </c>
      <c r="X276" s="40">
        <f t="shared" si="104"/>
        <v>1.8518774363925063</v>
      </c>
      <c r="Y276" s="40">
        <f t="shared" si="105"/>
        <v>2.4824094321615364</v>
      </c>
      <c r="Z276" s="40">
        <f t="shared" si="118"/>
        <v>3656.165539439949</v>
      </c>
      <c r="AA276" s="40">
        <f t="shared" si="119"/>
        <v>5</v>
      </c>
      <c r="AB276" s="40">
        <f t="shared" si="120"/>
        <v>3500</v>
      </c>
      <c r="AC276" s="40">
        <f t="shared" si="106"/>
        <v>5.1441039899791845E-4</v>
      </c>
      <c r="AD276" s="40">
        <f t="shared" si="121"/>
        <v>0.17516240670726188</v>
      </c>
      <c r="AE276" s="34">
        <f t="shared" si="122"/>
        <v>-814.06680226378296</v>
      </c>
      <c r="AF276" s="34">
        <f t="shared" si="123"/>
        <v>-1.8518774363925063</v>
      </c>
      <c r="AG276" s="34">
        <f t="shared" si="107"/>
        <v>-2.4824094321615364</v>
      </c>
      <c r="AH276" s="34">
        <f>INDEX('Specification &amp; Data'!E$24:R$46,MATCH(Simulation!AA276,'Specification &amp; Data'!D$24:D$46,0),MATCH(Simulation!AB276,'Specification &amp; Data'!E$47:R$47,0))</f>
        <v>688.78555200000017</v>
      </c>
      <c r="AI276" s="34">
        <f t="shared" si="108"/>
        <v>-5.1441039899791845E-4</v>
      </c>
      <c r="AJ276" s="34">
        <f t="shared" si="100"/>
        <v>0.35431845062832157</v>
      </c>
      <c r="AK276" s="34">
        <f t="shared" si="124"/>
        <v>89.700989594617511</v>
      </c>
      <c r="AL276" s="34">
        <v>2.3289729133329802</v>
      </c>
    </row>
    <row r="277" spans="3:38" x14ac:dyDescent="0.25">
      <c r="C277" s="34">
        <f t="shared" si="109"/>
        <v>275</v>
      </c>
      <c r="D277" s="34">
        <v>9.8000000000000007</v>
      </c>
      <c r="E277" s="34">
        <f t="shared" si="101"/>
        <v>15.771545057086914</v>
      </c>
      <c r="F277" s="34">
        <f t="shared" si="110"/>
        <v>4.3809847380796985</v>
      </c>
      <c r="G277" s="37">
        <f t="shared" si="111"/>
        <v>1969.5655672481182</v>
      </c>
      <c r="H277" s="34">
        <f t="shared" si="112"/>
        <v>4.4256886639784705</v>
      </c>
      <c r="I277" s="34">
        <f t="shared" si="113"/>
        <v>-8.9407851797544069E-2</v>
      </c>
      <c r="J277" s="34">
        <f t="shared" si="114"/>
        <v>1</v>
      </c>
      <c r="K277" s="34">
        <v>0</v>
      </c>
      <c r="L277" s="34">
        <f>('Specification &amp; Data'!B$22*'Specification &amp; Data'!B$10*'Specification &amp; Data'!B$20*(Simulation!F277^2-'Specification &amp; Data'!B$21^2))/2</f>
        <v>6.6852508444153269</v>
      </c>
      <c r="M277" s="34">
        <f t="shared" si="115"/>
        <v>-51.42798936126389</v>
      </c>
      <c r="N277" s="34">
        <f>'Specification &amp; Data'!B$24*'Specification &amp; Data'!B$18*8.91</f>
        <v>92.968722</v>
      </c>
      <c r="O277" s="34">
        <f t="shared" si="102"/>
        <v>48.225983483151438</v>
      </c>
      <c r="P277" s="40">
        <f t="shared" si="103"/>
        <v>48.225983483151438</v>
      </c>
      <c r="Q277" s="34">
        <f>IF(J277=1,'Specification &amp; Data'!B$52,IF(Simulation!J277=2,'Specification &amp; Data'!B$53,IF(Simulation!J277=3,'Specification &amp; Data'!B$54)))</f>
        <v>575.20663260893332</v>
      </c>
      <c r="R277" s="34">
        <f>(0.5*'Specification &amp; Data'!B$18*Simulation!F277^2)/1000</f>
        <v>5.006597129895054</v>
      </c>
      <c r="T277" s="40">
        <f>P277*'Specification &amp; Data'!B$14*0.9</f>
        <v>12.798434078220959</v>
      </c>
      <c r="U277" s="40">
        <f>T277/(IF(J277=1,'Specification &amp; Data'!H$7,IF(Simulation!J277=2,'Specification &amp; Data'!H$8,IF(Simulation!J277=3,'Specification &amp; Data'!H$9))))</f>
        <v>0.56308283519870528</v>
      </c>
      <c r="V277" s="40">
        <f t="shared" si="116"/>
        <v>1.651040491491319E-2</v>
      </c>
      <c r="W277" s="40">
        <f t="shared" si="117"/>
        <v>3.9608906260223335E-2</v>
      </c>
      <c r="X277" s="40">
        <f t="shared" si="104"/>
        <v>0.21127729761857006</v>
      </c>
      <c r="Y277" s="40">
        <f t="shared" si="105"/>
        <v>0.2832135356817293</v>
      </c>
      <c r="Z277" s="40">
        <f t="shared" si="118"/>
        <v>3583.0422286511498</v>
      </c>
      <c r="AA277" s="40">
        <f t="shared" si="119"/>
        <v>1</v>
      </c>
      <c r="AB277" s="40">
        <f t="shared" si="120"/>
        <v>3500</v>
      </c>
      <c r="AC277" s="40">
        <f t="shared" si="106"/>
        <v>5.8688138227380569E-5</v>
      </c>
      <c r="AD277" s="40">
        <f t="shared" si="121"/>
        <v>0.17522109484548926</v>
      </c>
      <c r="AE277" s="34">
        <f t="shared" si="122"/>
        <v>94.984236515091538</v>
      </c>
      <c r="AF277" s="34">
        <f t="shared" si="123"/>
        <v>0.21127729761857006</v>
      </c>
      <c r="AG277" s="34">
        <f t="shared" si="107"/>
        <v>0.2832135356817293</v>
      </c>
      <c r="AH277" s="34">
        <f>INDEX('Specification &amp; Data'!E$24:R$46,MATCH(Simulation!AA277,'Specification &amp; Data'!D$24:D$46,0),MATCH(Simulation!AB277,'Specification &amp; Data'!E$47:R$47,0))</f>
        <v>951.79202299999974</v>
      </c>
      <c r="AI277" s="34">
        <f t="shared" si="108"/>
        <v>5.8688138227380569E-5</v>
      </c>
      <c r="AJ277" s="34">
        <f t="shared" si="100"/>
        <v>5.5858901809542172E-2</v>
      </c>
      <c r="AK277" s="34">
        <f t="shared" si="124"/>
        <v>89.756848496427054</v>
      </c>
      <c r="AL277" s="34">
        <v>2.3289729133329802</v>
      </c>
    </row>
    <row r="278" spans="3:38" x14ac:dyDescent="0.25">
      <c r="C278" s="34">
        <f t="shared" si="109"/>
        <v>276</v>
      </c>
      <c r="D278" s="34">
        <v>0</v>
      </c>
      <c r="E278" s="34">
        <f t="shared" si="101"/>
        <v>0</v>
      </c>
      <c r="F278" s="34">
        <f t="shared" si="110"/>
        <v>0</v>
      </c>
      <c r="G278" s="37">
        <f t="shared" si="111"/>
        <v>1971.7560596171581</v>
      </c>
      <c r="H278" s="34">
        <f t="shared" si="112"/>
        <v>2.1904923690398492</v>
      </c>
      <c r="I278" s="34">
        <v>0</v>
      </c>
      <c r="J278" s="34">
        <v>0</v>
      </c>
      <c r="K278" s="34">
        <v>0</v>
      </c>
      <c r="L278" s="34">
        <v>0</v>
      </c>
      <c r="M278" s="34">
        <f t="shared" si="115"/>
        <v>0</v>
      </c>
      <c r="N278" s="34">
        <v>0</v>
      </c>
      <c r="O278" s="34">
        <f t="shared" si="102"/>
        <v>0</v>
      </c>
      <c r="P278" s="40">
        <f t="shared" si="103"/>
        <v>0</v>
      </c>
      <c r="Q278" s="34">
        <v>0</v>
      </c>
      <c r="R278" s="34">
        <f>(0.5*'Specification &amp; Data'!B$18*Simulation!F278^2)/1000</f>
        <v>0</v>
      </c>
      <c r="T278" s="40">
        <f>P278*'Specification &amp; Data'!B$14*0.9</f>
        <v>0</v>
      </c>
      <c r="U278" s="40">
        <v>0</v>
      </c>
      <c r="V278" s="40">
        <f t="shared" si="116"/>
        <v>1.651040491491319E-2</v>
      </c>
      <c r="W278" s="40">
        <f t="shared" si="117"/>
        <v>3.9608906260223335E-2</v>
      </c>
      <c r="X278" s="40">
        <f t="shared" si="104"/>
        <v>0</v>
      </c>
      <c r="Y278" s="40">
        <f t="shared" si="105"/>
        <v>0</v>
      </c>
      <c r="Z278" s="40">
        <v>0</v>
      </c>
      <c r="AA278" s="40">
        <f t="shared" si="119"/>
        <v>0</v>
      </c>
      <c r="AB278" s="40">
        <f t="shared" si="120"/>
        <v>0</v>
      </c>
      <c r="AC278" s="40">
        <f t="shared" si="106"/>
        <v>0</v>
      </c>
      <c r="AD278" s="40">
        <f t="shared" si="121"/>
        <v>0.17522109484548926</v>
      </c>
      <c r="AE278" s="34">
        <f t="shared" si="122"/>
        <v>0</v>
      </c>
      <c r="AF278" s="34">
        <f t="shared" si="123"/>
        <v>0</v>
      </c>
      <c r="AG278" s="34">
        <f t="shared" si="107"/>
        <v>0</v>
      </c>
      <c r="AH278" s="34">
        <v>0</v>
      </c>
      <c r="AI278" s="34">
        <f t="shared" si="108"/>
        <v>0</v>
      </c>
      <c r="AJ278" s="34">
        <f t="shared" si="100"/>
        <v>0</v>
      </c>
      <c r="AK278" s="34">
        <f t="shared" si="124"/>
        <v>89.756848496427054</v>
      </c>
      <c r="AL278" s="34">
        <v>2.3289729133329802</v>
      </c>
    </row>
    <row r="279" spans="3:38" x14ac:dyDescent="0.25">
      <c r="X279" s="40">
        <f>AVERAGE(X2:X271)</f>
        <v>2.2645977466101379</v>
      </c>
    </row>
  </sheetData>
  <pageMargins left="0.7" right="0.7" top="0.75" bottom="0.75" header="0.3" footer="0.3"/>
  <pageSetup paperSize="9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6"/>
  <sheetViews>
    <sheetView workbookViewId="0">
      <selection activeCell="C11" sqref="C11"/>
    </sheetView>
  </sheetViews>
  <sheetFormatPr defaultColWidth="9.109375" defaultRowHeight="13.8" x14ac:dyDescent="0.25"/>
  <cols>
    <col min="1" max="1" width="9.109375" style="1"/>
    <col min="2" max="2" width="37.109375" style="1" bestFit="1" customWidth="1"/>
    <col min="3" max="3" width="10.5546875" style="1" customWidth="1"/>
    <col min="4" max="16384" width="9.109375" style="1"/>
  </cols>
  <sheetData>
    <row r="3" spans="2:3" ht="14.4" x14ac:dyDescent="0.3">
      <c r="B3"/>
      <c r="C3"/>
    </row>
    <row r="4" spans="2:3" x14ac:dyDescent="0.25">
      <c r="B4" s="41" t="s">
        <v>146</v>
      </c>
      <c r="C4" s="45">
        <v>1.97</v>
      </c>
    </row>
    <row r="5" spans="2:3" x14ac:dyDescent="0.25">
      <c r="B5" s="41" t="s">
        <v>147</v>
      </c>
      <c r="C5" s="1">
        <f>C6/(1000*0.748)</f>
        <v>0.11999578675992921</v>
      </c>
    </row>
    <row r="6" spans="2:3" x14ac:dyDescent="0.25">
      <c r="B6" s="41" t="s">
        <v>148</v>
      </c>
      <c r="C6" s="1">
        <f>Simulation!AK278</f>
        <v>89.756848496427054</v>
      </c>
    </row>
    <row r="7" spans="2:3" x14ac:dyDescent="0.25">
      <c r="B7" s="41" t="s">
        <v>149</v>
      </c>
      <c r="C7" s="1">
        <f>C4/C5</f>
        <v>16.417243081553359</v>
      </c>
    </row>
    <row r="8" spans="2:3" x14ac:dyDescent="0.25">
      <c r="B8" s="41" t="s">
        <v>150</v>
      </c>
      <c r="C8" s="1">
        <f>MAX(Simulation!D2:D281)</f>
        <v>30</v>
      </c>
    </row>
    <row r="9" spans="2:3" x14ac:dyDescent="0.25">
      <c r="B9" s="41" t="s">
        <v>151</v>
      </c>
      <c r="C9" s="1">
        <f>MAX(Simulation!E2:E281)</f>
        <v>48.280239970674224</v>
      </c>
    </row>
    <row r="10" spans="2:3" x14ac:dyDescent="0.25">
      <c r="B10" s="41" t="s">
        <v>152</v>
      </c>
      <c r="C10" s="1">
        <f>AVERAGE(Simulation!E2:E281)</f>
        <v>25.625710522100231</v>
      </c>
    </row>
    <row r="11" spans="2:3" x14ac:dyDescent="0.25">
      <c r="B11" s="44" t="s">
        <v>153</v>
      </c>
      <c r="C11" s="50">
        <f>26/C5</f>
        <v>216.67427417278546</v>
      </c>
    </row>
    <row r="12" spans="2:3" x14ac:dyDescent="0.25">
      <c r="B12" s="41" t="s">
        <v>154</v>
      </c>
      <c r="C12" s="1">
        <f>SUM(Simulation!AC2:AC278)</f>
        <v>0.17522109484548926</v>
      </c>
    </row>
    <row r="13" spans="2:3" x14ac:dyDescent="0.25">
      <c r="B13" s="41" t="s">
        <v>155</v>
      </c>
      <c r="C13" s="1">
        <f>Simulation!V278</f>
        <v>1.651040491491319E-2</v>
      </c>
    </row>
    <row r="14" spans="2:3" x14ac:dyDescent="0.25">
      <c r="B14" s="41" t="s">
        <v>156</v>
      </c>
      <c r="C14" s="1">
        <f>Simulation!W278</f>
        <v>3.9608906260223335E-2</v>
      </c>
    </row>
    <row r="15" spans="2:3" x14ac:dyDescent="0.25">
      <c r="B15" s="41" t="s">
        <v>157</v>
      </c>
      <c r="C15" s="42">
        <f>C14/C12</f>
        <v>0.22605101454907953</v>
      </c>
    </row>
    <row r="16" spans="2:3" x14ac:dyDescent="0.25">
      <c r="B16" s="41" t="s">
        <v>158</v>
      </c>
      <c r="C16" s="43">
        <v>0.19166666666666665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Specification &amp; Data</vt:lpstr>
      <vt:lpstr>Simulation</vt:lpstr>
      <vt:lpstr>Results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Linux</dc:creator>
  <cp:keywords/>
  <dc:description/>
  <cp:lastModifiedBy>UWTSD</cp:lastModifiedBy>
  <cp:revision/>
  <dcterms:created xsi:type="dcterms:W3CDTF">2021-12-24T01:52:21Z</dcterms:created>
  <dcterms:modified xsi:type="dcterms:W3CDTF">2022-03-21T00:15:05Z</dcterms:modified>
  <cp:category/>
  <cp:contentStatus/>
</cp:coreProperties>
</file>