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Vehicle Dynamics\2nd assignment\"/>
    </mc:Choice>
  </mc:AlternateContent>
  <xr:revisionPtr revIDLastSave="0" documentId="13_ncr:1_{16211EA5-14F4-4853-A54B-49A9E205CE54}" xr6:coauthVersionLast="45" xr6:coauthVersionMax="45" xr10:uidLastSave="{00000000-0000-0000-0000-000000000000}"/>
  <bookViews>
    <workbookView xWindow="-108" yWindow="-108" windowWidth="23256" windowHeight="12576" xr2:uid="{5A698682-6724-425E-99C4-52C0956E642C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4" i="1" l="1"/>
  <c r="R22" i="1"/>
  <c r="R21" i="1"/>
  <c r="R20" i="1"/>
  <c r="R19" i="1"/>
  <c r="R18" i="1"/>
  <c r="C45" i="1"/>
  <c r="I19" i="1"/>
  <c r="N27" i="1"/>
  <c r="N19" i="1"/>
  <c r="S15" i="1" s="1"/>
  <c r="U17" i="1" s="1"/>
  <c r="U18" i="1" s="1"/>
  <c r="U19" i="1" s="1"/>
  <c r="U20" i="1" s="1"/>
  <c r="U21" i="1" s="1"/>
  <c r="U22" i="1" s="1"/>
  <c r="U24" i="1" s="1"/>
  <c r="N28" i="1"/>
  <c r="N20" i="1"/>
  <c r="N21" i="1" s="1"/>
  <c r="R17" i="1" l="1"/>
  <c r="N22" i="1"/>
  <c r="N23" i="1" s="1"/>
  <c r="N25" i="1" s="1"/>
  <c r="I20" i="1"/>
  <c r="I21" i="1" s="1"/>
  <c r="I22" i="1" s="1"/>
  <c r="I23" i="1" s="1"/>
  <c r="I25" i="1" s="1"/>
  <c r="N29" i="1" l="1"/>
  <c r="N30" i="1" s="1"/>
  <c r="N31" i="1" s="1"/>
  <c r="N33" i="1" s="1"/>
  <c r="M35" i="1" s="1"/>
  <c r="L6" i="1"/>
  <c r="D13" i="2"/>
  <c r="C20" i="2" s="1"/>
  <c r="E11" i="2"/>
  <c r="J12" i="2" s="1"/>
  <c r="D11" i="2"/>
  <c r="J10" i="2" s="1"/>
  <c r="L7" i="2"/>
  <c r="K7" i="2"/>
  <c r="J7" i="2"/>
  <c r="Q6" i="2"/>
  <c r="J13" i="2" l="1"/>
  <c r="M7" i="2"/>
  <c r="K10" i="2" s="1"/>
  <c r="T15" i="2" l="1"/>
  <c r="K11" i="2"/>
  <c r="K12" i="2"/>
  <c r="Q6" i="1"/>
  <c r="K13" i="2" l="1"/>
  <c r="T18" i="2" s="1"/>
  <c r="D13" i="1"/>
  <c r="C20" i="1" s="1"/>
  <c r="K6" i="1"/>
  <c r="J6" i="1"/>
  <c r="E11" i="1"/>
  <c r="J11" i="1" s="1"/>
  <c r="D11" i="1"/>
  <c r="J9" i="1" s="1"/>
  <c r="T14" i="2" l="1"/>
  <c r="T16" i="2"/>
  <c r="S6" i="2"/>
  <c r="M11" i="2"/>
  <c r="R6" i="2" s="1"/>
  <c r="N11" i="2"/>
  <c r="M6" i="1"/>
  <c r="K11" i="1" s="1"/>
  <c r="J12" i="1"/>
  <c r="K10" i="1" l="1"/>
  <c r="Z7" i="1"/>
  <c r="K9" i="1"/>
  <c r="K12" i="1" l="1"/>
  <c r="S6" i="1" s="1"/>
  <c r="M10" i="1" l="1"/>
  <c r="R6" i="1" s="1"/>
  <c r="Z10" i="1"/>
  <c r="N10" i="1"/>
  <c r="Z6" i="1"/>
  <c r="Z8" i="1"/>
</calcChain>
</file>

<file path=xl/sharedStrings.xml><?xml version="1.0" encoding="utf-8"?>
<sst xmlns="http://schemas.openxmlformats.org/spreadsheetml/2006/main" count="152" uniqueCount="93">
  <si>
    <t xml:space="preserve">Length </t>
  </si>
  <si>
    <t>Width</t>
  </si>
  <si>
    <t>Height</t>
  </si>
  <si>
    <t>Wheelbase</t>
  </si>
  <si>
    <t xml:space="preserve">Front track </t>
  </si>
  <si>
    <t xml:space="preserve">Rear track </t>
  </si>
  <si>
    <t>Mass</t>
  </si>
  <si>
    <t xml:space="preserve">Weight Dis </t>
  </si>
  <si>
    <t>Front</t>
  </si>
  <si>
    <t>rear</t>
  </si>
  <si>
    <t>Tyres (20")</t>
  </si>
  <si>
    <t xml:space="preserve">Dynamic Index </t>
  </si>
  <si>
    <t>M1</t>
  </si>
  <si>
    <t>M2</t>
  </si>
  <si>
    <t xml:space="preserve">M3 </t>
  </si>
  <si>
    <t xml:space="preserve">C of G  (mm) </t>
  </si>
  <si>
    <t>Kg</t>
  </si>
  <si>
    <t>F</t>
  </si>
  <si>
    <t xml:space="preserve">M total </t>
  </si>
  <si>
    <t xml:space="preserve">Rot Ineria </t>
  </si>
  <si>
    <t>DI</t>
  </si>
  <si>
    <t xml:space="preserve">Fuel tank cap (L) </t>
  </si>
  <si>
    <t xml:space="preserve">Rollin coeff (Normal road) </t>
  </si>
  <si>
    <t xml:space="preserve">Tractive effort </t>
  </si>
  <si>
    <t xml:space="preserve">Gravity </t>
  </si>
  <si>
    <t xml:space="preserve">Rolling risistance </t>
  </si>
  <si>
    <t xml:space="preserve">Areo drag </t>
  </si>
  <si>
    <t xml:space="preserve"> 2) Base vehicle data.</t>
  </si>
  <si>
    <t>3) An explanation of generic torque vectoring systems</t>
  </si>
  <si>
    <t>4) A lumped mass model of the vehicle</t>
  </si>
  <si>
    <t>5) Calculation of the longitudinal C of G position</t>
  </si>
  <si>
    <t>6) Calculation of the vehicle’s moment of inertia (about Z-Z axis)</t>
  </si>
  <si>
    <t>7) Establish the position of the inertial conjugate</t>
  </si>
  <si>
    <t>8) Establish the ‘dynamic index’ of the vehicle</t>
  </si>
  <si>
    <t>9) Comment on the base vehicle specification</t>
  </si>
  <si>
    <t>10) Identify the mechanical torque path to the front wheels and comment on your findings</t>
  </si>
  <si>
    <t>1) An abstract of the report</t>
  </si>
  <si>
    <t>11) Calculate the clutch pack(s) torque capacity, approximate sizings, axial force application values and power loss characteristics.</t>
  </si>
  <si>
    <t>12) Calculate potential longitudinal acceleration improvements on a variety of surfaces.</t>
  </si>
  <si>
    <t>13) Establish the potential yaw rate increase that the system could generate and relate this to handwheel position</t>
  </si>
  <si>
    <t xml:space="preserve"> - on power and off power,</t>
  </si>
  <si>
    <t xml:space="preserve"> - straight line and cornering</t>
  </si>
  <si>
    <t xml:space="preserve"> How the AWD system will inter-react with other vehicle dynamic control systems</t>
  </si>
  <si>
    <t xml:space="preserve">14) Discuss possible control algorithms, sensors required and potential vehicle dynamic improvements, consider: </t>
  </si>
  <si>
    <t>Inertial Conj</t>
  </si>
  <si>
    <t>K</t>
  </si>
  <si>
    <t>C</t>
  </si>
  <si>
    <t>x @ Cof G</t>
  </si>
  <si>
    <t xml:space="preserve">Middle </t>
  </si>
  <si>
    <t xml:space="preserve">Rear </t>
  </si>
  <si>
    <t xml:space="preserve">x  </t>
  </si>
  <si>
    <t xml:space="preserve">x </t>
  </si>
  <si>
    <t>From front of vehicle (m)</t>
  </si>
  <si>
    <t>C= K^2 / ab</t>
  </si>
  <si>
    <t>Driver L-F^2</t>
  </si>
  <si>
    <t>Rear</t>
  </si>
  <si>
    <t xml:space="preserve">Cof G to In Conj </t>
  </si>
  <si>
    <t>MK^2/M*(Axb)</t>
  </si>
  <si>
    <t xml:space="preserve">Empty Vehicle </t>
  </si>
  <si>
    <t xml:space="preserve">With driver </t>
  </si>
  <si>
    <t xml:space="preserve">Driver and fuel </t>
  </si>
  <si>
    <t xml:space="preserve">Radius of Gyration </t>
  </si>
  <si>
    <t>Rolling risistance (N)</t>
  </si>
  <si>
    <t xml:space="preserve">Rollin coeff (Tarmac) </t>
  </si>
  <si>
    <t xml:space="preserve">Final Drive </t>
  </si>
  <si>
    <t>Effiencey %</t>
  </si>
  <si>
    <t>Gear Ratios  :1</t>
  </si>
  <si>
    <t>Engine RPM</t>
  </si>
  <si>
    <t>Engine torque with 97% Eff</t>
  </si>
  <si>
    <t xml:space="preserve">Gearbox torque </t>
  </si>
  <si>
    <t xml:space="preserve">Diff Torque </t>
  </si>
  <si>
    <t xml:space="preserve">Wheel torque </t>
  </si>
  <si>
    <t xml:space="preserve">50% SPLIT (Straight line) </t>
  </si>
  <si>
    <t>Full power to Rear wheels 1st gear 6000Rpm</t>
  </si>
  <si>
    <t xml:space="preserve">Force at wheel (N) </t>
  </si>
  <si>
    <t xml:space="preserve">Diff torque </t>
  </si>
  <si>
    <t xml:space="preserve">Accel </t>
  </si>
  <si>
    <t>M/s</t>
  </si>
  <si>
    <t xml:space="preserve">Total Accel </t>
  </si>
  <si>
    <t>Full power 80% Rear 20% Front wheels 1st gear 6000Rpm</t>
  </si>
  <si>
    <t xml:space="preserve">Ang Vel </t>
  </si>
  <si>
    <t>20% Pwr to front</t>
  </si>
  <si>
    <t xml:space="preserve">50% split to each clutch pack </t>
  </si>
  <si>
    <t xml:space="preserve">15% slip </t>
  </si>
  <si>
    <t>Force at wheel (Watts)</t>
  </si>
  <si>
    <t>Force at wheel (N)</t>
  </si>
  <si>
    <t>Accel (m/s)</t>
  </si>
  <si>
    <t>PTU Gearbox 1st Gear (Watts)</t>
  </si>
  <si>
    <t xml:space="preserve">Force at wheel (watts) </t>
  </si>
  <si>
    <t>Engine power 97% eff</t>
  </si>
  <si>
    <t>Gearbox (Watts)</t>
  </si>
  <si>
    <t xml:space="preserve">Differental (Watts)  </t>
  </si>
  <si>
    <t xml:space="preserve">80% pwr to  Rear (Watts)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</si>
</sst>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Border="1"/>
    <xf numFmtId="0" fontId="0" fillId="3" borderId="0" xfId="0" applyFill="1" applyBorder="1"/>
    <xf numFmtId="0" fontId="0" fillId="0" borderId="0" xfId="0" applyFill="1" applyBorder="1"/>
    <xf numFmtId="164" fontId="0" fillId="0" borderId="0" xfId="0" applyNumberFormat="1"/>
    <xf numFmtId="2" fontId="0" fillId="0" borderId="1" xfId="0" applyNumberFormat="1" applyBorder="1"/>
    <xf numFmtId="2" fontId="0" fillId="0" borderId="7" xfId="0" applyNumberFormat="1" applyBorder="1"/>
    <xf numFmtId="2" fontId="0" fillId="0" borderId="5" xfId="0" applyNumberFormat="1" applyBorder="1"/>
    <xf numFmtId="2" fontId="0" fillId="0" borderId="0" xfId="0" applyNumberFormat="1"/>
    <xf numFmtId="2" fontId="0" fillId="0" borderId="2" xfId="0" applyNumberFormat="1" applyBorder="1"/>
    <xf numFmtId="2" fontId="0" fillId="0" borderId="3" xfId="0" applyNumberFormat="1" applyBorder="1"/>
    <xf numFmtId="2" fontId="0" fillId="0" borderId="0" xfId="0" applyNumberFormat="1" applyBorder="1"/>
    <xf numFmtId="2" fontId="0" fillId="0" borderId="4" xfId="0" applyNumberFormat="1" applyBorder="1"/>
    <xf numFmtId="2" fontId="0" fillId="0" borderId="6" xfId="0" applyNumberFormat="1" applyBorder="1"/>
    <xf numFmtId="2" fontId="0" fillId="2" borderId="0" xfId="0" applyNumberFormat="1" applyFill="1"/>
    <xf numFmtId="0" fontId="0" fillId="0" borderId="0" xfId="0" applyFill="1"/>
    <xf numFmtId="2" fontId="0" fillId="0" borderId="0" xfId="0" applyNumberFormat="1" applyFill="1"/>
    <xf numFmtId="2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/>
    <xf numFmtId="2" fontId="0" fillId="0" borderId="0" xfId="0" applyNumberFormat="1" applyFill="1" applyAlignment="1">
      <alignment horizontal="center"/>
    </xf>
    <xf numFmtId="2" fontId="0" fillId="2" borderId="0" xfId="0" applyNumberFormat="1" applyFill="1" applyBorder="1" applyAlignment="1">
      <alignment horizontal="center"/>
    </xf>
    <xf numFmtId="2" fontId="0" fillId="2" borderId="0" xfId="0" applyNumberFormat="1" applyFill="1" applyAlignment="1">
      <alignment horizontal="center"/>
    </xf>
    <xf numFmtId="0" fontId="0" fillId="4" borderId="0" xfId="0" applyFill="1" applyBorder="1"/>
    <xf numFmtId="2" fontId="0" fillId="2" borderId="0" xfId="0" applyNumberFormat="1" applyFill="1" applyAlignment="1">
      <alignment horizontal="center"/>
    </xf>
    <xf numFmtId="2" fontId="0" fillId="2" borderId="10" xfId="0" applyNumberFormat="1" applyFill="1" applyBorder="1" applyAlignment="1">
      <alignment horizontal="center"/>
    </xf>
    <xf numFmtId="2" fontId="0" fillId="0" borderId="11" xfId="0" applyNumberFormat="1" applyBorder="1"/>
    <xf numFmtId="2" fontId="0" fillId="0" borderId="12" xfId="0" applyNumberFormat="1" applyBorder="1"/>
    <xf numFmtId="2" fontId="0" fillId="0" borderId="18" xfId="0" applyNumberFormat="1" applyBorder="1"/>
    <xf numFmtId="2" fontId="0" fillId="0" borderId="13" xfId="0" applyNumberFormat="1" applyBorder="1"/>
    <xf numFmtId="2" fontId="0" fillId="0" borderId="14" xfId="0" applyNumberFormat="1" applyBorder="1"/>
    <xf numFmtId="2" fontId="0" fillId="0" borderId="15" xfId="0" applyNumberFormat="1" applyBorder="1"/>
    <xf numFmtId="2" fontId="0" fillId="0" borderId="8" xfId="0" applyNumberFormat="1" applyBorder="1"/>
    <xf numFmtId="2" fontId="0" fillId="0" borderId="9" xfId="0" applyNumberFormat="1" applyBorder="1"/>
    <xf numFmtId="2" fontId="0" fillId="2" borderId="11" xfId="0" applyNumberFormat="1" applyFill="1" applyBorder="1"/>
    <xf numFmtId="2" fontId="0" fillId="2" borderId="0" xfId="0" applyNumberFormat="1" applyFill="1" applyBorder="1"/>
    <xf numFmtId="2" fontId="0" fillId="0" borderId="11" xfId="0" applyNumberFormat="1" applyFill="1" applyBorder="1" applyAlignment="1">
      <alignment horizontal="center"/>
    </xf>
    <xf numFmtId="2" fontId="0" fillId="0" borderId="11" xfId="0" applyNumberFormat="1" applyFill="1" applyBorder="1"/>
    <xf numFmtId="2" fontId="0" fillId="0" borderId="13" xfId="0" applyNumberFormat="1" applyFill="1" applyBorder="1"/>
    <xf numFmtId="0" fontId="0" fillId="5" borderId="19" xfId="0" applyFill="1" applyBorder="1"/>
    <xf numFmtId="0" fontId="0" fillId="5" borderId="20" xfId="0" applyFill="1" applyBorder="1"/>
    <xf numFmtId="0" fontId="0" fillId="5" borderId="16" xfId="0" applyFill="1" applyBorder="1"/>
    <xf numFmtId="2" fontId="1" fillId="0" borderId="0" xfId="0" applyNumberFormat="1" applyFont="1" applyBorder="1" applyAlignment="1"/>
    <xf numFmtId="2" fontId="0" fillId="0" borderId="0" xfId="0" applyNumberFormat="1" applyBorder="1" applyAlignment="1"/>
    <xf numFmtId="2" fontId="0" fillId="6" borderId="8" xfId="0" applyNumberFormat="1" applyFill="1" applyBorder="1"/>
    <xf numFmtId="2" fontId="0" fillId="6" borderId="9" xfId="0" applyNumberFormat="1" applyFill="1" applyBorder="1"/>
    <xf numFmtId="2" fontId="0" fillId="6" borderId="10" xfId="0" applyNumberFormat="1" applyFill="1" applyBorder="1"/>
    <xf numFmtId="2" fontId="0" fillId="0" borderId="12" xfId="0" applyNumberFormat="1" applyFill="1" applyBorder="1"/>
    <xf numFmtId="2" fontId="0" fillId="0" borderId="10" xfId="0" applyNumberFormat="1" applyBorder="1"/>
    <xf numFmtId="2" fontId="0" fillId="5" borderId="17" xfId="0" applyNumberFormat="1" applyFill="1" applyBorder="1"/>
    <xf numFmtId="2" fontId="0" fillId="5" borderId="22" xfId="0" applyNumberFormat="1" applyFill="1" applyBorder="1"/>
    <xf numFmtId="2" fontId="0" fillId="5" borderId="1" xfId="0" applyNumberFormat="1" applyFill="1" applyBorder="1"/>
    <xf numFmtId="2" fontId="0" fillId="5" borderId="23" xfId="0" applyNumberFormat="1" applyFill="1" applyBorder="1"/>
    <xf numFmtId="2" fontId="0" fillId="0" borderId="11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5" borderId="21" xfId="0" applyNumberFormat="1" applyFill="1" applyBorder="1"/>
    <xf numFmtId="2" fontId="0" fillId="5" borderId="24" xfId="0" applyNumberFormat="1" applyFill="1" applyBorder="1"/>
    <xf numFmtId="2" fontId="0" fillId="7" borderId="16" xfId="0" applyNumberFormat="1" applyFill="1" applyBorder="1"/>
    <xf numFmtId="2" fontId="0" fillId="7" borderId="17" xfId="0" applyNumberFormat="1" applyFill="1" applyBorder="1"/>
    <xf numFmtId="0" fontId="0" fillId="7" borderId="17" xfId="0" applyFill="1" applyBorder="1"/>
    <xf numFmtId="0" fontId="0" fillId="7" borderId="22" xfId="0" applyFill="1" applyBorder="1"/>
    <xf numFmtId="2" fontId="0" fillId="7" borderId="19" xfId="0" applyNumberFormat="1" applyFill="1" applyBorder="1"/>
    <xf numFmtId="0" fontId="0" fillId="7" borderId="1" xfId="0" applyFill="1" applyBorder="1"/>
    <xf numFmtId="2" fontId="0" fillId="7" borderId="1" xfId="0" applyNumberFormat="1" applyFill="1" applyBorder="1"/>
    <xf numFmtId="0" fontId="0" fillId="7" borderId="23" xfId="0" applyFill="1" applyBorder="1"/>
    <xf numFmtId="2" fontId="0" fillId="7" borderId="23" xfId="0" applyNumberFormat="1" applyFill="1" applyBorder="1"/>
    <xf numFmtId="0" fontId="0" fillId="7" borderId="19" xfId="0" applyFill="1" applyBorder="1"/>
    <xf numFmtId="2" fontId="0" fillId="7" borderId="19" xfId="0" applyNumberFormat="1" applyFill="1" applyBorder="1" applyAlignment="1"/>
    <xf numFmtId="2" fontId="0" fillId="7" borderId="1" xfId="0" applyNumberFormat="1" applyFill="1" applyBorder="1" applyAlignment="1"/>
    <xf numFmtId="2" fontId="0" fillId="7" borderId="1" xfId="0" applyNumberFormat="1" applyFill="1" applyBorder="1" applyAlignment="1">
      <alignment horizontal="center"/>
    </xf>
    <xf numFmtId="0" fontId="0" fillId="7" borderId="0" xfId="0" applyFill="1"/>
    <xf numFmtId="2" fontId="0" fillId="7" borderId="20" xfId="0" applyNumberFormat="1" applyFill="1" applyBorder="1"/>
    <xf numFmtId="2" fontId="0" fillId="7" borderId="21" xfId="0" applyNumberFormat="1" applyFill="1" applyBorder="1"/>
    <xf numFmtId="2" fontId="0" fillId="7" borderId="24" xfId="0" applyNumberFormat="1" applyFill="1" applyBorder="1"/>
    <xf numFmtId="2" fontId="0" fillId="8" borderId="19" xfId="0" applyNumberFormat="1" applyFill="1" applyBorder="1"/>
    <xf numFmtId="2" fontId="0" fillId="8" borderId="1" xfId="0" applyNumberFormat="1" applyFill="1" applyBorder="1"/>
    <xf numFmtId="2" fontId="0" fillId="0" borderId="11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2" borderId="16" xfId="0" applyNumberFormat="1" applyFill="1" applyBorder="1" applyAlignment="1">
      <alignment horizontal="center"/>
    </xf>
    <xf numFmtId="2" fontId="0" fillId="2" borderId="17" xfId="0" applyNumberFormat="1" applyFill="1" applyBorder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2" borderId="8" xfId="0" applyNumberFormat="1" applyFill="1" applyBorder="1" applyAlignment="1">
      <alignment horizontal="center"/>
    </xf>
    <xf numFmtId="2" fontId="0" fillId="2" borderId="9" xfId="0" applyNumberFormat="1" applyFill="1" applyBorder="1" applyAlignment="1">
      <alignment horizontal="center"/>
    </xf>
    <xf numFmtId="2" fontId="0" fillId="2" borderId="10" xfId="0" applyNumberFormat="1" applyFill="1" applyBorder="1" applyAlignment="1">
      <alignment horizontal="center"/>
    </xf>
    <xf numFmtId="2" fontId="0" fillId="6" borderId="8" xfId="0" applyNumberFormat="1" applyFill="1" applyBorder="1" applyAlignment="1">
      <alignment horizontal="center"/>
    </xf>
    <xf numFmtId="2" fontId="0" fillId="6" borderId="9" xfId="0" applyNumberFormat="1" applyFill="1" applyBorder="1" applyAlignment="1">
      <alignment horizontal="center"/>
    </xf>
    <xf numFmtId="2" fontId="0" fillId="6" borderId="10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364068</xdr:colOff>
      <xdr:row>26</xdr:row>
      <xdr:rowOff>211666</xdr:rowOff>
    </xdr:from>
    <xdr:to>
      <xdr:col>33</xdr:col>
      <xdr:colOff>186268</xdr:colOff>
      <xdr:row>46</xdr:row>
      <xdr:rowOff>177799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4485F87-1669-4BD5-8C11-42B70CE22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79468" y="5130799"/>
          <a:ext cx="6350000" cy="3801533"/>
        </a:xfrm>
        <a:prstGeom prst="rect">
          <a:avLst/>
        </a:prstGeom>
        <a:ln>
          <a:solidFill>
            <a:schemeClr val="tx1"/>
          </a:solidFill>
        </a:ln>
        <a:effectLst>
          <a:softEdge rad="0"/>
        </a:effectLst>
      </xdr:spPr>
    </xdr:pic>
    <xdr:clientData/>
  </xdr:twoCellAnchor>
  <xdr:twoCellAnchor>
    <xdr:from>
      <xdr:col>28</xdr:col>
      <xdr:colOff>338667</xdr:colOff>
      <xdr:row>24</xdr:row>
      <xdr:rowOff>50801</xdr:rowOff>
    </xdr:from>
    <xdr:to>
      <xdr:col>30</xdr:col>
      <xdr:colOff>321732</xdr:colOff>
      <xdr:row>26</xdr:row>
      <xdr:rowOff>101602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C8EF448-94DF-4584-A871-0355DAB387F9}"/>
            </a:ext>
          </a:extLst>
        </xdr:cNvPr>
        <xdr:cNvSpPr txBox="1"/>
      </xdr:nvSpPr>
      <xdr:spPr>
        <a:xfrm>
          <a:off x="22038734" y="4572001"/>
          <a:ext cx="1202265" cy="440268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53%  x 1880kg</a:t>
          </a:r>
          <a:br>
            <a:rPr lang="en-GB" sz="1100"/>
          </a:br>
          <a:r>
            <a:rPr lang="en-GB" sz="1100"/>
            <a:t>=</a:t>
          </a:r>
          <a:r>
            <a:rPr lang="en-GB" sz="1100" baseline="0"/>
            <a:t> M3 = 996.4KG</a:t>
          </a:r>
          <a:br>
            <a:rPr lang="en-GB" sz="1100"/>
          </a:br>
          <a:endParaRPr lang="en-GB" sz="1100"/>
        </a:p>
      </xdr:txBody>
    </xdr:sp>
    <xdr:clientData/>
  </xdr:twoCellAnchor>
  <xdr:twoCellAnchor>
    <xdr:from>
      <xdr:col>17</xdr:col>
      <xdr:colOff>296334</xdr:colOff>
      <xdr:row>42</xdr:row>
      <xdr:rowOff>67734</xdr:rowOff>
    </xdr:from>
    <xdr:to>
      <xdr:col>19</xdr:col>
      <xdr:colOff>67733</xdr:colOff>
      <xdr:row>45</xdr:row>
      <xdr:rowOff>25400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03DA333-E5BB-4688-B390-E055B386630C}"/>
            </a:ext>
          </a:extLst>
        </xdr:cNvPr>
        <xdr:cNvSpPr txBox="1"/>
      </xdr:nvSpPr>
      <xdr:spPr>
        <a:xfrm>
          <a:off x="13241867" y="8009467"/>
          <a:ext cx="1515533" cy="5164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GB" sz="1100"/>
        </a:p>
      </xdr:txBody>
    </xdr:sp>
    <xdr:clientData/>
  </xdr:twoCellAnchor>
  <xdr:twoCellAnchor>
    <xdr:from>
      <xdr:col>24</xdr:col>
      <xdr:colOff>592665</xdr:colOff>
      <xdr:row>40</xdr:row>
      <xdr:rowOff>67735</xdr:rowOff>
    </xdr:from>
    <xdr:to>
      <xdr:col>26</xdr:col>
      <xdr:colOff>397933</xdr:colOff>
      <xdr:row>42</xdr:row>
      <xdr:rowOff>160867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57436F5-6C44-42FF-87FA-0D547B628A8C}"/>
            </a:ext>
          </a:extLst>
        </xdr:cNvPr>
        <xdr:cNvSpPr txBox="1"/>
      </xdr:nvSpPr>
      <xdr:spPr>
        <a:xfrm>
          <a:off x="22961598" y="7704668"/>
          <a:ext cx="1312335" cy="465666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47%  x 1880kg</a:t>
          </a:r>
          <a:br>
            <a:rPr lang="en-GB" sz="1100"/>
          </a:br>
          <a:r>
            <a:rPr lang="en-GB" sz="1100"/>
            <a:t>=</a:t>
          </a:r>
          <a:r>
            <a:rPr lang="en-GB" sz="1100" baseline="0"/>
            <a:t> M1 = 883.6KG</a:t>
          </a:r>
          <a:br>
            <a:rPr lang="en-GB" sz="1100"/>
          </a:br>
          <a:endParaRPr lang="en-GB" sz="1100"/>
        </a:p>
      </xdr:txBody>
    </xdr:sp>
    <xdr:clientData/>
  </xdr:twoCellAnchor>
  <xdr:twoCellAnchor>
    <xdr:from>
      <xdr:col>22</xdr:col>
      <xdr:colOff>338665</xdr:colOff>
      <xdr:row>36</xdr:row>
      <xdr:rowOff>8468</xdr:rowOff>
    </xdr:from>
    <xdr:to>
      <xdr:col>23</xdr:col>
      <xdr:colOff>634999</xdr:colOff>
      <xdr:row>37</xdr:row>
      <xdr:rowOff>152401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5B0BD7F-499B-4F8B-8734-A784A4F18BF0}"/>
            </a:ext>
          </a:extLst>
        </xdr:cNvPr>
        <xdr:cNvSpPr txBox="1"/>
      </xdr:nvSpPr>
      <xdr:spPr>
        <a:xfrm>
          <a:off x="18414998" y="6883401"/>
          <a:ext cx="1049868" cy="338667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M2 = 100kg</a:t>
          </a:r>
        </a:p>
      </xdr:txBody>
    </xdr:sp>
    <xdr:clientData/>
  </xdr:twoCellAnchor>
  <xdr:twoCellAnchor>
    <xdr:from>
      <xdr:col>24</xdr:col>
      <xdr:colOff>101599</xdr:colOff>
      <xdr:row>21</xdr:row>
      <xdr:rowOff>50800</xdr:rowOff>
    </xdr:from>
    <xdr:to>
      <xdr:col>24</xdr:col>
      <xdr:colOff>609600</xdr:colOff>
      <xdr:row>22</xdr:row>
      <xdr:rowOff>118533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76D3EBBD-2CFD-47CF-8691-3801FE1C03AA}"/>
            </a:ext>
          </a:extLst>
        </xdr:cNvPr>
        <xdr:cNvSpPr txBox="1"/>
      </xdr:nvSpPr>
      <xdr:spPr>
        <a:xfrm>
          <a:off x="18931466" y="4013200"/>
          <a:ext cx="508001" cy="25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PTU</a:t>
          </a:r>
          <a:r>
            <a:rPr lang="en-GB" sz="1100" baseline="0"/>
            <a:t> </a:t>
          </a:r>
          <a:endParaRPr lang="en-GB" sz="1100"/>
        </a:p>
      </xdr:txBody>
    </xdr:sp>
    <xdr:clientData/>
  </xdr:twoCellAnchor>
  <xdr:twoCellAnchor>
    <xdr:from>
      <xdr:col>25</xdr:col>
      <xdr:colOff>592668</xdr:colOff>
      <xdr:row>21</xdr:row>
      <xdr:rowOff>110068</xdr:rowOff>
    </xdr:from>
    <xdr:to>
      <xdr:col>26</xdr:col>
      <xdr:colOff>474134</xdr:colOff>
      <xdr:row>23</xdr:row>
      <xdr:rowOff>16934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5D511C5-8BC1-4845-B140-EDCA8C8215C1}"/>
            </a:ext>
          </a:extLst>
        </xdr:cNvPr>
        <xdr:cNvSpPr txBox="1"/>
      </xdr:nvSpPr>
      <xdr:spPr>
        <a:xfrm>
          <a:off x="20176068" y="4072468"/>
          <a:ext cx="634999" cy="2793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Engine</a:t>
          </a:r>
        </a:p>
      </xdr:txBody>
    </xdr:sp>
    <xdr:clientData/>
  </xdr:twoCellAnchor>
  <xdr:twoCellAnchor>
    <xdr:from>
      <xdr:col>21</xdr:col>
      <xdr:colOff>1295399</xdr:colOff>
      <xdr:row>22</xdr:row>
      <xdr:rowOff>135467</xdr:rowOff>
    </xdr:from>
    <xdr:to>
      <xdr:col>23</xdr:col>
      <xdr:colOff>16934</xdr:colOff>
      <xdr:row>24</xdr:row>
      <xdr:rowOff>16933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34C4E71F-C63C-48C2-AEC9-06F34F93E856}"/>
            </a:ext>
          </a:extLst>
        </xdr:cNvPr>
        <xdr:cNvSpPr txBox="1"/>
      </xdr:nvSpPr>
      <xdr:spPr>
        <a:xfrm>
          <a:off x="17128066" y="4284134"/>
          <a:ext cx="965201" cy="2539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Rear Gearbox</a:t>
          </a:r>
        </a:p>
      </xdr:txBody>
    </xdr:sp>
    <xdr:clientData/>
  </xdr:twoCellAnchor>
  <xdr:twoCellAnchor>
    <xdr:from>
      <xdr:col>23</xdr:col>
      <xdr:colOff>76198</xdr:colOff>
      <xdr:row>22</xdr:row>
      <xdr:rowOff>16932</xdr:rowOff>
    </xdr:from>
    <xdr:to>
      <xdr:col>24</xdr:col>
      <xdr:colOff>313266</xdr:colOff>
      <xdr:row>23</xdr:row>
      <xdr:rowOff>67733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C89A3C1A-3388-4D8B-A046-766B481D7E31}"/>
            </a:ext>
          </a:extLst>
        </xdr:cNvPr>
        <xdr:cNvSpPr txBox="1"/>
      </xdr:nvSpPr>
      <xdr:spPr>
        <a:xfrm>
          <a:off x="18152531" y="4165599"/>
          <a:ext cx="990602" cy="2370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Fuel</a:t>
          </a:r>
          <a:r>
            <a:rPr lang="en-GB" sz="1100" baseline="0"/>
            <a:t> tank 91L </a:t>
          </a:r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110066</xdr:colOff>
      <xdr:row>22</xdr:row>
      <xdr:rowOff>93133</xdr:rowOff>
    </xdr:from>
    <xdr:to>
      <xdr:col>20</xdr:col>
      <xdr:colOff>618067</xdr:colOff>
      <xdr:row>23</xdr:row>
      <xdr:rowOff>160867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4F7D130-FBEA-44AA-AE88-D4DC1D3B096D}"/>
            </a:ext>
          </a:extLst>
        </xdr:cNvPr>
        <xdr:cNvSpPr txBox="1"/>
      </xdr:nvSpPr>
      <xdr:spPr>
        <a:xfrm>
          <a:off x="15952046" y="4116493"/>
          <a:ext cx="508001" cy="2506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PTU</a:t>
          </a:r>
          <a:r>
            <a:rPr lang="en-GB" sz="1100" baseline="0"/>
            <a:t> </a:t>
          </a:r>
          <a:endParaRPr lang="en-GB" sz="1100"/>
        </a:p>
      </xdr:txBody>
    </xdr:sp>
    <xdr:clientData/>
  </xdr:twoCellAnchor>
  <xdr:twoCellAnchor>
    <xdr:from>
      <xdr:col>18</xdr:col>
      <xdr:colOff>76201</xdr:colOff>
      <xdr:row>22</xdr:row>
      <xdr:rowOff>25401</xdr:rowOff>
    </xdr:from>
    <xdr:to>
      <xdr:col>18</xdr:col>
      <xdr:colOff>651934</xdr:colOff>
      <xdr:row>23</xdr:row>
      <xdr:rowOff>135467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D6B300FA-F056-4608-8268-E51963D02A11}"/>
            </a:ext>
          </a:extLst>
        </xdr:cNvPr>
        <xdr:cNvSpPr txBox="1"/>
      </xdr:nvSpPr>
      <xdr:spPr>
        <a:xfrm>
          <a:off x="14409421" y="4048761"/>
          <a:ext cx="575733" cy="29294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Engine</a:t>
          </a:r>
        </a:p>
      </xdr:txBody>
    </xdr:sp>
    <xdr:clientData/>
  </xdr:twoCellAnchor>
  <xdr:twoCellAnchor>
    <xdr:from>
      <xdr:col>14</xdr:col>
      <xdr:colOff>270933</xdr:colOff>
      <xdr:row>22</xdr:row>
      <xdr:rowOff>135467</xdr:rowOff>
    </xdr:from>
    <xdr:to>
      <xdr:col>15</xdr:col>
      <xdr:colOff>414867</xdr:colOff>
      <xdr:row>24</xdr:row>
      <xdr:rowOff>8467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4D54129-E8A4-4ACD-821F-D3BB96919B6A}"/>
            </a:ext>
          </a:extLst>
        </xdr:cNvPr>
        <xdr:cNvSpPr txBox="1"/>
      </xdr:nvSpPr>
      <xdr:spPr>
        <a:xfrm>
          <a:off x="11144673" y="4158827"/>
          <a:ext cx="966894" cy="2387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Rear Gearbox</a:t>
          </a:r>
        </a:p>
      </xdr:txBody>
    </xdr:sp>
    <xdr:clientData/>
  </xdr:twoCellAnchor>
  <xdr:twoCellAnchor>
    <xdr:from>
      <xdr:col>16</xdr:col>
      <xdr:colOff>59264</xdr:colOff>
      <xdr:row>22</xdr:row>
      <xdr:rowOff>16932</xdr:rowOff>
    </xdr:from>
    <xdr:to>
      <xdr:col>17</xdr:col>
      <xdr:colOff>228599</xdr:colOff>
      <xdr:row>23</xdr:row>
      <xdr:rowOff>67733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F0EF70C-BE91-4D18-9E37-ADCA78AB543E}"/>
            </a:ext>
          </a:extLst>
        </xdr:cNvPr>
        <xdr:cNvSpPr txBox="1"/>
      </xdr:nvSpPr>
      <xdr:spPr>
        <a:xfrm>
          <a:off x="12578924" y="4040292"/>
          <a:ext cx="992295" cy="2336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Fuel</a:t>
          </a:r>
          <a:r>
            <a:rPr lang="en-GB" sz="1100" baseline="0"/>
            <a:t> tank 91L 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CE993-601C-4AE8-94F4-64B7A2A36ECC}">
  <dimension ref="A1:AD76"/>
  <sheetViews>
    <sheetView tabSelected="1" zoomScale="90" zoomScaleNormal="90" workbookViewId="0">
      <selection activeCell="W26" sqref="W26"/>
    </sheetView>
  </sheetViews>
  <sheetFormatPr defaultRowHeight="14.4" x14ac:dyDescent="0.3"/>
  <cols>
    <col min="2" max="2" width="23" bestFit="1" customWidth="1"/>
    <col min="9" max="9" width="13.44140625" bestFit="1" customWidth="1"/>
    <col min="12" max="12" width="10.77734375" bestFit="1" customWidth="1"/>
    <col min="13" max="13" width="17.6640625" bestFit="1" customWidth="1"/>
    <col min="14" max="14" width="13.6640625" bestFit="1" customWidth="1"/>
    <col min="15" max="16" width="12" customWidth="1"/>
    <col min="17" max="17" width="27.21875" customWidth="1"/>
    <col min="18" max="18" width="11.5546875" bestFit="1" customWidth="1"/>
    <col min="19" max="19" width="22.77734375" bestFit="1" customWidth="1"/>
    <col min="20" max="20" width="27.21875" bestFit="1" customWidth="1"/>
    <col min="21" max="21" width="21.77734375" bestFit="1" customWidth="1"/>
    <col min="22" max="26" width="11" customWidth="1"/>
  </cols>
  <sheetData>
    <row r="1" spans="1:30" x14ac:dyDescent="0.3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16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</row>
    <row r="2" spans="1:30" ht="15" thickBot="1" x14ac:dyDescent="0.35">
      <c r="A2" s="1"/>
      <c r="B2" s="11"/>
      <c r="C2" s="11"/>
      <c r="D2" s="11"/>
      <c r="E2" s="11"/>
      <c r="F2" s="11"/>
      <c r="G2" s="8"/>
      <c r="H2" s="8"/>
      <c r="I2" s="8"/>
      <c r="J2" s="8"/>
      <c r="K2" s="8"/>
      <c r="L2" s="8"/>
      <c r="M2" s="8"/>
      <c r="N2" s="8"/>
      <c r="O2" s="8"/>
      <c r="P2" s="8"/>
      <c r="Q2" s="16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</row>
    <row r="3" spans="1:30" ht="15" thickBot="1" x14ac:dyDescent="0.35">
      <c r="A3" s="40"/>
      <c r="B3" s="48"/>
      <c r="C3" s="48"/>
      <c r="D3" s="48"/>
      <c r="E3" s="49"/>
      <c r="F3" s="11"/>
      <c r="G3" s="8"/>
      <c r="H3" s="8"/>
      <c r="I3" s="8"/>
      <c r="J3" s="8"/>
      <c r="K3" s="8"/>
      <c r="L3" s="8"/>
      <c r="M3" s="8"/>
      <c r="N3" s="8"/>
      <c r="O3" s="16"/>
      <c r="P3" s="16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0" x14ac:dyDescent="0.3">
      <c r="A4" s="38"/>
      <c r="B4" s="50" t="s">
        <v>24</v>
      </c>
      <c r="C4" s="50">
        <v>9.81</v>
      </c>
      <c r="D4" s="50"/>
      <c r="E4" s="51"/>
      <c r="F4" s="11"/>
      <c r="G4" s="8"/>
      <c r="H4" s="77" t="s">
        <v>11</v>
      </c>
      <c r="I4" s="78"/>
      <c r="J4" s="78"/>
      <c r="K4" s="78"/>
      <c r="L4" s="78"/>
      <c r="M4" s="78"/>
      <c r="N4" s="24"/>
      <c r="O4" s="16"/>
      <c r="P4" s="16"/>
      <c r="Q4" s="31"/>
      <c r="R4" s="32"/>
      <c r="S4" s="32" t="s">
        <v>52</v>
      </c>
      <c r="T4" s="32"/>
      <c r="U4" s="47"/>
      <c r="V4" s="8"/>
      <c r="W4" s="80" t="s">
        <v>44</v>
      </c>
      <c r="X4" s="81"/>
      <c r="Y4" s="81"/>
      <c r="Z4" s="81"/>
      <c r="AA4" s="81"/>
      <c r="AB4" s="82"/>
      <c r="AC4" s="8"/>
    </row>
    <row r="5" spans="1:30" x14ac:dyDescent="0.3">
      <c r="A5" s="38"/>
      <c r="B5" s="50" t="s">
        <v>0</v>
      </c>
      <c r="C5" s="50">
        <v>4907</v>
      </c>
      <c r="D5" s="50"/>
      <c r="E5" s="51"/>
      <c r="F5" s="11"/>
      <c r="G5" s="8"/>
      <c r="H5" s="25"/>
      <c r="I5" s="6"/>
      <c r="J5" s="6" t="s">
        <v>8</v>
      </c>
      <c r="K5" s="6" t="s">
        <v>55</v>
      </c>
      <c r="L5" s="6" t="s">
        <v>54</v>
      </c>
      <c r="M5" s="10" t="s">
        <v>61</v>
      </c>
      <c r="N5" s="26"/>
      <c r="O5" s="17"/>
      <c r="P5" s="17"/>
      <c r="Q5" s="33"/>
      <c r="R5" s="34" t="s">
        <v>45</v>
      </c>
      <c r="S5" s="34" t="s">
        <v>46</v>
      </c>
      <c r="T5" s="34" t="s">
        <v>17</v>
      </c>
      <c r="U5" s="26"/>
      <c r="V5" s="8"/>
      <c r="W5" s="25"/>
      <c r="X5" s="11"/>
      <c r="Y5" s="11"/>
      <c r="Z5" s="11"/>
      <c r="AA5" s="11"/>
      <c r="AB5" s="26"/>
      <c r="AC5" s="8"/>
    </row>
    <row r="6" spans="1:30" x14ac:dyDescent="0.3">
      <c r="A6" s="38"/>
      <c r="B6" s="50" t="s">
        <v>1</v>
      </c>
      <c r="C6" s="50">
        <v>1953</v>
      </c>
      <c r="D6" s="50"/>
      <c r="E6" s="51"/>
      <c r="F6" s="11"/>
      <c r="G6" s="8"/>
      <c r="H6" s="25"/>
      <c r="I6" s="5" t="s">
        <v>15</v>
      </c>
      <c r="J6" s="5">
        <f>C8*E12</f>
        <v>1584.7</v>
      </c>
      <c r="K6" s="5">
        <f>C8*D12</f>
        <v>1405.3</v>
      </c>
      <c r="L6" s="11">
        <f>-0.82</f>
        <v>-0.82</v>
      </c>
      <c r="M6" s="11">
        <f>((J10*0.89)+(J11*D8))/(J9+J10+J11)</f>
        <v>1.5496141414141416</v>
      </c>
      <c r="N6" s="26"/>
      <c r="O6" s="16"/>
      <c r="P6" s="18"/>
      <c r="Q6" s="25">
        <f>(4.907^2)/(J7*K7)</f>
        <v>10.817026469778549</v>
      </c>
      <c r="R6" s="11">
        <f>SQRT(M10*J7*K7)</f>
        <v>1.5177223063160001</v>
      </c>
      <c r="S6" s="11">
        <f>K12/(C11+D13)*J7</f>
        <v>3.5210751168622023</v>
      </c>
      <c r="T6" s="11"/>
      <c r="U6" s="26"/>
      <c r="V6" s="8"/>
      <c r="W6" s="25"/>
      <c r="X6" s="11" t="s">
        <v>8</v>
      </c>
      <c r="Y6" s="11" t="s">
        <v>50</v>
      </c>
      <c r="Z6" s="11">
        <f>Z7+(J12*K7/K12)</f>
        <v>0.64331018218212277</v>
      </c>
      <c r="AA6" s="11"/>
      <c r="AB6" s="26"/>
      <c r="AC6" s="8"/>
    </row>
    <row r="7" spans="1:30" x14ac:dyDescent="0.3">
      <c r="A7" s="38"/>
      <c r="B7" s="50" t="s">
        <v>2</v>
      </c>
      <c r="C7" s="50">
        <v>1379</v>
      </c>
      <c r="D7" s="50"/>
      <c r="E7" s="51"/>
      <c r="F7" s="11"/>
      <c r="G7" s="8"/>
      <c r="H7" s="25"/>
      <c r="I7" s="5"/>
      <c r="J7" s="6">
        <v>1.5840000000000001</v>
      </c>
      <c r="K7" s="11">
        <v>1.4053</v>
      </c>
      <c r="L7" s="11"/>
      <c r="M7" s="11"/>
      <c r="N7" s="26"/>
      <c r="O7" s="18"/>
      <c r="P7" s="18"/>
      <c r="Q7" s="25"/>
      <c r="R7" s="11"/>
      <c r="S7" s="34" t="s">
        <v>53</v>
      </c>
      <c r="T7" s="11"/>
      <c r="U7" s="26"/>
      <c r="V7" s="8"/>
      <c r="W7" s="25"/>
      <c r="X7" s="11" t="s">
        <v>48</v>
      </c>
      <c r="Y7" s="11" t="s">
        <v>47</v>
      </c>
      <c r="Z7" s="11">
        <f>M6/J12</f>
        <v>7.8263340475461689E-4</v>
      </c>
      <c r="AA7" s="11"/>
      <c r="AB7" s="26"/>
      <c r="AC7" s="8"/>
    </row>
    <row r="8" spans="1:30" x14ac:dyDescent="0.3">
      <c r="A8" s="38"/>
      <c r="B8" s="50" t="s">
        <v>3</v>
      </c>
      <c r="C8" s="50">
        <v>2990</v>
      </c>
      <c r="D8" s="50">
        <v>2.99</v>
      </c>
      <c r="E8" s="51"/>
      <c r="F8" s="11"/>
      <c r="G8" s="8"/>
      <c r="H8" s="25"/>
      <c r="I8" s="5"/>
      <c r="J8" s="5" t="s">
        <v>16</v>
      </c>
      <c r="K8" s="11" t="s">
        <v>19</v>
      </c>
      <c r="L8" s="11"/>
      <c r="M8" s="10"/>
      <c r="N8" s="26"/>
      <c r="O8" s="18"/>
      <c r="P8" s="18"/>
      <c r="Q8" s="25"/>
      <c r="R8" s="11"/>
      <c r="S8" s="11">
        <v>3.65</v>
      </c>
      <c r="T8" s="11"/>
      <c r="U8" s="26"/>
      <c r="V8" s="8"/>
      <c r="W8" s="25"/>
      <c r="X8" s="11" t="s">
        <v>49</v>
      </c>
      <c r="Y8" s="11" t="s">
        <v>51</v>
      </c>
      <c r="Z8" s="11">
        <f>Z7-(J12*K7/K12)</f>
        <v>-0.64174491537261358</v>
      </c>
      <c r="AA8" s="11"/>
      <c r="AB8" s="26"/>
      <c r="AC8" s="8"/>
    </row>
    <row r="9" spans="1:30" x14ac:dyDescent="0.3">
      <c r="A9" s="38"/>
      <c r="B9" s="50" t="s">
        <v>4</v>
      </c>
      <c r="C9" s="50">
        <v>1676</v>
      </c>
      <c r="D9" s="50"/>
      <c r="E9" s="51"/>
      <c r="F9" s="11"/>
      <c r="G9" s="8"/>
      <c r="H9" s="25"/>
      <c r="I9" s="5" t="s">
        <v>12</v>
      </c>
      <c r="J9" s="5">
        <f>D11</f>
        <v>883.59999999999991</v>
      </c>
      <c r="K9" s="11">
        <f>J9*M6^2</f>
        <v>2121.792203152379</v>
      </c>
      <c r="L9" s="11"/>
      <c r="M9" s="5" t="s">
        <v>20</v>
      </c>
      <c r="N9" s="26" t="s">
        <v>57</v>
      </c>
      <c r="O9" s="18"/>
      <c r="P9" s="18"/>
      <c r="Q9" s="25"/>
      <c r="R9" s="11"/>
      <c r="S9" s="11"/>
      <c r="T9" s="11"/>
      <c r="U9" s="26"/>
      <c r="V9" s="8"/>
      <c r="W9" s="35"/>
      <c r="X9" s="11"/>
      <c r="Y9" s="11"/>
      <c r="Z9" s="11"/>
      <c r="AA9" s="11"/>
      <c r="AB9" s="26"/>
      <c r="AC9" s="8"/>
    </row>
    <row r="10" spans="1:30" ht="15" thickBot="1" x14ac:dyDescent="0.35">
      <c r="A10" s="38"/>
      <c r="B10" s="50" t="s">
        <v>5</v>
      </c>
      <c r="C10" s="50">
        <v>1660</v>
      </c>
      <c r="D10" s="50"/>
      <c r="E10" s="51"/>
      <c r="F10" s="11"/>
      <c r="G10" s="8"/>
      <c r="H10" s="25"/>
      <c r="I10" s="5" t="s">
        <v>13</v>
      </c>
      <c r="J10" s="5">
        <v>100</v>
      </c>
      <c r="K10" s="11">
        <f>J10*(J7-M6)^2</f>
        <v>0.11823872706866602</v>
      </c>
      <c r="L10" s="11"/>
      <c r="M10" s="5">
        <f>K12/(J7*K7*(C11))</f>
        <v>1.0348095086140161</v>
      </c>
      <c r="N10" s="26">
        <f>K12/(J12*(J7*K7))</f>
        <v>0.98254640211835853</v>
      </c>
      <c r="O10" s="18"/>
      <c r="P10" s="18"/>
      <c r="Q10" s="28"/>
      <c r="R10" s="29"/>
      <c r="S10" s="29"/>
      <c r="T10" s="29"/>
      <c r="U10" s="30"/>
      <c r="V10" s="8"/>
      <c r="W10" s="36"/>
      <c r="X10" s="11" t="s">
        <v>56</v>
      </c>
      <c r="Y10" s="11"/>
      <c r="Z10" s="11">
        <f>K12/(J12*J7)</f>
        <v>1.3807724588969295</v>
      </c>
      <c r="AA10" s="11"/>
      <c r="AB10" s="26"/>
      <c r="AC10" s="8"/>
    </row>
    <row r="11" spans="1:30" ht="15" thickBot="1" x14ac:dyDescent="0.35">
      <c r="A11" s="38"/>
      <c r="B11" s="50" t="s">
        <v>6</v>
      </c>
      <c r="C11" s="50">
        <v>1880</v>
      </c>
      <c r="D11" s="50">
        <f>C11*D12</f>
        <v>883.59999999999991</v>
      </c>
      <c r="E11" s="51">
        <f>C11*E12</f>
        <v>996.40000000000009</v>
      </c>
      <c r="F11" s="11"/>
      <c r="G11" s="8"/>
      <c r="H11" s="25"/>
      <c r="I11" s="5" t="s">
        <v>14</v>
      </c>
      <c r="J11" s="5">
        <f>E11</f>
        <v>996.40000000000009</v>
      </c>
      <c r="K11" s="11">
        <f>(J11+D13)*(D8-M6)^2</f>
        <v>2208.6338364081703</v>
      </c>
      <c r="L11" s="11"/>
      <c r="M11" s="10"/>
      <c r="N11" s="26"/>
      <c r="O11" s="18"/>
      <c r="P11" s="18"/>
      <c r="Q11" s="18"/>
      <c r="R11" s="8"/>
      <c r="S11" s="8"/>
      <c r="T11" s="8"/>
      <c r="U11" s="8"/>
      <c r="V11" s="8"/>
      <c r="W11" s="37"/>
      <c r="X11" s="29"/>
      <c r="Y11" s="29"/>
      <c r="Z11" s="29"/>
      <c r="AA11" s="29"/>
      <c r="AB11" s="30"/>
      <c r="AC11" s="8"/>
    </row>
    <row r="12" spans="1:30" ht="15" thickBot="1" x14ac:dyDescent="0.35">
      <c r="A12" s="38"/>
      <c r="B12" s="50" t="s">
        <v>7</v>
      </c>
      <c r="C12" s="50"/>
      <c r="D12" s="50">
        <v>0.47</v>
      </c>
      <c r="E12" s="51">
        <v>0.53</v>
      </c>
      <c r="F12" s="11"/>
      <c r="G12" s="8"/>
      <c r="H12" s="27"/>
      <c r="I12" s="7" t="s">
        <v>18</v>
      </c>
      <c r="J12" s="7">
        <f>J9+J10+J11</f>
        <v>1980</v>
      </c>
      <c r="K12" s="7">
        <f>K9+K10+K11</f>
        <v>4330.544278287618</v>
      </c>
      <c r="L12" s="7"/>
      <c r="M12" s="13"/>
      <c r="N12" s="26"/>
      <c r="O12" s="18"/>
      <c r="P12" s="18"/>
      <c r="Q12" s="8"/>
      <c r="R12" s="8"/>
      <c r="S12" s="8"/>
      <c r="W12" s="8"/>
      <c r="X12" s="8"/>
      <c r="Y12" s="8"/>
      <c r="Z12" s="8"/>
      <c r="AA12" s="8"/>
      <c r="AB12" s="8"/>
      <c r="AC12" s="8"/>
    </row>
    <row r="13" spans="1:30" x14ac:dyDescent="0.3">
      <c r="A13" s="38">
        <v>0.74890000000000001</v>
      </c>
      <c r="B13" s="50" t="s">
        <v>21</v>
      </c>
      <c r="C13" s="50">
        <v>91</v>
      </c>
      <c r="D13" s="50">
        <f>C13*A13</f>
        <v>68.149900000000002</v>
      </c>
      <c r="E13" s="51"/>
      <c r="F13" s="11"/>
      <c r="G13" s="8"/>
      <c r="H13" s="25"/>
      <c r="I13" s="11"/>
      <c r="J13" s="11" t="s">
        <v>58</v>
      </c>
      <c r="K13" s="11" t="s">
        <v>59</v>
      </c>
      <c r="L13" s="11" t="s">
        <v>60</v>
      </c>
      <c r="M13" s="11"/>
      <c r="N13" s="26"/>
      <c r="O13" s="18"/>
      <c r="P13" s="18"/>
      <c r="Q13" s="56"/>
      <c r="R13" s="57"/>
      <c r="S13" s="57"/>
      <c r="T13" s="58"/>
      <c r="U13" s="59"/>
      <c r="W13" s="8"/>
      <c r="X13" s="8"/>
      <c r="Y13" s="8"/>
      <c r="Z13" s="8"/>
      <c r="AA13" s="8"/>
      <c r="AB13" s="8"/>
      <c r="AC13" s="8"/>
    </row>
    <row r="14" spans="1:30" ht="15" thickBot="1" x14ac:dyDescent="0.35">
      <c r="A14" s="38"/>
      <c r="B14" s="50"/>
      <c r="C14" s="50"/>
      <c r="D14" s="50"/>
      <c r="E14" s="51"/>
      <c r="F14" s="11"/>
      <c r="G14" s="8"/>
      <c r="H14" s="28"/>
      <c r="I14" s="29"/>
      <c r="J14" s="29">
        <v>1</v>
      </c>
      <c r="K14" s="29">
        <v>0.95</v>
      </c>
      <c r="L14" s="29">
        <v>0.98</v>
      </c>
      <c r="M14" s="29"/>
      <c r="N14" s="30"/>
      <c r="O14" s="16"/>
      <c r="Q14" s="60"/>
      <c r="R14" s="61"/>
      <c r="S14" s="74" t="s">
        <v>89</v>
      </c>
      <c r="T14" s="62"/>
      <c r="U14" s="63"/>
      <c r="X14" s="8"/>
      <c r="Y14" s="8"/>
      <c r="Z14" s="8"/>
      <c r="AA14" s="8"/>
      <c r="AB14" s="8"/>
      <c r="AC14" s="8"/>
      <c r="AD14" s="8"/>
    </row>
    <row r="15" spans="1:30" x14ac:dyDescent="0.3">
      <c r="A15" s="38"/>
      <c r="B15" s="50" t="s">
        <v>10</v>
      </c>
      <c r="C15" s="50"/>
      <c r="D15" s="50"/>
      <c r="E15" s="51"/>
      <c r="F15" s="11"/>
      <c r="G15" s="8"/>
      <c r="H15" s="8"/>
      <c r="I15" s="8"/>
      <c r="J15" s="8"/>
      <c r="K15" s="8"/>
      <c r="L15" s="8"/>
      <c r="M15" s="8"/>
      <c r="N15" s="8"/>
      <c r="O15" s="16"/>
      <c r="Q15" s="60"/>
      <c r="R15" s="61"/>
      <c r="S15" s="62">
        <f>(N19*C45)*0.97</f>
        <v>401801.93599999999</v>
      </c>
      <c r="T15" s="62"/>
      <c r="U15" s="64"/>
      <c r="X15" s="8"/>
      <c r="Y15" s="8"/>
      <c r="Z15" s="8"/>
      <c r="AA15" s="8"/>
      <c r="AB15" s="8"/>
      <c r="AC15" s="8"/>
      <c r="AD15" s="8"/>
    </row>
    <row r="16" spans="1:30" x14ac:dyDescent="0.3">
      <c r="A16" s="38"/>
      <c r="B16" s="50" t="s">
        <v>8</v>
      </c>
      <c r="C16" s="50">
        <v>0.245</v>
      </c>
      <c r="D16" s="50">
        <v>35</v>
      </c>
      <c r="E16" s="51"/>
      <c r="F16" s="11"/>
      <c r="G16" s="8"/>
      <c r="H16" s="79" t="s">
        <v>71</v>
      </c>
      <c r="I16" s="79"/>
      <c r="J16" s="79"/>
      <c r="K16" s="79"/>
      <c r="L16" s="79"/>
      <c r="M16" s="79"/>
      <c r="N16" s="23"/>
      <c r="O16" s="16"/>
      <c r="P16" s="16"/>
      <c r="Q16" s="65"/>
      <c r="R16" s="61"/>
      <c r="S16" s="61"/>
      <c r="T16" s="62"/>
      <c r="U16" s="63"/>
      <c r="X16" s="8"/>
      <c r="Y16" s="8"/>
      <c r="Z16" s="8"/>
      <c r="AA16" s="8"/>
      <c r="AB16" s="8"/>
      <c r="AC16" s="8"/>
      <c r="AD16" s="8"/>
    </row>
    <row r="17" spans="1:30" ht="15" thickBot="1" x14ac:dyDescent="0.35">
      <c r="A17" s="38"/>
      <c r="B17" s="50" t="s">
        <v>9</v>
      </c>
      <c r="C17" s="50">
        <v>0.29499999999999998</v>
      </c>
      <c r="D17" s="50">
        <v>35</v>
      </c>
      <c r="E17" s="51"/>
      <c r="F17" s="11"/>
      <c r="G17" s="8"/>
      <c r="H17" s="19"/>
      <c r="I17" s="19"/>
      <c r="J17" s="19"/>
      <c r="K17" s="8"/>
      <c r="L17" s="8"/>
      <c r="M17" s="8"/>
      <c r="N17" s="8"/>
      <c r="O17" s="19"/>
      <c r="P17" s="19"/>
      <c r="Q17" s="73" t="s">
        <v>92</v>
      </c>
      <c r="R17" s="62">
        <f>0.8*S15</f>
        <v>321441.54879999999</v>
      </c>
      <c r="S17" s="62"/>
      <c r="T17" s="74" t="s">
        <v>81</v>
      </c>
      <c r="U17" s="64">
        <f>0.2*S15</f>
        <v>80360.387199999997</v>
      </c>
      <c r="X17" s="8"/>
      <c r="Y17" s="8"/>
      <c r="Z17" s="8"/>
      <c r="AA17" s="8"/>
      <c r="AB17" s="8"/>
      <c r="AC17" s="8"/>
      <c r="AD17" s="8"/>
    </row>
    <row r="18" spans="1:30" x14ac:dyDescent="0.3">
      <c r="A18" s="38"/>
      <c r="B18" s="50"/>
      <c r="C18" s="50"/>
      <c r="D18" s="50"/>
      <c r="E18" s="51"/>
      <c r="F18" s="83" t="s">
        <v>73</v>
      </c>
      <c r="G18" s="84"/>
      <c r="H18" s="84"/>
      <c r="I18" s="84"/>
      <c r="J18" s="85"/>
      <c r="K18" s="8"/>
      <c r="L18" s="43" t="s">
        <v>79</v>
      </c>
      <c r="M18" s="44"/>
      <c r="N18" s="44"/>
      <c r="O18" s="45"/>
      <c r="P18" s="16"/>
      <c r="Q18" s="66" t="s">
        <v>90</v>
      </c>
      <c r="R18" s="67">
        <f>(R17*C25)*C34</f>
        <v>1060114.2279423999</v>
      </c>
      <c r="S18" s="61"/>
      <c r="T18" s="61" t="s">
        <v>87</v>
      </c>
      <c r="U18" s="63">
        <f>(U17*C25)</f>
        <v>273225.31647999998</v>
      </c>
      <c r="X18" s="8"/>
      <c r="Y18" s="8"/>
      <c r="Z18" s="8"/>
      <c r="AA18" s="8"/>
      <c r="AB18" s="8"/>
      <c r="AC18" s="8"/>
      <c r="AD18" s="8"/>
    </row>
    <row r="19" spans="1:30" x14ac:dyDescent="0.3">
      <c r="A19" s="38"/>
      <c r="B19" s="50" t="s">
        <v>63</v>
      </c>
      <c r="C19" s="50">
        <v>0.02</v>
      </c>
      <c r="D19" s="50"/>
      <c r="E19" s="51"/>
      <c r="F19" s="25"/>
      <c r="G19" s="41" t="s">
        <v>68</v>
      </c>
      <c r="H19" s="42"/>
      <c r="I19" s="11">
        <f>680*C34</f>
        <v>659.6</v>
      </c>
      <c r="J19" s="26"/>
      <c r="K19" s="8"/>
      <c r="L19" s="25" t="s">
        <v>68</v>
      </c>
      <c r="M19" s="11"/>
      <c r="N19" s="11">
        <f>680*C34</f>
        <v>659.6</v>
      </c>
      <c r="O19" s="46"/>
      <c r="P19" s="16"/>
      <c r="Q19" s="66" t="s">
        <v>91</v>
      </c>
      <c r="R19" s="67">
        <f>(R18*C32)*C34</f>
        <v>4504001.3088360801</v>
      </c>
      <c r="S19" s="61"/>
      <c r="T19" s="62" t="s">
        <v>82</v>
      </c>
      <c r="U19" s="64">
        <f>U18/2</f>
        <v>136612.65823999999</v>
      </c>
      <c r="X19" s="8"/>
      <c r="Y19" s="8"/>
      <c r="Z19" s="8"/>
      <c r="AA19" s="8"/>
      <c r="AB19" s="8"/>
      <c r="AC19" s="8"/>
      <c r="AD19" s="8"/>
    </row>
    <row r="20" spans="1:30" x14ac:dyDescent="0.3">
      <c r="A20" s="38"/>
      <c r="B20" s="50" t="s">
        <v>62</v>
      </c>
      <c r="C20" s="50">
        <f>((C11+D13+J10)*C4)*C19</f>
        <v>401.84701038000003</v>
      </c>
      <c r="D20" s="50"/>
      <c r="E20" s="51"/>
      <c r="F20" s="25"/>
      <c r="G20" s="76" t="s">
        <v>69</v>
      </c>
      <c r="H20" s="76"/>
      <c r="I20" s="11">
        <f>C25*I19*C34</f>
        <v>2175.3607999999999</v>
      </c>
      <c r="J20" s="26"/>
      <c r="K20" s="8"/>
      <c r="L20" s="75" t="s">
        <v>69</v>
      </c>
      <c r="M20" s="76"/>
      <c r="N20" s="11">
        <f>(N19*C25*C34)*0.8</f>
        <v>1740.28864</v>
      </c>
      <c r="O20" s="46"/>
      <c r="P20" s="16"/>
      <c r="Q20" s="66" t="s">
        <v>72</v>
      </c>
      <c r="R20" s="67">
        <f>R19/2</f>
        <v>2252000.6544180401</v>
      </c>
      <c r="S20" s="61"/>
      <c r="T20" s="62" t="s">
        <v>83</v>
      </c>
      <c r="U20" s="64">
        <f>0.85*U19</f>
        <v>116120.75950399999</v>
      </c>
      <c r="V20" s="8"/>
      <c r="W20" s="8"/>
      <c r="X20" s="8"/>
      <c r="Y20" s="8"/>
      <c r="Z20" s="8"/>
      <c r="AA20" s="8"/>
      <c r="AB20" s="8"/>
      <c r="AC20" s="8"/>
      <c r="AD20" s="8"/>
    </row>
    <row r="21" spans="1:30" x14ac:dyDescent="0.3">
      <c r="A21" s="38"/>
      <c r="B21" s="50"/>
      <c r="C21" s="50"/>
      <c r="D21" s="50"/>
      <c r="E21" s="51"/>
      <c r="F21" s="25"/>
      <c r="G21" s="11" t="s">
        <v>70</v>
      </c>
      <c r="H21" s="11"/>
      <c r="I21" s="11">
        <f>I20*C32*C34</f>
        <v>9242.2378948799997</v>
      </c>
      <c r="J21" s="26"/>
      <c r="K21" s="8"/>
      <c r="L21" s="75" t="s">
        <v>75</v>
      </c>
      <c r="M21" s="76"/>
      <c r="N21" s="11">
        <f>(C32*N20)</f>
        <v>7622.4642432000001</v>
      </c>
      <c r="O21" s="46"/>
      <c r="P21" s="16"/>
      <c r="Q21" s="66" t="s">
        <v>88</v>
      </c>
      <c r="R21" s="67">
        <f>R20/C17</f>
        <v>7633900.5234509837</v>
      </c>
      <c r="S21" s="61"/>
      <c r="T21" s="62" t="s">
        <v>84</v>
      </c>
      <c r="U21" s="64">
        <f>U20/C16</f>
        <v>473962.28368979588</v>
      </c>
      <c r="V21" s="8"/>
      <c r="W21" s="8"/>
      <c r="X21" s="8"/>
      <c r="Y21" s="8"/>
      <c r="Z21" s="8"/>
      <c r="AA21" s="8"/>
      <c r="AB21" s="8"/>
      <c r="AC21" s="8"/>
      <c r="AD21" s="8"/>
    </row>
    <row r="22" spans="1:30" x14ac:dyDescent="0.3">
      <c r="A22" s="38"/>
      <c r="B22" s="50" t="s">
        <v>26</v>
      </c>
      <c r="C22" s="50">
        <v>0.32</v>
      </c>
      <c r="D22" s="50"/>
      <c r="E22" s="51"/>
      <c r="F22" s="25"/>
      <c r="G22" s="76" t="s">
        <v>72</v>
      </c>
      <c r="H22" s="76"/>
      <c r="I22" s="11">
        <f>I21/2</f>
        <v>4621.1189474399998</v>
      </c>
      <c r="J22" s="26"/>
      <c r="K22" s="8"/>
      <c r="L22" s="75" t="s">
        <v>72</v>
      </c>
      <c r="M22" s="76"/>
      <c r="N22" s="11">
        <f>N21/2</f>
        <v>3811.2321216</v>
      </c>
      <c r="O22" s="46"/>
      <c r="P22" s="16"/>
      <c r="Q22" s="66" t="s">
        <v>74</v>
      </c>
      <c r="R22" s="68">
        <f>R21/C45</f>
        <v>12155.892553265898</v>
      </c>
      <c r="S22" s="62"/>
      <c r="T22" s="62" t="s">
        <v>85</v>
      </c>
      <c r="U22" s="64">
        <f>U21/C45</f>
        <v>754.71701224489789</v>
      </c>
      <c r="V22" s="8"/>
      <c r="W22" s="8"/>
      <c r="X22" s="8"/>
      <c r="Y22" s="8"/>
      <c r="Z22" s="8"/>
      <c r="AA22" s="8"/>
      <c r="AB22" s="8"/>
      <c r="AC22" s="8"/>
      <c r="AD22" s="8"/>
    </row>
    <row r="23" spans="1:30" x14ac:dyDescent="0.3">
      <c r="A23" s="38"/>
      <c r="B23" s="50"/>
      <c r="C23" s="50"/>
      <c r="D23" s="50"/>
      <c r="E23" s="51"/>
      <c r="F23" s="25"/>
      <c r="G23" s="76" t="s">
        <v>74</v>
      </c>
      <c r="H23" s="76"/>
      <c r="I23" s="11">
        <f>I22/C17</f>
        <v>15664.809991322034</v>
      </c>
      <c r="J23" s="26"/>
      <c r="K23" s="8"/>
      <c r="L23" s="75" t="s">
        <v>74</v>
      </c>
      <c r="M23" s="76"/>
      <c r="N23" s="11">
        <f>N22/C17</f>
        <v>12919.430920677967</v>
      </c>
      <c r="O23" s="46"/>
      <c r="P23" s="16"/>
      <c r="Q23" s="69"/>
      <c r="R23" s="62"/>
      <c r="S23" s="62"/>
      <c r="T23" s="62"/>
      <c r="U23" s="64"/>
      <c r="V23" s="8"/>
      <c r="W23" s="8"/>
      <c r="X23" s="8"/>
      <c r="Y23" s="8"/>
      <c r="Z23" s="8"/>
      <c r="AA23" s="8"/>
      <c r="AB23" s="8"/>
      <c r="AC23" s="8"/>
      <c r="AD23" s="8"/>
    </row>
    <row r="24" spans="1:30" x14ac:dyDescent="0.3">
      <c r="A24" s="38"/>
      <c r="B24" s="50" t="s">
        <v>66</v>
      </c>
      <c r="C24" s="50"/>
      <c r="D24" s="50"/>
      <c r="E24" s="51"/>
      <c r="F24" s="25"/>
      <c r="G24" s="11"/>
      <c r="H24" s="11"/>
      <c r="I24" s="11"/>
      <c r="J24" s="26"/>
      <c r="K24" s="8"/>
      <c r="L24" s="52"/>
      <c r="M24" s="53"/>
      <c r="N24" s="11"/>
      <c r="O24" s="46"/>
      <c r="P24" s="16"/>
      <c r="Q24" s="60" t="s">
        <v>86</v>
      </c>
      <c r="R24" s="62">
        <f>R22/C11</f>
        <v>6.4659002942903712</v>
      </c>
      <c r="S24" s="62"/>
      <c r="T24" s="62" t="s">
        <v>86</v>
      </c>
      <c r="U24" s="64">
        <f>U22/C11</f>
        <v>0.40144521927920102</v>
      </c>
      <c r="V24" s="8"/>
      <c r="W24" s="8"/>
      <c r="X24" s="8"/>
      <c r="Y24" s="8"/>
      <c r="Z24" s="8"/>
      <c r="AA24" s="8"/>
      <c r="AB24" s="8"/>
      <c r="AC24" s="8"/>
      <c r="AD24" s="8"/>
    </row>
    <row r="25" spans="1:30" ht="15" thickBot="1" x14ac:dyDescent="0.35">
      <c r="A25" s="38"/>
      <c r="B25" s="50">
        <v>1</v>
      </c>
      <c r="C25" s="50">
        <v>3.4</v>
      </c>
      <c r="D25" s="50"/>
      <c r="E25" s="51"/>
      <c r="F25" s="28"/>
      <c r="G25" s="29" t="s">
        <v>76</v>
      </c>
      <c r="H25" s="29" t="s">
        <v>77</v>
      </c>
      <c r="I25" s="29">
        <f>I23/C11</f>
        <v>8.3323457400649108</v>
      </c>
      <c r="J25" s="30"/>
      <c r="K25" s="8"/>
      <c r="L25" s="25" t="s">
        <v>76</v>
      </c>
      <c r="M25" s="11" t="s">
        <v>77</v>
      </c>
      <c r="N25" s="11">
        <f>N23/C11</f>
        <v>6.8720377237648762</v>
      </c>
      <c r="O25" s="46"/>
      <c r="P25" s="16"/>
      <c r="Q25" s="60"/>
      <c r="R25" s="62"/>
      <c r="S25" s="62"/>
      <c r="T25" s="62"/>
      <c r="U25" s="64"/>
      <c r="V25" s="8"/>
      <c r="W25" s="8"/>
      <c r="X25" s="8"/>
      <c r="Y25" s="8"/>
      <c r="Z25" s="8"/>
      <c r="AA25" s="8"/>
      <c r="AB25" s="8"/>
      <c r="AC25" s="8"/>
      <c r="AD25" s="8"/>
    </row>
    <row r="26" spans="1:30" ht="15" thickBot="1" x14ac:dyDescent="0.35">
      <c r="A26" s="38"/>
      <c r="B26" s="50">
        <v>2</v>
      </c>
      <c r="C26" s="50">
        <v>2.19</v>
      </c>
      <c r="D26" s="50"/>
      <c r="E26" s="51"/>
      <c r="F26" s="11"/>
      <c r="G26" s="8"/>
      <c r="H26" s="8"/>
      <c r="I26" s="8"/>
      <c r="J26" s="8"/>
      <c r="K26" s="8"/>
      <c r="L26" s="28"/>
      <c r="M26" s="29"/>
      <c r="N26" s="29"/>
      <c r="O26" s="30"/>
      <c r="P26" s="8"/>
      <c r="Q26" s="70"/>
      <c r="R26" s="71"/>
      <c r="S26" s="71"/>
      <c r="T26" s="71"/>
      <c r="U26" s="72"/>
      <c r="V26" s="8"/>
      <c r="W26" s="8"/>
      <c r="X26" s="8"/>
      <c r="Y26" s="8"/>
      <c r="Z26" s="8"/>
      <c r="AA26" s="8"/>
      <c r="AB26" s="8"/>
      <c r="AC26" s="8"/>
      <c r="AD26" s="8"/>
    </row>
    <row r="27" spans="1:30" ht="22.2" customHeight="1" x14ac:dyDescent="0.3">
      <c r="A27" s="38"/>
      <c r="B27" s="50">
        <v>3</v>
      </c>
      <c r="C27" s="50">
        <v>1.63</v>
      </c>
      <c r="D27" s="50"/>
      <c r="E27" s="51"/>
      <c r="F27" s="11"/>
      <c r="G27" s="8"/>
      <c r="H27" s="8"/>
      <c r="I27" s="8"/>
      <c r="J27" s="8"/>
      <c r="K27" s="8"/>
      <c r="L27" s="31" t="s">
        <v>68</v>
      </c>
      <c r="M27" s="32"/>
      <c r="N27" s="47">
        <f>680*C34</f>
        <v>659.6</v>
      </c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</row>
    <row r="28" spans="1:30" x14ac:dyDescent="0.3">
      <c r="A28" s="38"/>
      <c r="B28" s="50">
        <v>4</v>
      </c>
      <c r="C28" s="50">
        <v>1.29</v>
      </c>
      <c r="D28" s="50"/>
      <c r="E28" s="51"/>
      <c r="F28" s="11"/>
      <c r="G28" s="8"/>
      <c r="H28" s="8"/>
      <c r="I28" s="8"/>
      <c r="J28" s="8"/>
      <c r="K28" s="8"/>
      <c r="L28" s="75" t="s">
        <v>69</v>
      </c>
      <c r="M28" s="76"/>
      <c r="N28" s="26">
        <f>(N19*C25*C34)*0.2</f>
        <v>435.07216</v>
      </c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</row>
    <row r="29" spans="1:30" x14ac:dyDescent="0.3">
      <c r="A29" s="38"/>
      <c r="B29" s="50">
        <v>5</v>
      </c>
      <c r="C29" s="50">
        <v>1.03</v>
      </c>
      <c r="D29" s="50"/>
      <c r="E29" s="51"/>
      <c r="F29" s="11"/>
      <c r="G29" s="8"/>
      <c r="H29" s="8"/>
      <c r="I29" s="8"/>
      <c r="J29" s="8"/>
      <c r="K29" s="8"/>
      <c r="L29" s="75" t="s">
        <v>75</v>
      </c>
      <c r="M29" s="76"/>
      <c r="N29" s="26">
        <f>0.4*(C32*N28*C34)</f>
        <v>739.37903159040002</v>
      </c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</row>
    <row r="30" spans="1:30" x14ac:dyDescent="0.3">
      <c r="A30" s="38"/>
      <c r="B30" s="50">
        <v>6</v>
      </c>
      <c r="C30" s="50">
        <v>0.84</v>
      </c>
      <c r="D30" s="50"/>
      <c r="E30" s="51"/>
      <c r="F30" s="11"/>
      <c r="G30" s="8"/>
      <c r="H30" s="8"/>
      <c r="I30" s="8"/>
      <c r="J30" s="8"/>
      <c r="K30" s="8"/>
      <c r="L30" s="75" t="s">
        <v>72</v>
      </c>
      <c r="M30" s="76"/>
      <c r="N30" s="26">
        <f>N29/2</f>
        <v>369.68951579520001</v>
      </c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</row>
    <row r="31" spans="1:30" x14ac:dyDescent="0.3">
      <c r="A31" s="38"/>
      <c r="B31" s="50">
        <v>7</v>
      </c>
      <c r="C31" s="50">
        <v>0.63</v>
      </c>
      <c r="D31" s="50"/>
      <c r="E31" s="51"/>
      <c r="F31" s="11"/>
      <c r="G31" s="8"/>
      <c r="H31" s="8"/>
      <c r="I31" s="8"/>
      <c r="J31" s="8"/>
      <c r="K31" s="8"/>
      <c r="L31" s="75" t="s">
        <v>74</v>
      </c>
      <c r="M31" s="76"/>
      <c r="N31" s="26">
        <f>N30/C16</f>
        <v>1508.9367991640818</v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</row>
    <row r="32" spans="1:30" x14ac:dyDescent="0.3">
      <c r="A32" s="38"/>
      <c r="B32" s="50" t="s">
        <v>64</v>
      </c>
      <c r="C32" s="50">
        <v>4.38</v>
      </c>
      <c r="D32" s="50"/>
      <c r="E32" s="51"/>
      <c r="F32" s="11"/>
      <c r="G32" s="8"/>
      <c r="H32" s="8"/>
      <c r="I32" s="8"/>
      <c r="J32" s="8"/>
      <c r="K32" s="8"/>
      <c r="L32" s="25"/>
      <c r="M32" s="11"/>
      <c r="N32" s="26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</row>
    <row r="33" spans="1:29" x14ac:dyDescent="0.3">
      <c r="A33" s="38"/>
      <c r="B33" s="50"/>
      <c r="C33" s="50"/>
      <c r="D33" s="50"/>
      <c r="E33" s="51"/>
      <c r="F33" s="11"/>
      <c r="G33" s="8"/>
      <c r="H33" s="8"/>
      <c r="I33" s="8"/>
      <c r="J33" s="8"/>
      <c r="K33" s="8"/>
      <c r="L33" s="25" t="s">
        <v>76</v>
      </c>
      <c r="M33" s="11" t="s">
        <v>77</v>
      </c>
      <c r="N33" s="26">
        <f>N31/C11</f>
        <v>0.80262595700217121</v>
      </c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</row>
    <row r="34" spans="1:29" x14ac:dyDescent="0.3">
      <c r="A34" s="38"/>
      <c r="B34" s="50" t="s">
        <v>65</v>
      </c>
      <c r="C34" s="50">
        <v>0.97</v>
      </c>
      <c r="D34" s="50"/>
      <c r="E34" s="51"/>
      <c r="F34" s="11"/>
      <c r="G34" s="8"/>
      <c r="H34" s="8"/>
      <c r="I34" s="8"/>
      <c r="J34" s="8"/>
      <c r="K34" s="8"/>
      <c r="L34" s="25"/>
      <c r="M34" s="11"/>
      <c r="N34" s="26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</row>
    <row r="35" spans="1:29" x14ac:dyDescent="0.3">
      <c r="A35" s="38"/>
      <c r="B35" s="50"/>
      <c r="C35" s="50"/>
      <c r="D35" s="50"/>
      <c r="E35" s="51"/>
      <c r="F35" s="11"/>
      <c r="G35" s="8"/>
      <c r="H35" s="11"/>
      <c r="I35" s="11"/>
      <c r="J35" s="8"/>
      <c r="K35" s="8"/>
      <c r="L35" s="25" t="s">
        <v>78</v>
      </c>
      <c r="M35" s="11">
        <f>N25+N33</f>
        <v>7.674663680767047</v>
      </c>
      <c r="N35" s="26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</row>
    <row r="36" spans="1:29" ht="15" thickBot="1" x14ac:dyDescent="0.35">
      <c r="A36" s="38"/>
      <c r="B36" s="50"/>
      <c r="C36" s="50"/>
      <c r="D36" s="50"/>
      <c r="E36" s="51"/>
      <c r="F36" s="11"/>
      <c r="G36" s="11"/>
      <c r="H36" s="11"/>
      <c r="I36" s="11"/>
      <c r="J36" s="8"/>
      <c r="K36" s="11"/>
      <c r="L36" s="28"/>
      <c r="M36" s="29"/>
      <c r="N36" s="30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 ht="15" thickBot="1" x14ac:dyDescent="0.35">
      <c r="A37" s="39"/>
      <c r="B37" s="54"/>
      <c r="C37" s="54"/>
      <c r="D37" s="54"/>
      <c r="E37" s="55"/>
      <c r="F37" s="11"/>
      <c r="G37" s="11"/>
      <c r="H37" s="11"/>
      <c r="I37" s="11"/>
      <c r="J37" s="11"/>
      <c r="K37" s="11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</row>
    <row r="38" spans="1:29" x14ac:dyDescent="0.3">
      <c r="A38" s="3"/>
      <c r="B38" s="18"/>
      <c r="C38" s="18"/>
      <c r="D38" s="18"/>
      <c r="E38" s="18"/>
      <c r="F38" s="11"/>
      <c r="G38" s="11"/>
      <c r="H38" s="11"/>
      <c r="I38" s="11"/>
      <c r="J38" s="11"/>
      <c r="K38" s="11"/>
      <c r="L38" s="11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</row>
    <row r="39" spans="1:29" x14ac:dyDescent="0.3">
      <c r="A39" s="3"/>
      <c r="B39" s="18" t="s">
        <v>67</v>
      </c>
      <c r="C39" s="18">
        <v>1000</v>
      </c>
      <c r="D39" s="18"/>
      <c r="E39" s="18"/>
      <c r="F39" s="11"/>
      <c r="G39" s="11"/>
      <c r="H39" s="11"/>
      <c r="I39" s="11"/>
      <c r="J39" s="11"/>
      <c r="K39" s="11"/>
      <c r="L39" s="11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</row>
    <row r="40" spans="1:29" x14ac:dyDescent="0.3">
      <c r="A40" s="3"/>
      <c r="B40" s="18"/>
      <c r="C40" s="18">
        <v>2000</v>
      </c>
      <c r="D40" s="18"/>
      <c r="E40" s="18"/>
      <c r="F40" s="11"/>
      <c r="G40" s="11"/>
      <c r="H40" s="11"/>
      <c r="I40" s="11"/>
      <c r="J40" s="11"/>
      <c r="K40" s="11"/>
      <c r="L40" s="11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</row>
    <row r="41" spans="1:29" x14ac:dyDescent="0.3">
      <c r="A41" s="3"/>
      <c r="B41" s="18"/>
      <c r="C41" s="18">
        <v>3000</v>
      </c>
      <c r="D41" s="18"/>
      <c r="E41" s="18"/>
      <c r="F41" s="11"/>
      <c r="G41" s="11"/>
      <c r="H41" s="11"/>
      <c r="I41" s="11"/>
      <c r="J41" s="11"/>
      <c r="K41" s="11"/>
      <c r="L41" s="11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  <row r="42" spans="1:29" x14ac:dyDescent="0.3">
      <c r="A42" s="3"/>
      <c r="B42" s="18"/>
      <c r="C42" s="18">
        <v>4000</v>
      </c>
      <c r="D42" s="18"/>
      <c r="E42" s="18"/>
      <c r="F42" s="11"/>
      <c r="G42" s="11"/>
      <c r="H42" s="11"/>
      <c r="I42" s="11"/>
      <c r="J42" s="11"/>
      <c r="K42" s="11"/>
      <c r="L42" s="11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</row>
    <row r="43" spans="1:29" x14ac:dyDescent="0.3">
      <c r="A43" s="3"/>
      <c r="B43" s="18"/>
      <c r="C43" s="18">
        <v>5000</v>
      </c>
      <c r="D43" s="18"/>
      <c r="E43" s="18"/>
      <c r="F43" s="11"/>
      <c r="G43" s="11"/>
      <c r="H43" s="11"/>
      <c r="I43" s="11"/>
      <c r="J43" s="11"/>
      <c r="K43" s="11"/>
      <c r="L43" s="11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 spans="1:29" x14ac:dyDescent="0.3">
      <c r="A44" s="3"/>
      <c r="B44" s="18"/>
      <c r="C44" s="18">
        <v>6000</v>
      </c>
      <c r="D44" s="18"/>
      <c r="E44" s="18"/>
      <c r="F44" s="18"/>
      <c r="G44" s="18"/>
      <c r="H44" s="11"/>
      <c r="I44" s="11"/>
      <c r="J44" s="11"/>
      <c r="K44" s="11"/>
      <c r="L44" s="11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 spans="1:29" x14ac:dyDescent="0.3">
      <c r="A45" s="3"/>
      <c r="B45" s="18" t="s">
        <v>80</v>
      </c>
      <c r="C45" s="18">
        <f>2*3.14*(6000/60)</f>
        <v>628</v>
      </c>
      <c r="D45" s="18"/>
      <c r="E45" s="18"/>
      <c r="F45" s="11"/>
      <c r="G45" s="11"/>
      <c r="H45" s="11"/>
      <c r="I45" s="11"/>
      <c r="J45" s="11"/>
      <c r="K45" s="11"/>
      <c r="L45" s="11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 spans="1:29" x14ac:dyDescent="0.3">
      <c r="A46" s="3"/>
      <c r="B46" s="18"/>
      <c r="C46" s="18"/>
      <c r="D46" s="18"/>
      <c r="E46" s="18"/>
      <c r="F46" s="11"/>
      <c r="G46" s="11"/>
      <c r="H46" s="11"/>
      <c r="I46" s="11"/>
      <c r="J46" s="11"/>
      <c r="K46" s="11"/>
      <c r="L46" s="11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 spans="1:29" x14ac:dyDescent="0.3">
      <c r="A47" s="3"/>
      <c r="B47" s="18"/>
      <c r="C47" s="18"/>
      <c r="D47" s="18"/>
      <c r="E47" s="18"/>
      <c r="F47" s="11"/>
      <c r="G47" s="11"/>
      <c r="H47" s="11"/>
      <c r="I47" s="11"/>
      <c r="J47" s="11"/>
      <c r="K47" s="11"/>
      <c r="L47" s="11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 spans="1:29" x14ac:dyDescent="0.3">
      <c r="A48" s="3"/>
      <c r="B48" s="18"/>
      <c r="C48" s="18"/>
      <c r="D48" s="18"/>
      <c r="E48" s="18"/>
      <c r="F48" s="11"/>
      <c r="G48" s="11"/>
      <c r="H48" s="11"/>
      <c r="I48" s="11"/>
      <c r="J48" s="11"/>
      <c r="K48" s="11"/>
      <c r="L48" s="11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 spans="1:29" x14ac:dyDescent="0.3">
      <c r="A49" s="3"/>
      <c r="B49" s="18"/>
      <c r="C49" s="18"/>
      <c r="D49" s="18"/>
      <c r="E49" s="18"/>
      <c r="F49" s="11"/>
      <c r="G49" s="11"/>
      <c r="H49" s="11"/>
      <c r="I49" s="11"/>
      <c r="J49" s="11"/>
      <c r="K49" s="11"/>
      <c r="L49" s="11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 spans="1:29" x14ac:dyDescent="0.3">
      <c r="A50" s="3"/>
      <c r="B50" s="18"/>
      <c r="C50" s="18"/>
      <c r="D50" s="18"/>
      <c r="E50" s="18"/>
      <c r="F50" s="11"/>
      <c r="G50" s="11"/>
      <c r="H50" s="11"/>
      <c r="I50" s="11"/>
      <c r="J50" s="11"/>
      <c r="K50" s="11"/>
      <c r="L50" s="11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 spans="1:29" x14ac:dyDescent="0.3">
      <c r="A51" s="3"/>
      <c r="B51" s="18"/>
      <c r="C51" s="18"/>
      <c r="D51" s="18"/>
      <c r="E51" s="18"/>
      <c r="F51" s="11"/>
      <c r="G51" s="11"/>
      <c r="H51" s="11"/>
      <c r="I51" s="11"/>
      <c r="J51" s="11"/>
      <c r="K51" s="11"/>
      <c r="L51" s="11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 spans="1:29" x14ac:dyDescent="0.3">
      <c r="A52" s="3"/>
      <c r="B52" s="18"/>
      <c r="C52" s="18"/>
      <c r="D52" s="18"/>
      <c r="E52" s="18"/>
      <c r="F52" s="11"/>
      <c r="G52" s="11"/>
      <c r="H52" s="11"/>
      <c r="I52" s="11"/>
      <c r="J52" s="11"/>
      <c r="K52" s="11"/>
      <c r="L52" s="11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 spans="1:29" x14ac:dyDescent="0.3">
      <c r="A53" s="3"/>
      <c r="B53" s="3"/>
      <c r="C53" s="3"/>
      <c r="D53" s="3"/>
      <c r="E53" s="3"/>
      <c r="F53" s="1"/>
      <c r="G53" s="1"/>
      <c r="H53" s="1"/>
      <c r="I53" s="1"/>
      <c r="J53" s="1"/>
      <c r="K53" s="1"/>
      <c r="L53" s="1"/>
    </row>
    <row r="54" spans="1:29" x14ac:dyDescent="0.3">
      <c r="A54" s="1"/>
      <c r="B54" s="1" t="s">
        <v>36</v>
      </c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29" x14ac:dyDescent="0.3">
      <c r="A55" s="1"/>
      <c r="B55" s="1" t="s">
        <v>27</v>
      </c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29" x14ac:dyDescent="0.3">
      <c r="A56" s="1"/>
      <c r="B56" s="1" t="s">
        <v>28</v>
      </c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29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29" x14ac:dyDescent="0.3">
      <c r="A58" s="1"/>
      <c r="B58" s="1" t="s">
        <v>29</v>
      </c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29" x14ac:dyDescent="0.3">
      <c r="A59" s="1"/>
      <c r="B59" s="22" t="s">
        <v>30</v>
      </c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29" x14ac:dyDescent="0.3">
      <c r="A60" s="1"/>
      <c r="B60" s="22" t="s">
        <v>31</v>
      </c>
      <c r="C60" s="1"/>
      <c r="D60" s="1"/>
      <c r="E60" s="3"/>
      <c r="F60" s="1"/>
      <c r="G60" s="1"/>
      <c r="H60" s="1"/>
      <c r="I60" s="1"/>
      <c r="J60" s="1"/>
      <c r="L60" s="1"/>
    </row>
    <row r="61" spans="1:29" x14ac:dyDescent="0.3">
      <c r="A61" s="1"/>
      <c r="B61" s="22" t="s">
        <v>32</v>
      </c>
      <c r="C61" s="3"/>
      <c r="D61" s="3"/>
      <c r="E61" s="1"/>
      <c r="G61" s="1"/>
      <c r="L61" s="1"/>
    </row>
    <row r="62" spans="1:29" x14ac:dyDescent="0.3">
      <c r="A62" s="1"/>
      <c r="B62" s="2" t="s">
        <v>33</v>
      </c>
      <c r="C62" s="2"/>
      <c r="D62" s="2"/>
      <c r="E62" s="1"/>
    </row>
    <row r="63" spans="1:29" x14ac:dyDescent="0.3">
      <c r="A63" s="1"/>
      <c r="B63" s="1" t="s">
        <v>34</v>
      </c>
      <c r="C63" s="1"/>
      <c r="D63" s="1"/>
      <c r="E63" s="1"/>
    </row>
    <row r="64" spans="1:29" x14ac:dyDescent="0.3">
      <c r="A64" s="1"/>
      <c r="B64" s="22" t="s">
        <v>35</v>
      </c>
      <c r="C64" s="1"/>
      <c r="D64" s="1"/>
      <c r="E64" s="1"/>
    </row>
    <row r="65" spans="1:5" x14ac:dyDescent="0.3">
      <c r="A65" s="1"/>
      <c r="B65" s="22" t="s">
        <v>37</v>
      </c>
      <c r="C65" s="1"/>
      <c r="D65" s="1"/>
      <c r="E65" s="1"/>
    </row>
    <row r="66" spans="1:5" x14ac:dyDescent="0.3">
      <c r="A66" s="1"/>
      <c r="B66" s="22" t="s">
        <v>38</v>
      </c>
      <c r="C66" s="1"/>
      <c r="D66" s="1"/>
      <c r="E66" s="1"/>
    </row>
    <row r="67" spans="1:5" x14ac:dyDescent="0.3">
      <c r="A67" s="1"/>
      <c r="B67" s="22" t="s">
        <v>39</v>
      </c>
      <c r="C67" s="1"/>
      <c r="D67" s="1"/>
      <c r="E67" s="1"/>
    </row>
    <row r="68" spans="1:5" x14ac:dyDescent="0.3">
      <c r="A68" s="1"/>
      <c r="B68" s="1"/>
      <c r="C68" s="1"/>
      <c r="D68" s="1"/>
      <c r="E68" s="1"/>
    </row>
    <row r="69" spans="1:5" x14ac:dyDescent="0.3">
      <c r="A69" s="1"/>
      <c r="B69" s="1" t="s">
        <v>43</v>
      </c>
      <c r="C69" s="1"/>
      <c r="D69" s="1"/>
      <c r="E69" s="1"/>
    </row>
    <row r="70" spans="1:5" x14ac:dyDescent="0.3">
      <c r="A70" s="1"/>
      <c r="B70" s="1" t="s">
        <v>40</v>
      </c>
      <c r="C70" s="1"/>
      <c r="D70" s="1"/>
      <c r="E70" s="1"/>
    </row>
    <row r="71" spans="1:5" x14ac:dyDescent="0.3">
      <c r="A71" s="1"/>
      <c r="B71" s="1" t="s">
        <v>41</v>
      </c>
      <c r="C71" s="1"/>
      <c r="D71" s="1"/>
      <c r="E71" s="1"/>
    </row>
    <row r="72" spans="1:5" x14ac:dyDescent="0.3">
      <c r="A72" s="1"/>
      <c r="B72" s="1" t="s">
        <v>42</v>
      </c>
      <c r="C72" s="1"/>
      <c r="D72" s="1"/>
      <c r="E72" s="1"/>
    </row>
    <row r="73" spans="1:5" x14ac:dyDescent="0.3">
      <c r="A73" s="1"/>
      <c r="B73" s="1"/>
      <c r="C73" s="1"/>
      <c r="D73" s="1"/>
      <c r="E73" s="1"/>
    </row>
    <row r="74" spans="1:5" x14ac:dyDescent="0.3">
      <c r="A74" s="1"/>
      <c r="B74" s="1"/>
      <c r="C74" s="1"/>
      <c r="D74" s="1"/>
      <c r="E74" s="1"/>
    </row>
    <row r="75" spans="1:5" x14ac:dyDescent="0.3">
      <c r="A75" s="1"/>
      <c r="B75" s="1"/>
      <c r="C75" s="1"/>
      <c r="D75" s="1"/>
      <c r="E75" s="1"/>
    </row>
    <row r="76" spans="1:5" x14ac:dyDescent="0.3">
      <c r="A76" s="1"/>
      <c r="B76" s="1"/>
      <c r="C76" s="1"/>
      <c r="D76" s="1"/>
      <c r="E76" s="1"/>
    </row>
  </sheetData>
  <mergeCells count="15">
    <mergeCell ref="H4:M4"/>
    <mergeCell ref="H16:M16"/>
    <mergeCell ref="W4:AB4"/>
    <mergeCell ref="G20:H20"/>
    <mergeCell ref="F18:J18"/>
    <mergeCell ref="L20:M20"/>
    <mergeCell ref="L30:M30"/>
    <mergeCell ref="L31:M31"/>
    <mergeCell ref="G22:H22"/>
    <mergeCell ref="G23:H23"/>
    <mergeCell ref="L21:M21"/>
    <mergeCell ref="L22:M22"/>
    <mergeCell ref="L23:M23"/>
    <mergeCell ref="L28:M28"/>
    <mergeCell ref="L29:M29"/>
  </mergeCells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7FFAA-26DD-4E4F-B035-A7DD57A4A521}">
  <dimension ref="A1:V30"/>
  <sheetViews>
    <sheetView topLeftCell="B1" workbookViewId="0">
      <selection activeCell="J7" sqref="J7"/>
    </sheetView>
  </sheetViews>
  <sheetFormatPr defaultRowHeight="14.4" x14ac:dyDescent="0.3"/>
  <sheetData>
    <row r="1" spans="1:22" x14ac:dyDescent="0.3">
      <c r="Q1" s="15"/>
    </row>
    <row r="2" spans="1:22" x14ac:dyDescent="0.3">
      <c r="Q2" s="15"/>
    </row>
    <row r="3" spans="1:22" x14ac:dyDescent="0.3">
      <c r="F3" s="4"/>
      <c r="G3" s="4"/>
      <c r="H3" s="8"/>
      <c r="I3" s="8"/>
      <c r="J3" s="8"/>
      <c r="K3" s="8"/>
      <c r="L3" s="8"/>
      <c r="M3" s="8"/>
      <c r="N3" s="8"/>
      <c r="O3" s="16"/>
      <c r="P3" s="16"/>
      <c r="Q3" s="8"/>
      <c r="R3" s="8"/>
      <c r="S3" s="8"/>
      <c r="T3" s="8"/>
    </row>
    <row r="4" spans="1:22" x14ac:dyDescent="0.3">
      <c r="B4" t="s">
        <v>24</v>
      </c>
      <c r="C4">
        <v>9.81</v>
      </c>
      <c r="F4" s="4"/>
      <c r="G4" s="4"/>
      <c r="H4" s="8"/>
      <c r="I4" s="8"/>
      <c r="J4" s="8"/>
      <c r="K4" s="8"/>
      <c r="L4" s="8"/>
      <c r="M4" s="8"/>
      <c r="N4" s="8"/>
      <c r="O4" s="16"/>
      <c r="P4" s="16"/>
      <c r="Q4" s="8"/>
      <c r="R4" s="8"/>
      <c r="S4" s="8" t="s">
        <v>52</v>
      </c>
      <c r="T4" s="8"/>
    </row>
    <row r="5" spans="1:22" x14ac:dyDescent="0.3">
      <c r="B5" t="s">
        <v>0</v>
      </c>
      <c r="C5">
        <v>4527</v>
      </c>
      <c r="F5" s="4"/>
      <c r="G5" s="4"/>
      <c r="H5" s="86" t="s">
        <v>11</v>
      </c>
      <c r="I5" s="86"/>
      <c r="J5" s="86"/>
      <c r="K5" s="86"/>
      <c r="L5" s="86"/>
      <c r="M5" s="86"/>
      <c r="N5" s="20"/>
      <c r="O5" s="17"/>
      <c r="P5" s="17"/>
      <c r="Q5" s="14"/>
      <c r="R5" s="14" t="s">
        <v>45</v>
      </c>
      <c r="S5" s="14" t="s">
        <v>46</v>
      </c>
      <c r="T5" s="14" t="s">
        <v>17</v>
      </c>
    </row>
    <row r="6" spans="1:22" x14ac:dyDescent="0.3">
      <c r="B6" t="s">
        <v>1</v>
      </c>
      <c r="C6">
        <v>1937</v>
      </c>
      <c r="F6" s="4"/>
      <c r="G6" s="4"/>
      <c r="H6" s="9"/>
      <c r="I6" s="6"/>
      <c r="J6" s="6" t="s">
        <v>8</v>
      </c>
      <c r="K6" s="6" t="s">
        <v>55</v>
      </c>
      <c r="L6" s="6" t="s">
        <v>54</v>
      </c>
      <c r="M6" s="10" t="s">
        <v>61</v>
      </c>
      <c r="N6" s="11"/>
      <c r="O6" s="15"/>
      <c r="P6" s="18"/>
      <c r="Q6" s="8">
        <f>(4.907^2)/(J8*K8)</f>
        <v>10.817026469778549</v>
      </c>
      <c r="R6" s="8">
        <f>SQRT(M11*J8*K8)</f>
        <v>1.5055917958610838</v>
      </c>
      <c r="S6" s="8">
        <f>K13/(C11+D13)*J8</f>
        <v>3.4216471685480134</v>
      </c>
      <c r="T6" s="8"/>
    </row>
    <row r="7" spans="1:22" x14ac:dyDescent="0.3">
      <c r="B7" t="s">
        <v>2</v>
      </c>
      <c r="C7">
        <v>1213</v>
      </c>
      <c r="F7" s="4"/>
      <c r="G7" s="4"/>
      <c r="H7" s="9"/>
      <c r="I7" s="5" t="s">
        <v>15</v>
      </c>
      <c r="J7" s="5">
        <f>C8*E12</f>
        <v>1537</v>
      </c>
      <c r="K7" s="5">
        <f>C8*D12</f>
        <v>1113</v>
      </c>
      <c r="L7" s="11">
        <f>-0.82</f>
        <v>-0.82</v>
      </c>
      <c r="M7" s="11">
        <f>((J11*0.89)+(J12*D8))/(J10+J11+J12)</f>
        <v>1.6771594594594594</v>
      </c>
      <c r="O7" s="18"/>
      <c r="P7" s="18"/>
      <c r="Q7" s="8"/>
      <c r="R7" s="8"/>
      <c r="S7" s="14" t="s">
        <v>53</v>
      </c>
      <c r="T7" s="8"/>
    </row>
    <row r="8" spans="1:22" x14ac:dyDescent="0.3">
      <c r="B8" t="s">
        <v>3</v>
      </c>
      <c r="C8">
        <v>2650</v>
      </c>
      <c r="D8">
        <v>2.99</v>
      </c>
      <c r="F8" s="4"/>
      <c r="G8" s="4"/>
      <c r="H8" s="9"/>
      <c r="I8" s="5"/>
      <c r="J8" s="6">
        <v>1.5840000000000001</v>
      </c>
      <c r="K8" s="11">
        <v>1.4053</v>
      </c>
      <c r="N8" s="11"/>
      <c r="O8" s="18"/>
      <c r="P8" s="18"/>
      <c r="Q8" s="8"/>
      <c r="R8" s="8"/>
      <c r="S8" s="8">
        <v>3.65</v>
      </c>
      <c r="T8" s="8"/>
    </row>
    <row r="9" spans="1:22" x14ac:dyDescent="0.3">
      <c r="B9" t="s">
        <v>4</v>
      </c>
      <c r="C9">
        <v>1672</v>
      </c>
      <c r="F9" s="4"/>
      <c r="G9" s="4"/>
      <c r="H9" s="9"/>
      <c r="I9" s="5"/>
      <c r="J9" s="5" t="s">
        <v>16</v>
      </c>
      <c r="K9" s="11" t="s">
        <v>19</v>
      </c>
      <c r="L9" s="11"/>
      <c r="M9" s="10"/>
      <c r="N9" s="11"/>
      <c r="O9" s="18"/>
      <c r="P9" s="18"/>
      <c r="Q9" s="8"/>
      <c r="R9" s="8"/>
      <c r="S9" s="8"/>
      <c r="T9" s="8"/>
    </row>
    <row r="10" spans="1:22" x14ac:dyDescent="0.3">
      <c r="B10" t="s">
        <v>5</v>
      </c>
      <c r="C10">
        <v>1606</v>
      </c>
      <c r="F10" s="4"/>
      <c r="G10" s="4"/>
      <c r="H10" s="9"/>
      <c r="I10" s="5" t="s">
        <v>12</v>
      </c>
      <c r="J10" s="5">
        <f>D11</f>
        <v>579.6</v>
      </c>
      <c r="K10" s="11">
        <f>J10*M7^2</f>
        <v>1630.3358888825392</v>
      </c>
      <c r="L10" s="11"/>
      <c r="M10" s="5" t="s">
        <v>20</v>
      </c>
      <c r="N10" s="11" t="s">
        <v>57</v>
      </c>
      <c r="O10" s="18"/>
      <c r="P10" s="18"/>
      <c r="Q10" s="8"/>
      <c r="R10" s="8"/>
      <c r="S10" s="8"/>
    </row>
    <row r="11" spans="1:22" x14ac:dyDescent="0.3">
      <c r="B11" t="s">
        <v>6</v>
      </c>
      <c r="C11">
        <v>1380</v>
      </c>
      <c r="D11">
        <f>C11*D12</f>
        <v>579.6</v>
      </c>
      <c r="E11">
        <f>C11*E12</f>
        <v>800.4</v>
      </c>
      <c r="F11" s="4"/>
      <c r="G11" s="4"/>
      <c r="H11" s="9"/>
      <c r="I11" s="5" t="s">
        <v>13</v>
      </c>
      <c r="J11" s="5">
        <v>100</v>
      </c>
      <c r="K11" s="11">
        <f>J11*(J8-M7)^2</f>
        <v>0.86786848867786515</v>
      </c>
      <c r="L11" s="11"/>
      <c r="M11" s="5">
        <f>K13/(J8*K8*(C11))</f>
        <v>1.0183340268497449</v>
      </c>
      <c r="N11" s="8">
        <f>K13/(J13*(J8*K8))</f>
        <v>0.94952767368422164</v>
      </c>
      <c r="O11" s="18"/>
      <c r="P11" s="18"/>
      <c r="Q11" s="18"/>
      <c r="R11" s="8"/>
      <c r="S11" s="8"/>
      <c r="T11" s="8"/>
      <c r="U11" s="8"/>
    </row>
    <row r="12" spans="1:22" x14ac:dyDescent="0.3">
      <c r="B12" t="s">
        <v>7</v>
      </c>
      <c r="D12">
        <v>0.42</v>
      </c>
      <c r="E12">
        <v>0.57999999999999996</v>
      </c>
      <c r="F12" s="4"/>
      <c r="G12" s="4"/>
      <c r="H12" s="9"/>
      <c r="I12" s="5" t="s">
        <v>14</v>
      </c>
      <c r="J12" s="5">
        <f>E11</f>
        <v>800.4</v>
      </c>
      <c r="K12" s="8">
        <f>(J12+D13)*(D8-M7)^2</f>
        <v>1496.9894275833835</v>
      </c>
      <c r="L12" s="11"/>
      <c r="M12" s="10"/>
      <c r="N12" s="11"/>
      <c r="O12" s="18"/>
      <c r="P12" s="18"/>
      <c r="Q12" s="87" t="s">
        <v>44</v>
      </c>
      <c r="R12" s="87"/>
      <c r="S12" s="87"/>
      <c r="T12" s="87"/>
      <c r="U12" s="87"/>
      <c r="V12" s="87"/>
    </row>
    <row r="13" spans="1:22" x14ac:dyDescent="0.3">
      <c r="A13">
        <v>0.74890000000000001</v>
      </c>
      <c r="B13" t="s">
        <v>21</v>
      </c>
      <c r="C13">
        <v>91</v>
      </c>
      <c r="D13">
        <f>C13*A13</f>
        <v>68.149900000000002</v>
      </c>
      <c r="F13" s="4"/>
      <c r="G13" s="4"/>
      <c r="H13" s="12"/>
      <c r="I13" s="7" t="s">
        <v>18</v>
      </c>
      <c r="J13" s="7">
        <f>J10+J11+J12</f>
        <v>1480</v>
      </c>
      <c r="K13" s="7">
        <f>K10+K11+K12</f>
        <v>3128.1931849546008</v>
      </c>
      <c r="L13" s="7"/>
      <c r="M13" s="13"/>
      <c r="N13" s="11"/>
      <c r="O13" s="18"/>
      <c r="P13" s="18"/>
    </row>
    <row r="14" spans="1:22" x14ac:dyDescent="0.3">
      <c r="F14" s="4"/>
      <c r="G14" s="4"/>
      <c r="H14" s="8"/>
      <c r="I14" s="8"/>
      <c r="J14" s="8"/>
      <c r="K14" s="8"/>
      <c r="L14" s="8"/>
      <c r="M14" s="8"/>
      <c r="N14" s="8"/>
      <c r="O14" s="16"/>
      <c r="P14" s="16"/>
      <c r="R14" t="s">
        <v>8</v>
      </c>
      <c r="S14" t="s">
        <v>50</v>
      </c>
      <c r="T14">
        <f>T15+(J13*K8/K13)</f>
        <v>0.66600391821145577</v>
      </c>
    </row>
    <row r="15" spans="1:22" x14ac:dyDescent="0.3">
      <c r="B15" t="s">
        <v>10</v>
      </c>
      <c r="F15" s="4"/>
      <c r="G15" s="4"/>
      <c r="H15" s="8"/>
      <c r="I15" s="8"/>
      <c r="J15" s="8"/>
      <c r="K15" s="8"/>
      <c r="L15" s="8"/>
      <c r="M15" s="8"/>
      <c r="N15" s="8"/>
      <c r="O15" s="16"/>
      <c r="P15" s="16"/>
      <c r="R15" t="s">
        <v>48</v>
      </c>
      <c r="S15" t="s">
        <v>47</v>
      </c>
      <c r="T15">
        <f>M7/J13</f>
        <v>1.1332158509861213E-3</v>
      </c>
    </row>
    <row r="16" spans="1:22" x14ac:dyDescent="0.3">
      <c r="B16" t="s">
        <v>8</v>
      </c>
      <c r="C16">
        <v>245</v>
      </c>
      <c r="D16">
        <v>35</v>
      </c>
      <c r="F16" s="4"/>
      <c r="G16" s="4"/>
      <c r="H16" s="8"/>
      <c r="I16" s="8"/>
      <c r="J16" s="8"/>
      <c r="K16" s="8"/>
      <c r="L16" s="8"/>
      <c r="M16" s="8"/>
      <c r="N16" s="8"/>
      <c r="O16" s="16"/>
      <c r="P16" s="16"/>
      <c r="R16" t="s">
        <v>49</v>
      </c>
      <c r="S16" t="s">
        <v>51</v>
      </c>
      <c r="T16">
        <f>T15-(J13*K8/K13)</f>
        <v>-0.6637374865094835</v>
      </c>
    </row>
    <row r="17" spans="1:21" x14ac:dyDescent="0.3">
      <c r="B17" t="s">
        <v>9</v>
      </c>
      <c r="C17">
        <v>295</v>
      </c>
      <c r="D17">
        <v>35</v>
      </c>
      <c r="F17" s="4"/>
      <c r="G17" s="4"/>
      <c r="H17" s="79" t="s">
        <v>23</v>
      </c>
      <c r="I17" s="79"/>
      <c r="J17" s="79"/>
      <c r="K17" s="79"/>
      <c r="L17" s="79"/>
      <c r="M17" s="79"/>
      <c r="N17" s="21"/>
      <c r="O17" s="19"/>
      <c r="P17" s="19"/>
      <c r="Q17" s="19"/>
      <c r="R17" s="8"/>
      <c r="S17" s="8"/>
      <c r="T17" s="8"/>
      <c r="U17" s="8"/>
    </row>
    <row r="18" spans="1:21" x14ac:dyDescent="0.3">
      <c r="F18" s="4"/>
      <c r="G18" s="4"/>
      <c r="H18" s="8"/>
      <c r="I18" s="8"/>
      <c r="J18" s="8"/>
      <c r="K18" s="8"/>
      <c r="L18" s="8"/>
      <c r="M18" s="8"/>
      <c r="N18" s="8"/>
      <c r="O18" s="16"/>
      <c r="P18" s="16"/>
      <c r="Q18" s="16"/>
      <c r="R18" s="8" t="s">
        <v>56</v>
      </c>
      <c r="S18" s="8"/>
      <c r="T18" s="8">
        <f>K13/(J13*J8)</f>
        <v>1.3343712398284366</v>
      </c>
      <c r="U18" s="8"/>
    </row>
    <row r="19" spans="1:21" x14ac:dyDescent="0.3">
      <c r="B19" t="s">
        <v>22</v>
      </c>
      <c r="C19">
        <v>0.02</v>
      </c>
      <c r="F19" s="4"/>
      <c r="G19" s="4"/>
      <c r="H19" s="8"/>
      <c r="I19" s="8"/>
      <c r="J19" s="8"/>
      <c r="K19" s="8"/>
      <c r="L19" s="8"/>
      <c r="M19" s="8"/>
      <c r="N19" s="8"/>
      <c r="O19" s="15"/>
      <c r="P19" s="16"/>
      <c r="Q19" s="16"/>
      <c r="R19" s="8"/>
      <c r="S19" s="8"/>
      <c r="T19" s="8"/>
    </row>
    <row r="20" spans="1:21" x14ac:dyDescent="0.3">
      <c r="B20" t="s">
        <v>25</v>
      </c>
      <c r="C20">
        <f>((C11+D13+J11)*C4)*C19</f>
        <v>303.74701038000001</v>
      </c>
      <c r="F20" s="4"/>
      <c r="G20" s="4"/>
      <c r="H20" s="8"/>
      <c r="I20" s="8"/>
      <c r="J20" s="8"/>
      <c r="K20" s="8"/>
      <c r="L20" s="8"/>
      <c r="M20" s="8"/>
      <c r="N20" s="8"/>
      <c r="O20" s="16"/>
      <c r="P20" s="16"/>
      <c r="Q20" s="16"/>
      <c r="R20" s="8"/>
      <c r="S20" s="8"/>
      <c r="T20" s="8"/>
    </row>
    <row r="21" spans="1:21" x14ac:dyDescent="0.3">
      <c r="F21" s="4"/>
      <c r="G21" s="4"/>
      <c r="H21" s="8"/>
      <c r="I21" s="8"/>
      <c r="J21" s="8"/>
      <c r="K21" s="8"/>
      <c r="L21" s="8"/>
      <c r="M21" s="8"/>
      <c r="N21" s="8"/>
      <c r="O21" s="16"/>
      <c r="P21" s="16"/>
      <c r="Q21" s="16"/>
      <c r="R21" s="8"/>
      <c r="S21" s="8"/>
      <c r="T21" s="8"/>
    </row>
    <row r="22" spans="1:21" x14ac:dyDescent="0.3">
      <c r="B22" t="s">
        <v>26</v>
      </c>
      <c r="C22">
        <v>0.32</v>
      </c>
      <c r="O22" s="15"/>
      <c r="P22" s="15"/>
      <c r="Q22" s="15"/>
      <c r="T22" s="8"/>
    </row>
    <row r="23" spans="1:21" x14ac:dyDescent="0.3">
      <c r="O23" s="15"/>
      <c r="P23" s="15"/>
      <c r="Q23" s="15"/>
    </row>
    <row r="24" spans="1:21" x14ac:dyDescent="0.3">
      <c r="O24" s="15"/>
      <c r="P24" s="15"/>
      <c r="Q24" s="15"/>
    </row>
    <row r="25" spans="1:21" x14ac:dyDescent="0.3">
      <c r="B25" s="1"/>
      <c r="C25" s="1"/>
      <c r="D25" s="1"/>
      <c r="E25" s="1"/>
      <c r="O25" s="15"/>
      <c r="P25" s="15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</row>
    <row r="28" spans="1:21" x14ac:dyDescent="0.3">
      <c r="B28" s="1"/>
      <c r="C28" s="1"/>
      <c r="D28" s="1"/>
      <c r="E28" s="1"/>
    </row>
    <row r="29" spans="1:21" x14ac:dyDescent="0.3">
      <c r="B29" s="1"/>
      <c r="C29" s="1"/>
      <c r="D29" s="1"/>
      <c r="E29" s="1"/>
    </row>
    <row r="30" spans="1:21" x14ac:dyDescent="0.3">
      <c r="B30" s="1"/>
      <c r="C30" s="1"/>
      <c r="D30" s="1"/>
      <c r="E30" s="1"/>
    </row>
  </sheetData>
  <mergeCells count="3">
    <mergeCell ref="H5:M5"/>
    <mergeCell ref="Q12:V12"/>
    <mergeCell ref="H17:M17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Wilkinson</dc:creator>
  <cp:lastModifiedBy>Steven Wilkinson</cp:lastModifiedBy>
  <dcterms:created xsi:type="dcterms:W3CDTF">2020-04-28T13:03:19Z</dcterms:created>
  <dcterms:modified xsi:type="dcterms:W3CDTF">2020-05-19T20:00:48Z</dcterms:modified>
</cp:coreProperties>
</file>