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lerie\Documents\sean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0" i="1" l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29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68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29" i="1"/>
  <c r="C29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4" i="1"/>
  <c r="C43" i="1"/>
  <c r="C42" i="1"/>
  <c r="C41" i="1"/>
  <c r="C40" i="1"/>
  <c r="C30" i="1"/>
  <c r="C31" i="1"/>
  <c r="C32" i="1"/>
  <c r="C33" i="1"/>
  <c r="C34" i="1"/>
  <c r="C35" i="1"/>
  <c r="C36" i="1"/>
  <c r="C37" i="1"/>
  <c r="C38" i="1"/>
  <c r="C39" i="1"/>
  <c r="C26" i="1"/>
  <c r="C23" i="1"/>
  <c r="C22" i="1"/>
  <c r="C21" i="1"/>
  <c r="C20" i="1"/>
  <c r="H68" i="1" l="1"/>
  <c r="P68" i="1"/>
</calcChain>
</file>

<file path=xl/sharedStrings.xml><?xml version="1.0" encoding="utf-8"?>
<sst xmlns="http://schemas.openxmlformats.org/spreadsheetml/2006/main" count="103" uniqueCount="59">
  <si>
    <t>mass</t>
  </si>
  <si>
    <t>Kg</t>
  </si>
  <si>
    <t>wheelbase</t>
  </si>
  <si>
    <t>m</t>
  </si>
  <si>
    <t>g</t>
  </si>
  <si>
    <t>%front</t>
  </si>
  <si>
    <t>Kg/m^3</t>
  </si>
  <si>
    <t>m^2</t>
  </si>
  <si>
    <t>%left</t>
  </si>
  <si>
    <t>centre of gravity height</t>
  </si>
  <si>
    <t>static weight distribution front</t>
  </si>
  <si>
    <t>static weight distribution (left)</t>
  </si>
  <si>
    <t>Cl</t>
  </si>
  <si>
    <t>A</t>
  </si>
  <si>
    <t>Air density</t>
  </si>
  <si>
    <t>centre of pressure</t>
  </si>
  <si>
    <t>Average track</t>
  </si>
  <si>
    <t>maximum g</t>
  </si>
  <si>
    <t>static load Fl</t>
  </si>
  <si>
    <t>N</t>
  </si>
  <si>
    <t>Static vertical loads</t>
  </si>
  <si>
    <t>static load FR</t>
  </si>
  <si>
    <t>static load RL</t>
  </si>
  <si>
    <t>static load RR</t>
  </si>
  <si>
    <t>Aero load 30m/s</t>
  </si>
  <si>
    <t>values given</t>
  </si>
  <si>
    <t>0G</t>
  </si>
  <si>
    <t>0.10G</t>
  </si>
  <si>
    <t>lateral weight transfer</t>
  </si>
  <si>
    <t>0.20G</t>
  </si>
  <si>
    <t>0.30G</t>
  </si>
  <si>
    <t>0.40G</t>
  </si>
  <si>
    <t>0.50G</t>
  </si>
  <si>
    <t>0.60G</t>
  </si>
  <si>
    <t>0.70G</t>
  </si>
  <si>
    <t>0.80G</t>
  </si>
  <si>
    <t>0.90G</t>
  </si>
  <si>
    <t>1.00G</t>
  </si>
  <si>
    <t>1.10G</t>
  </si>
  <si>
    <t>1.20G</t>
  </si>
  <si>
    <t>1.30G</t>
  </si>
  <si>
    <t>1.40G</t>
  </si>
  <si>
    <t>1.50G</t>
  </si>
  <si>
    <t>Front left load</t>
  </si>
  <si>
    <t>acceleration value   G</t>
  </si>
  <si>
    <t>Longitudinal weight transfer</t>
  </si>
  <si>
    <t>Front right load</t>
  </si>
  <si>
    <t>Acceleration value   G</t>
  </si>
  <si>
    <t>Rear left load</t>
  </si>
  <si>
    <t>Rear right load</t>
  </si>
  <si>
    <t>load   N</t>
  </si>
  <si>
    <t>longitudinal weight transfer</t>
  </si>
  <si>
    <t>Load (N)</t>
  </si>
  <si>
    <t>Acceleration value (G)</t>
  </si>
  <si>
    <t>Step 3 part a</t>
  </si>
  <si>
    <t>Step 3 part b</t>
  </si>
  <si>
    <t>Lateral weight transfer (Kg)</t>
  </si>
  <si>
    <t xml:space="preserve"> 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</si>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</sst>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Font="1" applyBorder="1"/>
    <xf numFmtId="0" fontId="0" fillId="2" borderId="1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left load against </a:t>
            </a:r>
          </a:p>
          <a:p>
            <a:pPr>
              <a:defRPr/>
            </a:pPr>
            <a:r>
              <a:rPr lang="en-US"/>
              <a:t>logitudinal weight transfer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Sheet1!$H$28</c:f>
              <c:strCache>
                <c:ptCount val="1"/>
                <c:pt idx="0">
                  <c:v>load   N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Sheet1!$G$29:$G$44</c:f>
              <c:numCache>
                <c:formatCode>General</c:formatCode>
                <c:ptCount val="16"/>
                <c:pt idx="0">
                  <c:v>0</c:v>
                </c:pt>
                <c:pt idx="1">
                  <c:v>8.0742857142857147</c:v>
                </c:pt>
                <c:pt idx="2">
                  <c:v>16.148571428571429</c:v>
                </c:pt>
                <c:pt idx="3">
                  <c:v>24.222857142857144</c:v>
                </c:pt>
                <c:pt idx="4">
                  <c:v>32.297142857142859</c:v>
                </c:pt>
                <c:pt idx="5">
                  <c:v>40.371428571428574</c:v>
                </c:pt>
                <c:pt idx="6">
                  <c:v>48.445714285714288</c:v>
                </c:pt>
                <c:pt idx="7">
                  <c:v>56.519999999999996</c:v>
                </c:pt>
                <c:pt idx="8">
                  <c:v>64.594285714285718</c:v>
                </c:pt>
                <c:pt idx="9">
                  <c:v>72.66857142857144</c:v>
                </c:pt>
                <c:pt idx="10">
                  <c:v>80.742857142857147</c:v>
                </c:pt>
                <c:pt idx="11">
                  <c:v>88.817142857142869</c:v>
                </c:pt>
                <c:pt idx="12">
                  <c:v>96.891428571428577</c:v>
                </c:pt>
                <c:pt idx="13">
                  <c:v>104.96571428571428</c:v>
                </c:pt>
                <c:pt idx="14">
                  <c:v>113.03999999999999</c:v>
                </c:pt>
                <c:pt idx="15">
                  <c:v>121.11428571428573</c:v>
                </c:pt>
              </c:numCache>
            </c:numRef>
          </c:xVal>
          <c:yVal>
            <c:numRef>
              <c:f>Sheet1!$H$29:$H$44</c:f>
              <c:numCache>
                <c:formatCode>General</c:formatCode>
                <c:ptCount val="16"/>
                <c:pt idx="0">
                  <c:v>10075.383396000001</c:v>
                </c:pt>
                <c:pt idx="1">
                  <c:v>10487.171967428572</c:v>
                </c:pt>
                <c:pt idx="2">
                  <c:v>10898.960538857144</c:v>
                </c:pt>
                <c:pt idx="3">
                  <c:v>11310.749110285715</c:v>
                </c:pt>
                <c:pt idx="4">
                  <c:v>11722.537681714286</c:v>
                </c:pt>
                <c:pt idx="5">
                  <c:v>12134.326253142857</c:v>
                </c:pt>
                <c:pt idx="6">
                  <c:v>12546.114824571428</c:v>
                </c:pt>
                <c:pt idx="7">
                  <c:v>12957.903396000002</c:v>
                </c:pt>
                <c:pt idx="8">
                  <c:v>13369.691967428571</c:v>
                </c:pt>
                <c:pt idx="9">
                  <c:v>13781.480538857144</c:v>
                </c:pt>
                <c:pt idx="10">
                  <c:v>14193.269110285713</c:v>
                </c:pt>
                <c:pt idx="11">
                  <c:v>14605.057681714286</c:v>
                </c:pt>
                <c:pt idx="12">
                  <c:v>15016.846253142858</c:v>
                </c:pt>
                <c:pt idx="13">
                  <c:v>15428.634824571429</c:v>
                </c:pt>
                <c:pt idx="14">
                  <c:v>15840.423396</c:v>
                </c:pt>
                <c:pt idx="15">
                  <c:v>16252.211967428571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1294688"/>
        <c:axId val="461293904"/>
      </c:scatterChart>
      <c:valAx>
        <c:axId val="461294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weight tranfer (Kg)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293904"/>
        <c:crosses val="autoZero"/>
        <c:crossBetween val="midCat"/>
      </c:valAx>
      <c:valAx>
        <c:axId val="461293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294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</a:t>
            </a:r>
            <a:r>
              <a:rPr lang="en-US" baseline="0"/>
              <a:t> right load against</a:t>
            </a:r>
          </a:p>
          <a:p>
            <a:pPr>
              <a:defRPr/>
            </a:pPr>
            <a:r>
              <a:rPr lang="en-US" baseline="0"/>
              <a:t>longitudinal weight transfer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Sheet1!$L$28</c:f>
              <c:strCache>
                <c:ptCount val="1"/>
                <c:pt idx="0">
                  <c:v>load   N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Sheet1!$K$29:$K$44</c:f>
              <c:numCache>
                <c:formatCode>General</c:formatCode>
                <c:ptCount val="16"/>
                <c:pt idx="0">
                  <c:v>0</c:v>
                </c:pt>
                <c:pt idx="1">
                  <c:v>8.0742857142857147</c:v>
                </c:pt>
                <c:pt idx="2">
                  <c:v>16.148571428571429</c:v>
                </c:pt>
                <c:pt idx="3">
                  <c:v>24.222857142857144</c:v>
                </c:pt>
                <c:pt idx="4">
                  <c:v>32.297142857142859</c:v>
                </c:pt>
                <c:pt idx="5">
                  <c:v>40.371428571428574</c:v>
                </c:pt>
                <c:pt idx="6">
                  <c:v>48.445714285714288</c:v>
                </c:pt>
                <c:pt idx="7">
                  <c:v>56.519999999999996</c:v>
                </c:pt>
                <c:pt idx="8">
                  <c:v>64.594285714285718</c:v>
                </c:pt>
                <c:pt idx="9">
                  <c:v>72.66857142857144</c:v>
                </c:pt>
                <c:pt idx="10">
                  <c:v>80.742857142857147</c:v>
                </c:pt>
                <c:pt idx="11">
                  <c:v>88.817142857142869</c:v>
                </c:pt>
                <c:pt idx="12">
                  <c:v>96.891428571428577</c:v>
                </c:pt>
                <c:pt idx="13">
                  <c:v>104.96571428571428</c:v>
                </c:pt>
                <c:pt idx="14">
                  <c:v>113.03999999999999</c:v>
                </c:pt>
                <c:pt idx="15">
                  <c:v>121.11428571428573</c:v>
                </c:pt>
              </c:numCache>
            </c:numRef>
          </c:xVal>
          <c:yVal>
            <c:numRef>
              <c:f>Sheet1!$L$29:$L$44</c:f>
              <c:numCache>
                <c:formatCode>General</c:formatCode>
                <c:ptCount val="16"/>
                <c:pt idx="0">
                  <c:v>10017.473003999999</c:v>
                </c:pt>
                <c:pt idx="1">
                  <c:v>10413.113004000001</c:v>
                </c:pt>
                <c:pt idx="2">
                  <c:v>10808.753004</c:v>
                </c:pt>
                <c:pt idx="3">
                  <c:v>11204.393004000001</c:v>
                </c:pt>
                <c:pt idx="4">
                  <c:v>11600.033004000001</c:v>
                </c:pt>
                <c:pt idx="5">
                  <c:v>11995.673004</c:v>
                </c:pt>
                <c:pt idx="6">
                  <c:v>12391.313004</c:v>
                </c:pt>
                <c:pt idx="7">
                  <c:v>12786.953004000001</c:v>
                </c:pt>
                <c:pt idx="8">
                  <c:v>13182.593004</c:v>
                </c:pt>
                <c:pt idx="9">
                  <c:v>13578.233004000002</c:v>
                </c:pt>
                <c:pt idx="10">
                  <c:v>13973.873004000001</c:v>
                </c:pt>
                <c:pt idx="11">
                  <c:v>14369.513004</c:v>
                </c:pt>
                <c:pt idx="12">
                  <c:v>14765.153004</c:v>
                </c:pt>
                <c:pt idx="13">
                  <c:v>15160.793003999999</c:v>
                </c:pt>
                <c:pt idx="14">
                  <c:v>15556.433004</c:v>
                </c:pt>
                <c:pt idx="15">
                  <c:v>15952.073004000002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7979288"/>
        <c:axId val="297978896"/>
      </c:scatterChart>
      <c:valAx>
        <c:axId val="297979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</a:t>
                </a:r>
                <a:r>
                  <a:rPr lang="en-GB" baseline="0"/>
                  <a:t> weight tranfer (Kg)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978896"/>
        <c:crosses val="autoZero"/>
        <c:crossBetween val="midCat"/>
      </c:valAx>
      <c:valAx>
        <c:axId val="297978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979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Rear</a:t>
            </a:r>
            <a:r>
              <a:rPr lang="en-US" baseline="0"/>
              <a:t> left load against</a:t>
            </a:r>
          </a:p>
          <a:p>
            <a:pPr>
              <a:defRPr/>
            </a:pPr>
            <a:r>
              <a:rPr lang="en-US" baseline="0"/>
              <a:t>longitudinal weight transfer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Sheet1!$P$28</c:f>
              <c:strCache>
                <c:ptCount val="1"/>
                <c:pt idx="0">
                  <c:v>Load (N)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Sheet1!$O$29:$O$44</c:f>
              <c:numCache>
                <c:formatCode>General</c:formatCode>
                <c:ptCount val="16"/>
                <c:pt idx="0">
                  <c:v>0</c:v>
                </c:pt>
                <c:pt idx="1">
                  <c:v>8.0742857142857147</c:v>
                </c:pt>
                <c:pt idx="2">
                  <c:v>16.148571428571429</c:v>
                </c:pt>
                <c:pt idx="3">
                  <c:v>24.222857142857144</c:v>
                </c:pt>
                <c:pt idx="4">
                  <c:v>32.297142857142859</c:v>
                </c:pt>
                <c:pt idx="5">
                  <c:v>40.371428571428574</c:v>
                </c:pt>
                <c:pt idx="6">
                  <c:v>48.445714285714288</c:v>
                </c:pt>
                <c:pt idx="7">
                  <c:v>56.519999999999996</c:v>
                </c:pt>
                <c:pt idx="8">
                  <c:v>64.594285714285718</c:v>
                </c:pt>
                <c:pt idx="9">
                  <c:v>72.66857142857144</c:v>
                </c:pt>
                <c:pt idx="10">
                  <c:v>80.742857142857147</c:v>
                </c:pt>
                <c:pt idx="11">
                  <c:v>88.817142857142869</c:v>
                </c:pt>
                <c:pt idx="12">
                  <c:v>96.891428571428577</c:v>
                </c:pt>
                <c:pt idx="13">
                  <c:v>104.96571428571428</c:v>
                </c:pt>
                <c:pt idx="14">
                  <c:v>113.03999999999999</c:v>
                </c:pt>
                <c:pt idx="15">
                  <c:v>121.11428571428573</c:v>
                </c:pt>
              </c:numCache>
            </c:numRef>
          </c:xVal>
          <c:yVal>
            <c:numRef>
              <c:f>Sheet1!$P$29:$P$44</c:f>
              <c:numCache>
                <c:formatCode>General</c:formatCode>
                <c:ptCount val="16"/>
                <c:pt idx="0">
                  <c:v>13539.583404000001</c:v>
                </c:pt>
                <c:pt idx="1">
                  <c:v>13127.794832571428</c:v>
                </c:pt>
                <c:pt idx="2">
                  <c:v>12716.006261142857</c:v>
                </c:pt>
                <c:pt idx="3">
                  <c:v>12304.217689714285</c:v>
                </c:pt>
                <c:pt idx="4">
                  <c:v>11892.429118285714</c:v>
                </c:pt>
                <c:pt idx="5">
                  <c:v>11480.640546857143</c:v>
                </c:pt>
                <c:pt idx="6">
                  <c:v>11068.851975428572</c:v>
                </c:pt>
                <c:pt idx="7">
                  <c:v>10657.063404</c:v>
                </c:pt>
                <c:pt idx="8">
                  <c:v>10245.274832571427</c:v>
                </c:pt>
                <c:pt idx="9">
                  <c:v>9833.4862611428562</c:v>
                </c:pt>
                <c:pt idx="10">
                  <c:v>9421.6976897142849</c:v>
                </c:pt>
                <c:pt idx="11">
                  <c:v>9009.9091182857137</c:v>
                </c:pt>
                <c:pt idx="12">
                  <c:v>8598.1205468571425</c:v>
                </c:pt>
                <c:pt idx="13">
                  <c:v>8186.3319754285712</c:v>
                </c:pt>
                <c:pt idx="14">
                  <c:v>7774.543404</c:v>
                </c:pt>
                <c:pt idx="15">
                  <c:v>7362.7548325714279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5567328"/>
        <c:axId val="395568112"/>
      </c:scatterChart>
      <c:valAx>
        <c:axId val="395567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</a:t>
                </a:r>
                <a:r>
                  <a:rPr lang="en-GB" baseline="0"/>
                  <a:t> weight transfer (Kg)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568112"/>
        <c:crosses val="autoZero"/>
        <c:crossBetween val="midCat"/>
      </c:valAx>
      <c:valAx>
        <c:axId val="39556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567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</a:t>
            </a:r>
            <a:r>
              <a:rPr lang="en-GB" baseline="0"/>
              <a:t> right load against</a:t>
            </a:r>
          </a:p>
          <a:p>
            <a:pPr>
              <a:defRPr/>
            </a:pPr>
            <a:r>
              <a:rPr lang="en-GB" baseline="0"/>
              <a:t>longitudinal weight transfer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Sheet1!$S$29:$S$44</c:f>
              <c:numCache>
                <c:formatCode>General</c:formatCode>
                <c:ptCount val="16"/>
                <c:pt idx="0">
                  <c:v>0</c:v>
                </c:pt>
                <c:pt idx="1">
                  <c:v>8.0742857142857147</c:v>
                </c:pt>
                <c:pt idx="2">
                  <c:v>16.148571428571429</c:v>
                </c:pt>
                <c:pt idx="3">
                  <c:v>24.222857142857144</c:v>
                </c:pt>
                <c:pt idx="4">
                  <c:v>32.297142857142859</c:v>
                </c:pt>
                <c:pt idx="5">
                  <c:v>40.371428571428574</c:v>
                </c:pt>
                <c:pt idx="6">
                  <c:v>48.445714285714288</c:v>
                </c:pt>
                <c:pt idx="7">
                  <c:v>56.519999999999996</c:v>
                </c:pt>
                <c:pt idx="8">
                  <c:v>64.594285714285718</c:v>
                </c:pt>
                <c:pt idx="9">
                  <c:v>72.66857142857144</c:v>
                </c:pt>
                <c:pt idx="10">
                  <c:v>80.742857142857147</c:v>
                </c:pt>
                <c:pt idx="11">
                  <c:v>88.817142857142869</c:v>
                </c:pt>
                <c:pt idx="12">
                  <c:v>96.891428571428577</c:v>
                </c:pt>
                <c:pt idx="13">
                  <c:v>104.96571428571428</c:v>
                </c:pt>
                <c:pt idx="14">
                  <c:v>113.03999999999999</c:v>
                </c:pt>
                <c:pt idx="15">
                  <c:v>121.11428571428573</c:v>
                </c:pt>
              </c:numCache>
            </c:numRef>
          </c:xVal>
          <c:yVal>
            <c:numRef>
              <c:f>Sheet1!$T$29:$T$44</c:f>
              <c:numCache>
                <c:formatCode>General</c:formatCode>
                <c:ptCount val="16"/>
                <c:pt idx="0">
                  <c:v>13474.280196</c:v>
                </c:pt>
                <c:pt idx="1">
                  <c:v>13078.640196</c:v>
                </c:pt>
                <c:pt idx="2">
                  <c:v>12683.000195999999</c:v>
                </c:pt>
                <c:pt idx="3">
                  <c:v>12287.360196</c:v>
                </c:pt>
                <c:pt idx="4">
                  <c:v>11891.720196</c:v>
                </c:pt>
                <c:pt idx="5">
                  <c:v>11496.080195999999</c:v>
                </c:pt>
                <c:pt idx="6">
                  <c:v>11100.440196</c:v>
                </c:pt>
                <c:pt idx="7">
                  <c:v>10704.800196</c:v>
                </c:pt>
                <c:pt idx="8">
                  <c:v>10309.160195999999</c:v>
                </c:pt>
                <c:pt idx="9">
                  <c:v>9913.5201959999995</c:v>
                </c:pt>
                <c:pt idx="10">
                  <c:v>9517.8801960000001</c:v>
                </c:pt>
                <c:pt idx="11">
                  <c:v>9122.2401959999988</c:v>
                </c:pt>
                <c:pt idx="12">
                  <c:v>8726.6001959999994</c:v>
                </c:pt>
                <c:pt idx="13">
                  <c:v>8330.960196</c:v>
                </c:pt>
                <c:pt idx="14">
                  <c:v>7935.3201959999997</c:v>
                </c:pt>
                <c:pt idx="15">
                  <c:v>7539.6801959999993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15184"/>
        <c:axId val="5518712"/>
      </c:scatterChart>
      <c:valAx>
        <c:axId val="5515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</a:t>
                </a:r>
                <a:r>
                  <a:rPr lang="en-GB" baseline="0"/>
                  <a:t> weight transfer (Kg)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8712"/>
        <c:crosses val="autoZero"/>
        <c:crossBetween val="midCat"/>
      </c:valAx>
      <c:valAx>
        <c:axId val="5518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5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 left load against</a:t>
            </a:r>
          </a:p>
          <a:p>
            <a:pPr>
              <a:defRPr/>
            </a:pPr>
            <a:r>
              <a:rPr lang="en-GB"/>
              <a:t>lateral weight transfer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Sheet1!$G$68:$G$83</c:f>
              <c:numCache>
                <c:formatCode>General</c:formatCode>
                <c:ptCount val="16"/>
                <c:pt idx="0">
                  <c:v>0</c:v>
                </c:pt>
                <c:pt idx="1">
                  <c:v>13.955555555555556</c:v>
                </c:pt>
                <c:pt idx="2">
                  <c:v>27.911111111111111</c:v>
                </c:pt>
                <c:pt idx="3">
                  <c:v>41.86666666666666</c:v>
                </c:pt>
                <c:pt idx="4">
                  <c:v>55.822222222222223</c:v>
                </c:pt>
                <c:pt idx="5">
                  <c:v>69.777777777777771</c:v>
                </c:pt>
                <c:pt idx="6">
                  <c:v>83.73333333333332</c:v>
                </c:pt>
                <c:pt idx="7">
                  <c:v>97.688888888888869</c:v>
                </c:pt>
                <c:pt idx="8">
                  <c:v>111.64444444444445</c:v>
                </c:pt>
                <c:pt idx="9">
                  <c:v>125.6</c:v>
                </c:pt>
                <c:pt idx="10">
                  <c:v>139.55555555555554</c:v>
                </c:pt>
                <c:pt idx="11">
                  <c:v>153.51111111111112</c:v>
                </c:pt>
                <c:pt idx="12">
                  <c:v>167.46666666666664</c:v>
                </c:pt>
                <c:pt idx="13">
                  <c:v>181.42222222222222</c:v>
                </c:pt>
                <c:pt idx="14">
                  <c:v>195.37777777777774</c:v>
                </c:pt>
                <c:pt idx="15">
                  <c:v>209.33333333333331</c:v>
                </c:pt>
              </c:numCache>
            </c:numRef>
          </c:xVal>
          <c:yVal>
            <c:numRef>
              <c:f>Sheet1!$H$68:$H$83</c:f>
              <c:numCache>
                <c:formatCode>General</c:formatCode>
                <c:ptCount val="16"/>
                <c:pt idx="0">
                  <c:v>10075.383396000001</c:v>
                </c:pt>
                <c:pt idx="1">
                  <c:v>10731.294507111112</c:v>
                </c:pt>
                <c:pt idx="2">
                  <c:v>11387.205618222222</c:v>
                </c:pt>
                <c:pt idx="3">
                  <c:v>12043.116729333335</c:v>
                </c:pt>
                <c:pt idx="4">
                  <c:v>12699.027840444445</c:v>
                </c:pt>
                <c:pt idx="5">
                  <c:v>13354.938951555556</c:v>
                </c:pt>
                <c:pt idx="6">
                  <c:v>14010.850062666666</c:v>
                </c:pt>
                <c:pt idx="7">
                  <c:v>14666.761173777777</c:v>
                </c:pt>
                <c:pt idx="8">
                  <c:v>15322.672284888889</c:v>
                </c:pt>
                <c:pt idx="9">
                  <c:v>15978.583396</c:v>
                </c:pt>
                <c:pt idx="10">
                  <c:v>16634.494507111111</c:v>
                </c:pt>
                <c:pt idx="11">
                  <c:v>17290.405618222223</c:v>
                </c:pt>
                <c:pt idx="12">
                  <c:v>17946.316729333332</c:v>
                </c:pt>
                <c:pt idx="13">
                  <c:v>18602.227840444444</c:v>
                </c:pt>
                <c:pt idx="14">
                  <c:v>19258.138951555557</c:v>
                </c:pt>
                <c:pt idx="15">
                  <c:v>19914.050062666669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1600384"/>
        <c:axId val="461601952"/>
      </c:scatterChart>
      <c:valAx>
        <c:axId val="461600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wieght transfer (Kg)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601952"/>
        <c:crosses val="autoZero"/>
        <c:crossBetween val="midCat"/>
      </c:valAx>
      <c:valAx>
        <c:axId val="46160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600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</a:t>
            </a:r>
            <a:r>
              <a:rPr lang="en-GB" baseline="0"/>
              <a:t> right load against</a:t>
            </a:r>
          </a:p>
          <a:p>
            <a:pPr>
              <a:defRPr/>
            </a:pPr>
            <a:r>
              <a:rPr lang="en-GB" baseline="0"/>
              <a:t>lateral weight transfer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Sheet1!$K$68:$K$83</c:f>
              <c:numCache>
                <c:formatCode>General</c:formatCode>
                <c:ptCount val="16"/>
                <c:pt idx="0">
                  <c:v>0</c:v>
                </c:pt>
                <c:pt idx="1">
                  <c:v>13.955555555555556</c:v>
                </c:pt>
                <c:pt idx="2">
                  <c:v>27.911111111111111</c:v>
                </c:pt>
                <c:pt idx="3">
                  <c:v>41.86666666666666</c:v>
                </c:pt>
                <c:pt idx="4">
                  <c:v>55.822222222222223</c:v>
                </c:pt>
                <c:pt idx="5">
                  <c:v>69.777777777777771</c:v>
                </c:pt>
                <c:pt idx="6">
                  <c:v>83.73333333333332</c:v>
                </c:pt>
                <c:pt idx="7">
                  <c:v>97.688888888888869</c:v>
                </c:pt>
                <c:pt idx="8">
                  <c:v>111.64444444444445</c:v>
                </c:pt>
                <c:pt idx="9">
                  <c:v>125.6</c:v>
                </c:pt>
                <c:pt idx="10">
                  <c:v>139.55555555555554</c:v>
                </c:pt>
                <c:pt idx="11">
                  <c:v>153.51111111111112</c:v>
                </c:pt>
                <c:pt idx="12">
                  <c:v>167.46666666666664</c:v>
                </c:pt>
                <c:pt idx="13">
                  <c:v>181.42222222222222</c:v>
                </c:pt>
                <c:pt idx="14">
                  <c:v>195.37777777777774</c:v>
                </c:pt>
                <c:pt idx="15">
                  <c:v>209.33333333333331</c:v>
                </c:pt>
              </c:numCache>
            </c:numRef>
          </c:xVal>
          <c:yVal>
            <c:numRef>
              <c:f>Sheet1!$L$68:$L$83</c:f>
              <c:numCache>
                <c:formatCode>General</c:formatCode>
                <c:ptCount val="16"/>
                <c:pt idx="0">
                  <c:v>10017.473003999999</c:v>
                </c:pt>
                <c:pt idx="1">
                  <c:v>9361.5618928888889</c:v>
                </c:pt>
                <c:pt idx="2">
                  <c:v>8705.6507817777783</c:v>
                </c:pt>
                <c:pt idx="3">
                  <c:v>8049.7396706666677</c:v>
                </c:pt>
                <c:pt idx="4">
                  <c:v>7393.8285595555553</c:v>
                </c:pt>
                <c:pt idx="5">
                  <c:v>6737.9174484444447</c:v>
                </c:pt>
                <c:pt idx="6">
                  <c:v>6082.0063373333342</c:v>
                </c:pt>
                <c:pt idx="7">
                  <c:v>5426.0952262222236</c:v>
                </c:pt>
                <c:pt idx="8">
                  <c:v>4770.1841151111112</c:v>
                </c:pt>
                <c:pt idx="9">
                  <c:v>4114.2730040000006</c:v>
                </c:pt>
                <c:pt idx="10">
                  <c:v>3458.36189288889</c:v>
                </c:pt>
                <c:pt idx="11">
                  <c:v>2802.4507817777776</c:v>
                </c:pt>
                <c:pt idx="12">
                  <c:v>2146.5396706666679</c:v>
                </c:pt>
                <c:pt idx="13">
                  <c:v>1490.6285595555555</c:v>
                </c:pt>
                <c:pt idx="14">
                  <c:v>834.71744844444675</c:v>
                </c:pt>
                <c:pt idx="15">
                  <c:v>178.80633733333343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17536"/>
        <c:axId val="5517144"/>
      </c:scatterChart>
      <c:valAx>
        <c:axId val="5517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Laterl</a:t>
                </a:r>
                <a:r>
                  <a:rPr lang="en-GB" baseline="0"/>
                  <a:t> weight tansfer (Kg)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7144"/>
        <c:crosses val="autoZero"/>
        <c:crossBetween val="midCat"/>
      </c:valAx>
      <c:valAx>
        <c:axId val="5517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7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</a:t>
            </a:r>
            <a:r>
              <a:rPr lang="en-GB" baseline="0"/>
              <a:t> left load against</a:t>
            </a:r>
          </a:p>
          <a:p>
            <a:pPr>
              <a:defRPr/>
            </a:pPr>
            <a:r>
              <a:rPr lang="en-GB" baseline="0"/>
              <a:t>Lateral weight transfer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Sheet1!$O$68:$O$83</c:f>
              <c:numCache>
                <c:formatCode>General</c:formatCode>
                <c:ptCount val="16"/>
                <c:pt idx="0">
                  <c:v>0</c:v>
                </c:pt>
                <c:pt idx="1">
                  <c:v>13.955555555555556</c:v>
                </c:pt>
                <c:pt idx="2">
                  <c:v>27.911111111111111</c:v>
                </c:pt>
                <c:pt idx="3">
                  <c:v>41.86666666666666</c:v>
                </c:pt>
                <c:pt idx="4">
                  <c:v>55.822222222222223</c:v>
                </c:pt>
                <c:pt idx="5">
                  <c:v>69.777777777777771</c:v>
                </c:pt>
                <c:pt idx="6">
                  <c:v>83.73333333333332</c:v>
                </c:pt>
                <c:pt idx="7">
                  <c:v>97.688888888888869</c:v>
                </c:pt>
                <c:pt idx="8">
                  <c:v>111.64444444444445</c:v>
                </c:pt>
                <c:pt idx="9">
                  <c:v>125.6</c:v>
                </c:pt>
                <c:pt idx="10">
                  <c:v>139.55555555555554</c:v>
                </c:pt>
                <c:pt idx="11">
                  <c:v>153.51111111111112</c:v>
                </c:pt>
                <c:pt idx="12">
                  <c:v>167.46666666666664</c:v>
                </c:pt>
                <c:pt idx="13">
                  <c:v>181.42222222222222</c:v>
                </c:pt>
                <c:pt idx="14">
                  <c:v>195.37777777777774</c:v>
                </c:pt>
                <c:pt idx="15">
                  <c:v>209.33333333333331</c:v>
                </c:pt>
              </c:numCache>
            </c:numRef>
          </c:xVal>
          <c:yVal>
            <c:numRef>
              <c:f>Sheet1!$P$68:$P$83</c:f>
              <c:numCache>
                <c:formatCode>General</c:formatCode>
                <c:ptCount val="16"/>
                <c:pt idx="0">
                  <c:v>13539.583404000001</c:v>
                </c:pt>
                <c:pt idx="1">
                  <c:v>14279.227848444445</c:v>
                </c:pt>
                <c:pt idx="2">
                  <c:v>15018.872292888889</c:v>
                </c:pt>
                <c:pt idx="3">
                  <c:v>15758.516737333333</c:v>
                </c:pt>
                <c:pt idx="4">
                  <c:v>16498.161181777778</c:v>
                </c:pt>
                <c:pt idx="5">
                  <c:v>17237.805626222224</c:v>
                </c:pt>
                <c:pt idx="6">
                  <c:v>17977.450070666666</c:v>
                </c:pt>
                <c:pt idx="7">
                  <c:v>18717.094515111108</c:v>
                </c:pt>
                <c:pt idx="8">
                  <c:v>19456.738959555558</c:v>
                </c:pt>
                <c:pt idx="9">
                  <c:v>20196.383404</c:v>
                </c:pt>
                <c:pt idx="10">
                  <c:v>20936.027848444442</c:v>
                </c:pt>
                <c:pt idx="11">
                  <c:v>21675.672292888892</c:v>
                </c:pt>
                <c:pt idx="12">
                  <c:v>22415.316737333334</c:v>
                </c:pt>
                <c:pt idx="13">
                  <c:v>23154.961181777777</c:v>
                </c:pt>
                <c:pt idx="14">
                  <c:v>23894.605626222219</c:v>
                </c:pt>
                <c:pt idx="15">
                  <c:v>24634.250070666669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8893064"/>
        <c:axId val="297075296"/>
      </c:scatterChart>
      <c:valAx>
        <c:axId val="388893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weight tranfer (Kg)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075296"/>
        <c:crosses val="autoZero"/>
        <c:crossBetween val="midCat"/>
      </c:valAx>
      <c:valAx>
        <c:axId val="29707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8893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</a:t>
            </a:r>
            <a:r>
              <a:rPr lang="en-GB" baseline="0"/>
              <a:t> right load against</a:t>
            </a:r>
          </a:p>
          <a:p>
            <a:pPr>
              <a:defRPr/>
            </a:pPr>
            <a:r>
              <a:rPr lang="en-GB" baseline="0"/>
              <a:t>lateral weight transfer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Sheet1!$S$68:$S$83</c:f>
              <c:numCache>
                <c:formatCode>General</c:formatCode>
                <c:ptCount val="16"/>
                <c:pt idx="0">
                  <c:v>0</c:v>
                </c:pt>
                <c:pt idx="1">
                  <c:v>13.955555555555556</c:v>
                </c:pt>
                <c:pt idx="2">
                  <c:v>27.911111111111111</c:v>
                </c:pt>
                <c:pt idx="3">
                  <c:v>41.86666666666666</c:v>
                </c:pt>
                <c:pt idx="4">
                  <c:v>55.822222222222223</c:v>
                </c:pt>
                <c:pt idx="5">
                  <c:v>69.777777777777771</c:v>
                </c:pt>
                <c:pt idx="6">
                  <c:v>83.73333333333332</c:v>
                </c:pt>
                <c:pt idx="7">
                  <c:v>97.688888888888869</c:v>
                </c:pt>
                <c:pt idx="8">
                  <c:v>111.64444444444445</c:v>
                </c:pt>
                <c:pt idx="9">
                  <c:v>125.6</c:v>
                </c:pt>
                <c:pt idx="10">
                  <c:v>139.55555555555554</c:v>
                </c:pt>
                <c:pt idx="11">
                  <c:v>153.51111111111112</c:v>
                </c:pt>
                <c:pt idx="12">
                  <c:v>167.46666666666664</c:v>
                </c:pt>
                <c:pt idx="13">
                  <c:v>181.42222222222222</c:v>
                </c:pt>
                <c:pt idx="14">
                  <c:v>195.37777777777774</c:v>
                </c:pt>
                <c:pt idx="15">
                  <c:v>209.33333333333331</c:v>
                </c:pt>
              </c:numCache>
            </c:numRef>
          </c:xVal>
          <c:yVal>
            <c:numRef>
              <c:f>Sheet1!$T$68:$T$83</c:f>
              <c:numCache>
                <c:formatCode>General</c:formatCode>
                <c:ptCount val="16"/>
                <c:pt idx="0">
                  <c:v>13474.280196</c:v>
                </c:pt>
                <c:pt idx="1">
                  <c:v>12734.635751555556</c:v>
                </c:pt>
                <c:pt idx="2">
                  <c:v>11994.991307111111</c:v>
                </c:pt>
                <c:pt idx="3">
                  <c:v>11255.346862666667</c:v>
                </c:pt>
                <c:pt idx="4">
                  <c:v>10515.702418222221</c:v>
                </c:pt>
                <c:pt idx="5">
                  <c:v>9776.0579737777771</c:v>
                </c:pt>
                <c:pt idx="6">
                  <c:v>9036.4135293333347</c:v>
                </c:pt>
                <c:pt idx="7">
                  <c:v>8296.7690848888888</c:v>
                </c:pt>
                <c:pt idx="8">
                  <c:v>7557.1246404444437</c:v>
                </c:pt>
                <c:pt idx="9">
                  <c:v>6817.4801960000004</c:v>
                </c:pt>
                <c:pt idx="10">
                  <c:v>6077.8357515555563</c:v>
                </c:pt>
                <c:pt idx="11">
                  <c:v>5338.1913071111103</c:v>
                </c:pt>
                <c:pt idx="12">
                  <c:v>4598.5468626666679</c:v>
                </c:pt>
                <c:pt idx="13">
                  <c:v>3858.902418222222</c:v>
                </c:pt>
                <c:pt idx="14">
                  <c:v>3119.2579737777796</c:v>
                </c:pt>
                <c:pt idx="15">
                  <c:v>2379.6135293333336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4275856"/>
        <c:axId val="264274680"/>
      </c:scatterChart>
      <c:valAx>
        <c:axId val="264275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weight transfer (Kg)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274680"/>
        <c:crosses val="autoZero"/>
        <c:crossBetween val="midCat"/>
      </c:valAx>
      <c:valAx>
        <c:axId val="264274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275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278945</xdr:colOff>
      <xdr:row>44</xdr:row>
      <xdr:rowOff>186418</xdr:rowOff>
    </xdr:from>
    <xdr:to>
      <xdr:col>7</xdr:col>
      <xdr:colOff>632731</xdr:colOff>
      <xdr:row>59</xdr:row>
      <xdr:rowOff>72118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181996</xdr:colOff>
      <xdr:row>45</xdr:row>
      <xdr:rowOff>2721</xdr:rowOff>
    </xdr:from>
    <xdr:to>
      <xdr:col>11</xdr:col>
      <xdr:colOff>506867</xdr:colOff>
      <xdr:row>59</xdr:row>
      <xdr:rowOff>78921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261937</xdr:colOff>
      <xdr:row>44</xdr:row>
      <xdr:rowOff>96837</xdr:rowOff>
    </xdr:from>
    <xdr:to>
      <xdr:col>15</xdr:col>
      <xdr:colOff>817562</xdr:colOff>
      <xdr:row>58</xdr:row>
      <xdr:rowOff>173037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190500</xdr:colOff>
      <xdr:row>44</xdr:row>
      <xdr:rowOff>50346</xdr:rowOff>
    </xdr:from>
    <xdr:to>
      <xdr:col>20</xdr:col>
      <xdr:colOff>530678</xdr:colOff>
      <xdr:row>58</xdr:row>
      <xdr:rowOff>126546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576791</xdr:colOff>
      <xdr:row>83</xdr:row>
      <xdr:rowOff>83608</xdr:rowOff>
    </xdr:from>
    <xdr:to>
      <xdr:col>8</xdr:col>
      <xdr:colOff>5291</xdr:colOff>
      <xdr:row>97</xdr:row>
      <xdr:rowOff>159808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629707</xdr:colOff>
      <xdr:row>83</xdr:row>
      <xdr:rowOff>83608</xdr:rowOff>
    </xdr:from>
    <xdr:to>
      <xdr:col>12</xdr:col>
      <xdr:colOff>37040</xdr:colOff>
      <xdr:row>97</xdr:row>
      <xdr:rowOff>159808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724958</xdr:colOff>
      <xdr:row>83</xdr:row>
      <xdr:rowOff>94191</xdr:rowOff>
    </xdr:from>
    <xdr:to>
      <xdr:col>16</xdr:col>
      <xdr:colOff>333375</xdr:colOff>
      <xdr:row>97</xdr:row>
      <xdr:rowOff>170391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17</xdr:col>
      <xdr:colOff>26457</xdr:colOff>
      <xdr:row>83</xdr:row>
      <xdr:rowOff>115358</xdr:rowOff>
    </xdr:from>
    <xdr:to>
      <xdr:col>21</xdr:col>
      <xdr:colOff>132291</xdr:colOff>
      <xdr:row>98</xdr:row>
      <xdr:rowOff>1058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X102"/>
  <sheetViews>
    <sheetView tabSelected="1" topLeftCell="K36" zoomScale="90" zoomScaleNormal="90" workbookViewId="0">
      <selection activeCell="M82" sqref="M82"/>
    </sheetView>
  </sheetViews>
  <sheetFormatPr defaultRowHeight="15" x14ac:dyDescent="0.25"/>
  <cols>
    <col min="1" max="1" width="33.7109375" customWidth="1"/>
    <col min="3" max="3" width="29.42578125" customWidth="1"/>
    <col min="5" max="5" width="16.28515625" customWidth="1"/>
    <col min="6" max="6" width="20.42578125" customWidth="1"/>
    <col min="7" max="7" width="26.42578125" customWidth="1"/>
    <col min="8" max="8" width="13.85546875" customWidth="1"/>
    <col min="9" max="9" width="15.42578125" customWidth="1"/>
    <col min="10" max="10" width="21.7109375" customWidth="1"/>
    <col min="11" max="11" width="26.5703125" customWidth="1"/>
    <col min="12" max="12" width="13.85546875" customWidth="1"/>
    <col min="13" max="13" width="14.28515625" customWidth="1"/>
    <col min="14" max="14" width="20" customWidth="1"/>
    <col min="15" max="15" width="25.85546875" customWidth="1"/>
    <col min="16" max="16" width="14.28515625" customWidth="1"/>
    <col min="17" max="17" width="14.140625" customWidth="1"/>
    <col min="18" max="18" width="20.28515625" customWidth="1"/>
    <col min="19" max="19" width="26" customWidth="1"/>
    <col min="20" max="20" width="11.42578125" customWidth="1"/>
  </cols>
  <sheetData>
    <row r="5" spans="1:3" x14ac:dyDescent="0.25">
      <c r="A5" s="2" t="s">
        <v>25</v>
      </c>
      <c r="B5" s="1"/>
      <c r="C5" s="1"/>
    </row>
    <row r="6" spans="1:3" x14ac:dyDescent="0.25">
      <c r="A6" s="4" t="s">
        <v>0</v>
      </c>
      <c r="B6" s="1" t="s">
        <v>1</v>
      </c>
      <c r="C6" s="1">
        <v>628</v>
      </c>
    </row>
    <row r="7" spans="1:3" x14ac:dyDescent="0.25">
      <c r="A7" s="1" t="s">
        <v>2</v>
      </c>
      <c r="B7" s="1" t="s">
        <v>3</v>
      </c>
      <c r="C7" s="1">
        <v>2.8</v>
      </c>
    </row>
    <row r="8" spans="1:3" x14ac:dyDescent="0.25">
      <c r="A8" s="1" t="s">
        <v>9</v>
      </c>
      <c r="B8" s="1" t="s">
        <v>3</v>
      </c>
      <c r="C8" s="1">
        <v>0.36</v>
      </c>
    </row>
    <row r="9" spans="1:3" x14ac:dyDescent="0.25">
      <c r="A9" s="1" t="s">
        <v>10</v>
      </c>
      <c r="B9" s="1" t="s">
        <v>5</v>
      </c>
      <c r="C9" s="1">
        <v>47</v>
      </c>
    </row>
    <row r="10" spans="1:3" x14ac:dyDescent="0.25">
      <c r="A10" s="1" t="s">
        <v>11</v>
      </c>
      <c r="B10" s="1" t="s">
        <v>8</v>
      </c>
      <c r="C10" s="1">
        <v>51</v>
      </c>
    </row>
    <row r="11" spans="1:3" x14ac:dyDescent="0.25">
      <c r="A11" s="1" t="s">
        <v>12</v>
      </c>
      <c r="B11" s="1"/>
      <c r="C11" s="1">
        <v>-0.62</v>
      </c>
    </row>
    <row r="12" spans="1:3" x14ac:dyDescent="0.25">
      <c r="A12" s="1" t="s">
        <v>13</v>
      </c>
      <c r="B12" s="1" t="s">
        <v>7</v>
      </c>
      <c r="C12" s="1">
        <v>1.2</v>
      </c>
    </row>
    <row r="13" spans="1:3" x14ac:dyDescent="0.25">
      <c r="A13" s="1" t="s">
        <v>14</v>
      </c>
      <c r="B13" s="1" t="s">
        <v>6</v>
      </c>
      <c r="C13" s="1">
        <v>1.2230000000000001</v>
      </c>
    </row>
    <row r="14" spans="1:3" x14ac:dyDescent="0.25">
      <c r="A14" s="1" t="s">
        <v>15</v>
      </c>
      <c r="B14" s="1" t="s">
        <v>5</v>
      </c>
      <c r="C14" s="1">
        <v>42</v>
      </c>
    </row>
    <row r="15" spans="1:3" x14ac:dyDescent="0.25">
      <c r="A15" s="1" t="s">
        <v>16</v>
      </c>
      <c r="B15" s="1" t="s">
        <v>3</v>
      </c>
      <c r="C15" s="1">
        <v>1.62</v>
      </c>
    </row>
    <row r="16" spans="1:3" x14ac:dyDescent="0.25">
      <c r="A16" s="1" t="s">
        <v>17</v>
      </c>
      <c r="B16" s="1" t="s">
        <v>4</v>
      </c>
      <c r="C16" s="1">
        <v>1.5</v>
      </c>
    </row>
    <row r="19" spans="1:20" x14ac:dyDescent="0.25">
      <c r="A19" s="2" t="s">
        <v>20</v>
      </c>
      <c r="B19" s="1"/>
      <c r="C19" s="1"/>
    </row>
    <row r="20" spans="1:20" x14ac:dyDescent="0.25">
      <c r="A20" s="1" t="s">
        <v>18</v>
      </c>
      <c r="B20" s="1" t="s">
        <v>19</v>
      </c>
      <c r="C20" s="1">
        <f>SUM(C6*0.47*0.51*9.81)</f>
        <v>1476.7149960000002</v>
      </c>
    </row>
    <row r="21" spans="1:20" x14ac:dyDescent="0.25">
      <c r="A21" s="1" t="s">
        <v>21</v>
      </c>
      <c r="B21" s="1" t="s">
        <v>19</v>
      </c>
      <c r="C21" s="1">
        <f>SUM(C6*0.47*0.49*9.81)</f>
        <v>1418.8046039999997</v>
      </c>
    </row>
    <row r="22" spans="1:20" x14ac:dyDescent="0.25">
      <c r="A22" s="1" t="s">
        <v>22</v>
      </c>
      <c r="B22" s="1" t="s">
        <v>19</v>
      </c>
      <c r="C22" s="1">
        <f>SUM(C6*0.53*0.51*9.81)</f>
        <v>1665.2318040000005</v>
      </c>
    </row>
    <row r="23" spans="1:20" x14ac:dyDescent="0.25">
      <c r="A23" s="1" t="s">
        <v>23</v>
      </c>
      <c r="B23" s="1" t="s">
        <v>19</v>
      </c>
      <c r="C23" s="1">
        <f>SUM(C6*0.53*0.49*9.81)</f>
        <v>1599.928596</v>
      </c>
    </row>
    <row r="26" spans="1:20" ht="18.75" x14ac:dyDescent="0.3">
      <c r="A26" s="1" t="s">
        <v>24</v>
      </c>
      <c r="B26" s="1" t="s">
        <v>19</v>
      </c>
      <c r="C26" s="1">
        <f>SUM(C11)*(0.5*C13*30^2)*(C12)</f>
        <v>-409.46039999999999</v>
      </c>
      <c r="E26" s="5" t="s">
        <v>54</v>
      </c>
    </row>
    <row r="28" spans="1:20" x14ac:dyDescent="0.25">
      <c r="E28" s="1"/>
      <c r="F28" s="2" t="s">
        <v>44</v>
      </c>
      <c r="G28" s="2" t="s">
        <v>51</v>
      </c>
      <c r="H28" s="1" t="s">
        <v>50</v>
      </c>
      <c r="I28" s="1"/>
      <c r="J28" s="2" t="s">
        <v>47</v>
      </c>
      <c r="K28" s="2" t="s">
        <v>51</v>
      </c>
      <c r="L28" s="1" t="s">
        <v>50</v>
      </c>
      <c r="M28" s="1"/>
      <c r="N28" s="2" t="s">
        <v>53</v>
      </c>
      <c r="O28" s="2" t="s">
        <v>51</v>
      </c>
      <c r="P28" s="2" t="s">
        <v>52</v>
      </c>
      <c r="Q28" s="1"/>
      <c r="R28" s="2" t="s">
        <v>47</v>
      </c>
      <c r="S28" s="2" t="s">
        <v>51</v>
      </c>
      <c r="T28" s="1" t="s">
        <v>50</v>
      </c>
    </row>
    <row r="29" spans="1:20" x14ac:dyDescent="0.25">
      <c r="A29" s="1" t="s">
        <v>28</v>
      </c>
      <c r="B29" s="1" t="s">
        <v>26</v>
      </c>
      <c r="C29" s="1">
        <f>SUM(628*0*0.36)/1.62</f>
        <v>0</v>
      </c>
      <c r="E29" s="2" t="s">
        <v>43</v>
      </c>
      <c r="F29" s="1">
        <v>0</v>
      </c>
      <c r="G29" s="1">
        <v>0</v>
      </c>
      <c r="H29" s="1">
        <f>SUM(1476.714996)+(0*47)+(C46*51)-((-409.4604/2)*42)</f>
        <v>10075.383396000001</v>
      </c>
      <c r="I29" s="2" t="s">
        <v>46</v>
      </c>
      <c r="J29" s="3">
        <v>0</v>
      </c>
      <c r="K29" s="1">
        <v>0</v>
      </c>
      <c r="L29" s="1">
        <f>SUM(1418.804604)+(0*47)+(C46*49)-((-409.4604/2)*42)</f>
        <v>10017.473003999999</v>
      </c>
      <c r="M29" s="2" t="s">
        <v>48</v>
      </c>
      <c r="N29" s="1">
        <v>0</v>
      </c>
      <c r="O29" s="1">
        <v>0</v>
      </c>
      <c r="P29" s="1">
        <f>SUM(1665.231804)-(0*53)-(C46*51)-((-409.4604/2)*58)</f>
        <v>13539.583404000001</v>
      </c>
      <c r="Q29" s="2" t="s">
        <v>49</v>
      </c>
      <c r="R29" s="1">
        <v>0</v>
      </c>
      <c r="S29" s="1">
        <v>0</v>
      </c>
      <c r="T29" s="1">
        <f>SUM(1599.928596)-(0*53)-(C46*49)-((-409.4604/2)*58)</f>
        <v>13474.280196</v>
      </c>
    </row>
    <row r="30" spans="1:20" x14ac:dyDescent="0.25">
      <c r="A30" s="1"/>
      <c r="B30" s="1" t="s">
        <v>27</v>
      </c>
      <c r="C30" s="1">
        <f>SUM(628*0.1*0.36)/1.62</f>
        <v>13.955555555555556</v>
      </c>
      <c r="E30" s="1"/>
      <c r="F30" s="1">
        <v>0.1</v>
      </c>
      <c r="G30" s="1">
        <v>8.0742857142857147</v>
      </c>
      <c r="H30" s="1">
        <f t="shared" ref="H30:H44" si="0">SUM(1476.714996)+(0*47)+(C47*51)-((-409.4604/2)*42)</f>
        <v>10487.171967428572</v>
      </c>
      <c r="I30" s="1"/>
      <c r="J30" s="1">
        <v>0.1</v>
      </c>
      <c r="K30" s="1">
        <v>8.0742857142857147</v>
      </c>
      <c r="L30" s="1">
        <f t="shared" ref="L30:L44" si="1">SUM(1418.804604)+(0*47)+(C47*49)-((-409.4604/2)*42)</f>
        <v>10413.113004000001</v>
      </c>
      <c r="M30" s="1"/>
      <c r="N30" s="1">
        <v>0.1</v>
      </c>
      <c r="O30" s="1">
        <v>8.0742857142857147</v>
      </c>
      <c r="P30" s="1">
        <f t="shared" ref="P30:P44" si="2">SUM(1665.231804)-(0*53)-(C47*51)-((-409.4604/2)*58)</f>
        <v>13127.794832571428</v>
      </c>
      <c r="Q30" s="1"/>
      <c r="R30" s="1">
        <v>0.1</v>
      </c>
      <c r="S30" s="1">
        <v>8.0742857142857147</v>
      </c>
      <c r="T30" s="1">
        <f t="shared" ref="T30:T44" si="3">SUM(1599.928596)-(0*53)-(C47*49)-((-409.4604/2)*58)</f>
        <v>13078.640196</v>
      </c>
    </row>
    <row r="31" spans="1:20" x14ac:dyDescent="0.25">
      <c r="A31" s="1"/>
      <c r="B31" s="1" t="s">
        <v>29</v>
      </c>
      <c r="C31" s="1">
        <f>SUM(628*0.2*0.36)/1.62</f>
        <v>27.911111111111111</v>
      </c>
      <c r="E31" s="1"/>
      <c r="F31" s="1">
        <v>0.2</v>
      </c>
      <c r="G31" s="1">
        <v>16.148571428571429</v>
      </c>
      <c r="H31" s="1">
        <f t="shared" si="0"/>
        <v>10898.960538857144</v>
      </c>
      <c r="I31" s="1"/>
      <c r="J31" s="1">
        <v>0.2</v>
      </c>
      <c r="K31" s="1">
        <v>16.148571428571429</v>
      </c>
      <c r="L31" s="1">
        <f t="shared" si="1"/>
        <v>10808.753004</v>
      </c>
      <c r="M31" s="1"/>
      <c r="N31" s="1">
        <v>0.2</v>
      </c>
      <c r="O31" s="1">
        <v>16.148571428571429</v>
      </c>
      <c r="P31" s="1">
        <f t="shared" si="2"/>
        <v>12716.006261142857</v>
      </c>
      <c r="Q31" s="1"/>
      <c r="R31" s="1">
        <v>0.2</v>
      </c>
      <c r="S31" s="1">
        <v>16.148571428571429</v>
      </c>
      <c r="T31" s="1">
        <f t="shared" si="3"/>
        <v>12683.000195999999</v>
      </c>
    </row>
    <row r="32" spans="1:20" x14ac:dyDescent="0.25">
      <c r="A32" s="1"/>
      <c r="B32" s="1" t="s">
        <v>30</v>
      </c>
      <c r="C32" s="1">
        <f>SUM(628*0.3*0.36)/1.62</f>
        <v>41.86666666666666</v>
      </c>
      <c r="E32" s="1"/>
      <c r="F32" s="1">
        <v>0.3</v>
      </c>
      <c r="G32" s="1">
        <v>24.222857142857144</v>
      </c>
      <c r="H32" s="1">
        <f t="shared" si="0"/>
        <v>11310.749110285715</v>
      </c>
      <c r="I32" s="1"/>
      <c r="J32" s="1">
        <v>0.3</v>
      </c>
      <c r="K32" s="1">
        <v>24.222857142857144</v>
      </c>
      <c r="L32" s="1">
        <f t="shared" si="1"/>
        <v>11204.393004000001</v>
      </c>
      <c r="M32" s="1"/>
      <c r="N32" s="1">
        <v>0.3</v>
      </c>
      <c r="O32" s="1">
        <v>24.222857142857144</v>
      </c>
      <c r="P32" s="1">
        <f t="shared" si="2"/>
        <v>12304.217689714285</v>
      </c>
      <c r="Q32" s="1"/>
      <c r="R32" s="1">
        <v>0.3</v>
      </c>
      <c r="S32" s="1">
        <v>24.222857142857144</v>
      </c>
      <c r="T32" s="1">
        <f t="shared" si="3"/>
        <v>12287.360196</v>
      </c>
    </row>
    <row r="33" spans="1:20" x14ac:dyDescent="0.25">
      <c r="A33" s="1"/>
      <c r="B33" s="1" t="s">
        <v>31</v>
      </c>
      <c r="C33" s="1">
        <f>SUM(628*0.4*0.36)/1.62</f>
        <v>55.822222222222223</v>
      </c>
      <c r="E33" s="1"/>
      <c r="F33" s="1">
        <v>0.4</v>
      </c>
      <c r="G33" s="1">
        <v>32.297142857142859</v>
      </c>
      <c r="H33" s="1">
        <f t="shared" si="0"/>
        <v>11722.537681714286</v>
      </c>
      <c r="I33" s="1"/>
      <c r="J33" s="1">
        <v>0.4</v>
      </c>
      <c r="K33" s="1">
        <v>32.297142857142859</v>
      </c>
      <c r="L33" s="1">
        <f t="shared" si="1"/>
        <v>11600.033004000001</v>
      </c>
      <c r="M33" s="1"/>
      <c r="N33" s="1">
        <v>0.4</v>
      </c>
      <c r="O33" s="1">
        <v>32.297142857142859</v>
      </c>
      <c r="P33" s="1">
        <f t="shared" si="2"/>
        <v>11892.429118285714</v>
      </c>
      <c r="Q33" s="1"/>
      <c r="R33" s="1">
        <v>0.4</v>
      </c>
      <c r="S33" s="1">
        <v>32.297142857142859</v>
      </c>
      <c r="T33" s="1">
        <f t="shared" si="3"/>
        <v>11891.720196</v>
      </c>
    </row>
    <row r="34" spans="1:20" x14ac:dyDescent="0.25">
      <c r="A34" s="1"/>
      <c r="B34" s="1" t="s">
        <v>32</v>
      </c>
      <c r="C34" s="1">
        <f>SUM(628*0.5*0.36)/1.62</f>
        <v>69.777777777777771</v>
      </c>
      <c r="E34" s="1"/>
      <c r="F34" s="1">
        <v>0.5</v>
      </c>
      <c r="G34" s="1">
        <v>40.371428571428574</v>
      </c>
      <c r="H34" s="1">
        <f t="shared" si="0"/>
        <v>12134.326253142857</v>
      </c>
      <c r="I34" s="1"/>
      <c r="J34" s="1">
        <v>0.5</v>
      </c>
      <c r="K34" s="1">
        <v>40.371428571428574</v>
      </c>
      <c r="L34" s="1">
        <f t="shared" si="1"/>
        <v>11995.673004</v>
      </c>
      <c r="M34" s="1"/>
      <c r="N34" s="1">
        <v>0.5</v>
      </c>
      <c r="O34" s="1">
        <v>40.371428571428574</v>
      </c>
      <c r="P34" s="1">
        <f t="shared" si="2"/>
        <v>11480.640546857143</v>
      </c>
      <c r="Q34" s="1"/>
      <c r="R34" s="1">
        <v>0.5</v>
      </c>
      <c r="S34" s="1">
        <v>40.371428571428574</v>
      </c>
      <c r="T34" s="1">
        <f t="shared" si="3"/>
        <v>11496.080195999999</v>
      </c>
    </row>
    <row r="35" spans="1:20" x14ac:dyDescent="0.25">
      <c r="A35" s="1"/>
      <c r="B35" s="1" t="s">
        <v>33</v>
      </c>
      <c r="C35" s="1">
        <f>SUM(628*0.6*0.36)/1.62</f>
        <v>83.73333333333332</v>
      </c>
      <c r="E35" s="1"/>
      <c r="F35" s="1">
        <v>0.6</v>
      </c>
      <c r="G35" s="1">
        <v>48.445714285714288</v>
      </c>
      <c r="H35" s="1">
        <f t="shared" si="0"/>
        <v>12546.114824571428</v>
      </c>
      <c r="I35" s="1"/>
      <c r="J35" s="1">
        <v>0.6</v>
      </c>
      <c r="K35" s="1">
        <v>48.445714285714288</v>
      </c>
      <c r="L35" s="1">
        <f t="shared" si="1"/>
        <v>12391.313004</v>
      </c>
      <c r="M35" s="1"/>
      <c r="N35" s="1">
        <v>0.6</v>
      </c>
      <c r="O35" s="1">
        <v>48.445714285714288</v>
      </c>
      <c r="P35" s="1">
        <f t="shared" si="2"/>
        <v>11068.851975428572</v>
      </c>
      <c r="Q35" s="1"/>
      <c r="R35" s="1">
        <v>0.6</v>
      </c>
      <c r="S35" s="1">
        <v>48.445714285714288</v>
      </c>
      <c r="T35" s="1">
        <f t="shared" si="3"/>
        <v>11100.440196</v>
      </c>
    </row>
    <row r="36" spans="1:20" x14ac:dyDescent="0.25">
      <c r="A36" s="1"/>
      <c r="B36" s="1" t="s">
        <v>34</v>
      </c>
      <c r="C36" s="1">
        <f>SUM(628*0.7*0.36)/1.62</f>
        <v>97.688888888888869</v>
      </c>
      <c r="E36" s="1"/>
      <c r="F36" s="1">
        <v>0.7</v>
      </c>
      <c r="G36" s="1">
        <v>56.519999999999996</v>
      </c>
      <c r="H36" s="1">
        <f t="shared" si="0"/>
        <v>12957.903396000002</v>
      </c>
      <c r="I36" s="1"/>
      <c r="J36" s="1">
        <v>0.7</v>
      </c>
      <c r="K36" s="1">
        <v>56.519999999999996</v>
      </c>
      <c r="L36" s="1">
        <f t="shared" si="1"/>
        <v>12786.953004000001</v>
      </c>
      <c r="M36" s="1"/>
      <c r="N36" s="1">
        <v>0.7</v>
      </c>
      <c r="O36" s="1">
        <v>56.519999999999996</v>
      </c>
      <c r="P36" s="1">
        <f t="shared" si="2"/>
        <v>10657.063404</v>
      </c>
      <c r="Q36" s="1"/>
      <c r="R36" s="1">
        <v>0.7</v>
      </c>
      <c r="S36" s="1">
        <v>56.519999999999996</v>
      </c>
      <c r="T36" s="1">
        <f t="shared" si="3"/>
        <v>10704.800196</v>
      </c>
    </row>
    <row r="37" spans="1:20" x14ac:dyDescent="0.25">
      <c r="A37" s="1"/>
      <c r="B37" s="1" t="s">
        <v>35</v>
      </c>
      <c r="C37" s="1">
        <f>SUM(628*0.8*0.36)/1.62</f>
        <v>111.64444444444445</v>
      </c>
      <c r="E37" s="1"/>
      <c r="F37" s="1">
        <v>0.8</v>
      </c>
      <c r="G37" s="1">
        <v>64.594285714285718</v>
      </c>
      <c r="H37" s="1">
        <f t="shared" si="0"/>
        <v>13369.691967428571</v>
      </c>
      <c r="I37" s="1"/>
      <c r="J37" s="1">
        <v>0.8</v>
      </c>
      <c r="K37" s="1">
        <v>64.594285714285718</v>
      </c>
      <c r="L37" s="1">
        <f t="shared" si="1"/>
        <v>13182.593004</v>
      </c>
      <c r="M37" s="1"/>
      <c r="N37" s="1">
        <v>0.8</v>
      </c>
      <c r="O37" s="1">
        <v>64.594285714285718</v>
      </c>
      <c r="P37" s="1">
        <f t="shared" si="2"/>
        <v>10245.274832571427</v>
      </c>
      <c r="Q37" s="1"/>
      <c r="R37" s="1">
        <v>0.8</v>
      </c>
      <c r="S37" s="1">
        <v>64.594285714285718</v>
      </c>
      <c r="T37" s="1">
        <f t="shared" si="3"/>
        <v>10309.160195999999</v>
      </c>
    </row>
    <row r="38" spans="1:20" x14ac:dyDescent="0.25">
      <c r="A38" s="1"/>
      <c r="B38" s="1" t="s">
        <v>36</v>
      </c>
      <c r="C38" s="1">
        <f>SUM(628*0.9*0.36)/1.62</f>
        <v>125.6</v>
      </c>
      <c r="E38" s="1"/>
      <c r="F38" s="1">
        <v>0.9</v>
      </c>
      <c r="G38" s="1">
        <v>72.66857142857144</v>
      </c>
      <c r="H38" s="1">
        <f t="shared" si="0"/>
        <v>13781.480538857144</v>
      </c>
      <c r="I38" s="1"/>
      <c r="J38" s="1">
        <v>0.9</v>
      </c>
      <c r="K38" s="1">
        <v>72.66857142857144</v>
      </c>
      <c r="L38" s="1">
        <f t="shared" si="1"/>
        <v>13578.233004000002</v>
      </c>
      <c r="M38" s="1"/>
      <c r="N38" s="1">
        <v>0.9</v>
      </c>
      <c r="O38" s="1">
        <v>72.66857142857144</v>
      </c>
      <c r="P38" s="1">
        <f t="shared" si="2"/>
        <v>9833.4862611428562</v>
      </c>
      <c r="Q38" s="1"/>
      <c r="R38" s="1">
        <v>0.9</v>
      </c>
      <c r="S38" s="1">
        <v>72.66857142857144</v>
      </c>
      <c r="T38" s="1">
        <f t="shared" si="3"/>
        <v>9913.5201959999995</v>
      </c>
    </row>
    <row r="39" spans="1:20" x14ac:dyDescent="0.25">
      <c r="A39" s="1"/>
      <c r="B39" s="1" t="s">
        <v>37</v>
      </c>
      <c r="C39" s="1">
        <f>SUM(628*1*0.36)/1.62</f>
        <v>139.55555555555554</v>
      </c>
      <c r="E39" s="1"/>
      <c r="F39" s="1">
        <v>1</v>
      </c>
      <c r="G39" s="1">
        <v>80.742857142857147</v>
      </c>
      <c r="H39" s="1">
        <f t="shared" si="0"/>
        <v>14193.269110285713</v>
      </c>
      <c r="I39" s="1"/>
      <c r="J39" s="1">
        <v>1</v>
      </c>
      <c r="K39" s="1">
        <v>80.742857142857147</v>
      </c>
      <c r="L39" s="1">
        <f t="shared" si="1"/>
        <v>13973.873004000001</v>
      </c>
      <c r="M39" s="1"/>
      <c r="N39" s="1">
        <v>1</v>
      </c>
      <c r="O39" s="1">
        <v>80.742857142857147</v>
      </c>
      <c r="P39" s="1">
        <f t="shared" si="2"/>
        <v>9421.6976897142849</v>
      </c>
      <c r="Q39" s="1"/>
      <c r="R39" s="1">
        <v>1</v>
      </c>
      <c r="S39" s="1">
        <v>80.742857142857147</v>
      </c>
      <c r="T39" s="1">
        <f t="shared" si="3"/>
        <v>9517.8801960000001</v>
      </c>
    </row>
    <row r="40" spans="1:20" x14ac:dyDescent="0.25">
      <c r="A40" s="1"/>
      <c r="B40" s="1" t="s">
        <v>38</v>
      </c>
      <c r="C40" s="1">
        <f>SUM(628*1.1*0.36)/1.62</f>
        <v>153.51111111111112</v>
      </c>
      <c r="E40" s="1"/>
      <c r="F40" s="1">
        <v>1.1000000000000001</v>
      </c>
      <c r="G40" s="1">
        <v>88.817142857142869</v>
      </c>
      <c r="H40" s="1">
        <f t="shared" si="0"/>
        <v>14605.057681714286</v>
      </c>
      <c r="I40" s="1"/>
      <c r="J40" s="1">
        <v>1.1000000000000001</v>
      </c>
      <c r="K40" s="1">
        <v>88.817142857142869</v>
      </c>
      <c r="L40" s="1">
        <f t="shared" si="1"/>
        <v>14369.513004</v>
      </c>
      <c r="M40" s="1"/>
      <c r="N40" s="1">
        <v>1.1000000000000001</v>
      </c>
      <c r="O40" s="1">
        <v>88.817142857142869</v>
      </c>
      <c r="P40" s="1">
        <f t="shared" si="2"/>
        <v>9009.9091182857137</v>
      </c>
      <c r="Q40" s="1"/>
      <c r="R40" s="1">
        <v>1.1000000000000001</v>
      </c>
      <c r="S40" s="1">
        <v>88.817142857142869</v>
      </c>
      <c r="T40" s="1">
        <f t="shared" si="3"/>
        <v>9122.2401959999988</v>
      </c>
    </row>
    <row r="41" spans="1:20" x14ac:dyDescent="0.25">
      <c r="A41" s="1"/>
      <c r="B41" s="1" t="s">
        <v>39</v>
      </c>
      <c r="C41" s="1">
        <f>SUM(628*1.2*0.36)/1.62</f>
        <v>167.46666666666664</v>
      </c>
      <c r="E41" s="1"/>
      <c r="F41" s="1">
        <v>1.2</v>
      </c>
      <c r="G41" s="1">
        <v>96.891428571428577</v>
      </c>
      <c r="H41" s="1">
        <f t="shared" si="0"/>
        <v>15016.846253142858</v>
      </c>
      <c r="I41" s="1"/>
      <c r="J41" s="1">
        <v>1.2</v>
      </c>
      <c r="K41" s="1">
        <v>96.891428571428577</v>
      </c>
      <c r="L41" s="1">
        <f t="shared" si="1"/>
        <v>14765.153004</v>
      </c>
      <c r="M41" s="1"/>
      <c r="N41" s="1">
        <v>1.2</v>
      </c>
      <c r="O41" s="1">
        <v>96.891428571428577</v>
      </c>
      <c r="P41" s="1">
        <f t="shared" si="2"/>
        <v>8598.1205468571425</v>
      </c>
      <c r="Q41" s="1"/>
      <c r="R41" s="1">
        <v>1.2</v>
      </c>
      <c r="S41" s="1">
        <v>96.891428571428577</v>
      </c>
      <c r="T41" s="1">
        <f t="shared" si="3"/>
        <v>8726.6001959999994</v>
      </c>
    </row>
    <row r="42" spans="1:20" x14ac:dyDescent="0.25">
      <c r="A42" s="1"/>
      <c r="B42" s="1" t="s">
        <v>40</v>
      </c>
      <c r="C42" s="1">
        <f>SUM(628*1.3*0.36)/1.62</f>
        <v>181.42222222222222</v>
      </c>
      <c r="E42" s="1"/>
      <c r="F42" s="1">
        <v>1.3</v>
      </c>
      <c r="G42" s="1">
        <v>104.96571428571428</v>
      </c>
      <c r="H42" s="1">
        <f t="shared" si="0"/>
        <v>15428.634824571429</v>
      </c>
      <c r="I42" s="1"/>
      <c r="J42" s="1">
        <v>1.3</v>
      </c>
      <c r="K42" s="1">
        <v>104.96571428571428</v>
      </c>
      <c r="L42" s="1">
        <f t="shared" si="1"/>
        <v>15160.793003999999</v>
      </c>
      <c r="M42" s="1"/>
      <c r="N42" s="1">
        <v>1.3</v>
      </c>
      <c r="O42" s="1">
        <v>104.96571428571428</v>
      </c>
      <c r="P42" s="1">
        <f t="shared" si="2"/>
        <v>8186.3319754285712</v>
      </c>
      <c r="Q42" s="1"/>
      <c r="R42" s="1">
        <v>1.3</v>
      </c>
      <c r="S42" s="1">
        <v>104.96571428571428</v>
      </c>
      <c r="T42" s="1">
        <f t="shared" si="3"/>
        <v>8330.960196</v>
      </c>
    </row>
    <row r="43" spans="1:20" x14ac:dyDescent="0.25">
      <c r="A43" s="1"/>
      <c r="B43" s="1" t="s">
        <v>41</v>
      </c>
      <c r="C43" s="1">
        <f>SUM(628*1.4*0.36)/1.62</f>
        <v>195.37777777777774</v>
      </c>
      <c r="E43" s="1"/>
      <c r="F43" s="1">
        <v>1.4</v>
      </c>
      <c r="G43" s="1">
        <v>113.03999999999999</v>
      </c>
      <c r="H43" s="1">
        <f t="shared" si="0"/>
        <v>15840.423396</v>
      </c>
      <c r="I43" s="1"/>
      <c r="J43" s="1">
        <v>1.4</v>
      </c>
      <c r="K43" s="1">
        <v>113.03999999999999</v>
      </c>
      <c r="L43" s="1">
        <f t="shared" si="1"/>
        <v>15556.433004</v>
      </c>
      <c r="M43" s="1"/>
      <c r="N43" s="1">
        <v>1.4</v>
      </c>
      <c r="O43" s="1">
        <v>113.03999999999999</v>
      </c>
      <c r="P43" s="1">
        <f t="shared" si="2"/>
        <v>7774.543404</v>
      </c>
      <c r="Q43" s="1"/>
      <c r="R43" s="1">
        <v>1.4</v>
      </c>
      <c r="S43" s="1">
        <v>113.03999999999999</v>
      </c>
      <c r="T43" s="1">
        <f t="shared" si="3"/>
        <v>7935.3201959999997</v>
      </c>
    </row>
    <row r="44" spans="1:20" x14ac:dyDescent="0.25">
      <c r="A44" s="1"/>
      <c r="B44" s="1" t="s">
        <v>42</v>
      </c>
      <c r="C44" s="1">
        <f>SUM(628*1.5*0.36)/1.62</f>
        <v>209.33333333333331</v>
      </c>
      <c r="E44" s="1"/>
      <c r="F44" s="1">
        <v>1.5</v>
      </c>
      <c r="G44" s="1">
        <v>121.11428571428573</v>
      </c>
      <c r="H44" s="1">
        <f t="shared" si="0"/>
        <v>16252.211967428571</v>
      </c>
      <c r="I44" s="1"/>
      <c r="J44" s="1">
        <v>1.5</v>
      </c>
      <c r="K44" s="1">
        <v>121.11428571428573</v>
      </c>
      <c r="L44" s="1">
        <f t="shared" si="1"/>
        <v>15952.073004000002</v>
      </c>
      <c r="M44" s="1"/>
      <c r="N44" s="1">
        <v>1.5</v>
      </c>
      <c r="O44" s="1">
        <v>121.11428571428573</v>
      </c>
      <c r="P44" s="1">
        <f t="shared" si="2"/>
        <v>7362.7548325714279</v>
      </c>
      <c r="Q44" s="1"/>
      <c r="R44" s="1">
        <v>1.5</v>
      </c>
      <c r="S44" s="1">
        <v>121.11428571428573</v>
      </c>
      <c r="T44" s="1">
        <f t="shared" si="3"/>
        <v>7539.6801959999993</v>
      </c>
    </row>
    <row r="46" spans="1:20" x14ac:dyDescent="0.25">
      <c r="A46" s="2" t="s">
        <v>45</v>
      </c>
      <c r="B46" s="1" t="s">
        <v>26</v>
      </c>
      <c r="C46" s="1">
        <f>SUM(628*0*0.36)/2.8</f>
        <v>0</v>
      </c>
    </row>
    <row r="47" spans="1:20" x14ac:dyDescent="0.25">
      <c r="A47" s="1"/>
      <c r="B47" s="1" t="s">
        <v>27</v>
      </c>
      <c r="C47" s="1">
        <f>SUM(628*0.1*0.36)/2.8</f>
        <v>8.0742857142857147</v>
      </c>
    </row>
    <row r="48" spans="1:20" x14ac:dyDescent="0.25">
      <c r="A48" s="1"/>
      <c r="B48" s="1" t="s">
        <v>29</v>
      </c>
      <c r="C48" s="1">
        <f>SUM(628*0.2*0.36)/2.8</f>
        <v>16.148571428571429</v>
      </c>
    </row>
    <row r="49" spans="1:3" x14ac:dyDescent="0.25">
      <c r="A49" s="1"/>
      <c r="B49" s="1" t="s">
        <v>30</v>
      </c>
      <c r="C49" s="1">
        <f>SUM(628*0.3*0.36)/2.8</f>
        <v>24.222857142857144</v>
      </c>
    </row>
    <row r="50" spans="1:3" x14ac:dyDescent="0.25">
      <c r="A50" s="1"/>
      <c r="B50" s="1" t="s">
        <v>31</v>
      </c>
      <c r="C50" s="1">
        <f>SUM(628*0.4*0.36)/2.8</f>
        <v>32.297142857142859</v>
      </c>
    </row>
    <row r="51" spans="1:3" x14ac:dyDescent="0.25">
      <c r="A51" s="1"/>
      <c r="B51" s="1" t="s">
        <v>32</v>
      </c>
      <c r="C51" s="1">
        <f>SUM(628*0.5*0.36)/2.8</f>
        <v>40.371428571428574</v>
      </c>
    </row>
    <row r="52" spans="1:3" x14ac:dyDescent="0.25">
      <c r="A52" s="1"/>
      <c r="B52" s="1" t="s">
        <v>33</v>
      </c>
      <c r="C52" s="1">
        <f>SUM(628*0.6*0.36)/2.8</f>
        <v>48.445714285714288</v>
      </c>
    </row>
    <row r="53" spans="1:3" x14ac:dyDescent="0.25">
      <c r="A53" s="1"/>
      <c r="B53" s="1" t="s">
        <v>34</v>
      </c>
      <c r="C53" s="1">
        <f>SUM(628*0.7*0.36)/2.8</f>
        <v>56.519999999999996</v>
      </c>
    </row>
    <row r="54" spans="1:3" x14ac:dyDescent="0.25">
      <c r="A54" s="1"/>
      <c r="B54" s="1" t="s">
        <v>35</v>
      </c>
      <c r="C54" s="1">
        <f>SUM(628*0.8*0.36)/2.8</f>
        <v>64.594285714285718</v>
      </c>
    </row>
    <row r="55" spans="1:3" x14ac:dyDescent="0.25">
      <c r="A55" s="1"/>
      <c r="B55" s="1" t="s">
        <v>36</v>
      </c>
      <c r="C55" s="1">
        <f>SUM(628*0.9*0.36)/2.8</f>
        <v>72.66857142857144</v>
      </c>
    </row>
    <row r="56" spans="1:3" x14ac:dyDescent="0.25">
      <c r="A56" s="1"/>
      <c r="B56" s="1" t="s">
        <v>37</v>
      </c>
      <c r="C56" s="1">
        <f>SUM(628*1*0.36)/2.8</f>
        <v>80.742857142857147</v>
      </c>
    </row>
    <row r="57" spans="1:3" x14ac:dyDescent="0.25">
      <c r="A57" s="1"/>
      <c r="B57" s="1" t="s">
        <v>38</v>
      </c>
      <c r="C57" s="1">
        <f>SUM(628*1.1*0.36)/2.8</f>
        <v>88.817142857142869</v>
      </c>
    </row>
    <row r="58" spans="1:3" x14ac:dyDescent="0.25">
      <c r="A58" s="1"/>
      <c r="B58" s="1" t="s">
        <v>39</v>
      </c>
      <c r="C58" s="1">
        <f>SUM(628*1.2*0.36)/2.8</f>
        <v>96.891428571428577</v>
      </c>
    </row>
    <row r="59" spans="1:3" x14ac:dyDescent="0.25">
      <c r="A59" s="1"/>
      <c r="B59" s="1" t="s">
        <v>40</v>
      </c>
      <c r="C59" s="1">
        <f>SUM(628*1.3*0.36)/2.8</f>
        <v>104.96571428571428</v>
      </c>
    </row>
    <row r="60" spans="1:3" x14ac:dyDescent="0.25">
      <c r="A60" s="1"/>
      <c r="B60" s="1" t="s">
        <v>41</v>
      </c>
      <c r="C60" s="1">
        <f>SUM(628*1.4*0.36)/2.8</f>
        <v>113.03999999999999</v>
      </c>
    </row>
    <row r="61" spans="1:3" x14ac:dyDescent="0.25">
      <c r="A61" s="1"/>
      <c r="B61" s="1" t="s">
        <v>42</v>
      </c>
      <c r="C61" s="1">
        <f>SUM(628*1.5*0.36)/2.8</f>
        <v>121.11428571428573</v>
      </c>
    </row>
    <row r="65" spans="5:20" ht="18.75" x14ac:dyDescent="0.3">
      <c r="E65" s="5" t="s">
        <v>55</v>
      </c>
    </row>
    <row r="67" spans="5:20" x14ac:dyDescent="0.25">
      <c r="E67" s="1"/>
      <c r="F67" s="2" t="s">
        <v>53</v>
      </c>
      <c r="G67" s="2" t="s">
        <v>56</v>
      </c>
      <c r="H67" s="2" t="s">
        <v>52</v>
      </c>
      <c r="I67" s="1"/>
      <c r="J67" s="2" t="s">
        <v>53</v>
      </c>
      <c r="K67" s="2" t="s">
        <v>56</v>
      </c>
      <c r="L67" s="2" t="s">
        <v>52</v>
      </c>
      <c r="M67" s="1"/>
      <c r="N67" s="2" t="s">
        <v>53</v>
      </c>
      <c r="O67" s="2" t="s">
        <v>56</v>
      </c>
      <c r="P67" s="2" t="s">
        <v>52</v>
      </c>
      <c r="Q67" s="1"/>
      <c r="R67" s="2" t="s">
        <v>53</v>
      </c>
      <c r="S67" s="2" t="s">
        <v>56</v>
      </c>
      <c r="T67" s="2" t="s">
        <v>52</v>
      </c>
    </row>
    <row r="68" spans="5:20" x14ac:dyDescent="0.25">
      <c r="E68" s="2" t="s">
        <v>43</v>
      </c>
      <c r="F68" s="1">
        <v>0</v>
      </c>
      <c r="G68" s="1">
        <v>0</v>
      </c>
      <c r="H68" s="1">
        <f>SUM(C20)+(C29*47)+(0*51)-((C26/2)*42)</f>
        <v>10075.383396000001</v>
      </c>
      <c r="I68" s="2" t="s">
        <v>46</v>
      </c>
      <c r="J68" s="1">
        <v>0</v>
      </c>
      <c r="K68" s="1">
        <v>0</v>
      </c>
      <c r="L68" s="1">
        <f>SUM(1418.804604)-(C29*47)-(0*49)-((-409.4604/2)*42)</f>
        <v>10017.473003999999</v>
      </c>
      <c r="M68" s="2" t="s">
        <v>48</v>
      </c>
      <c r="N68" s="1">
        <v>0</v>
      </c>
      <c r="O68" s="1">
        <v>0</v>
      </c>
      <c r="P68" s="1">
        <f>SUM(1665.231804)+(C29*53)+(0*51)-((-409.4604/2)*58)</f>
        <v>13539.583404000001</v>
      </c>
      <c r="Q68" s="2" t="s">
        <v>49</v>
      </c>
      <c r="R68" s="1">
        <v>0</v>
      </c>
      <c r="S68" s="1">
        <v>0</v>
      </c>
      <c r="T68" s="1">
        <f>SUM(1599.928596)-(C29*53)-(0*49)-((-409.4604/2)*58)</f>
        <v>13474.280196</v>
      </c>
    </row>
    <row r="69" spans="5:20" x14ac:dyDescent="0.25">
      <c r="E69" s="1"/>
      <c r="F69" s="1">
        <v>0.1</v>
      </c>
      <c r="G69" s="1">
        <v>13.955555555555556</v>
      </c>
      <c r="H69" s="1">
        <f>SUM(C20)+(C30*47)+(0*51)-((C26/2)*42)</f>
        <v>10731.294507111112</v>
      </c>
      <c r="I69" s="1"/>
      <c r="J69" s="1">
        <v>0.1</v>
      </c>
      <c r="K69" s="1">
        <v>13.955555555555556</v>
      </c>
      <c r="L69" s="1">
        <f t="shared" ref="L69:L83" si="4">SUM(1418.804604)-(C30*47)-(0*49)-((-409.4604/2)*42)</f>
        <v>9361.5618928888889</v>
      </c>
      <c r="M69" s="1"/>
      <c r="N69" s="1">
        <v>0.1</v>
      </c>
      <c r="O69" s="1">
        <v>13.955555555555556</v>
      </c>
      <c r="P69" s="1">
        <f t="shared" ref="P69:P83" si="5">SUM(1665.231804)+(C30*53)+(0*51)-((-409.4604/2)*58)</f>
        <v>14279.227848444445</v>
      </c>
      <c r="Q69" s="1"/>
      <c r="R69" s="1">
        <v>0.1</v>
      </c>
      <c r="S69" s="1">
        <v>13.955555555555556</v>
      </c>
      <c r="T69" s="1">
        <f t="shared" ref="T69:T83" si="6">SUM(1599.928596)-(C30*53)-(0*49)-((-409.4604/2)*58)</f>
        <v>12734.635751555556</v>
      </c>
    </row>
    <row r="70" spans="5:20" x14ac:dyDescent="0.25">
      <c r="E70" s="1"/>
      <c r="F70" s="1">
        <v>0.2</v>
      </c>
      <c r="G70" s="1">
        <v>27.911111111111111</v>
      </c>
      <c r="H70" s="1">
        <f>SUM(C20)+(C31*47)+(0*51)-((C26/2)*42)</f>
        <v>11387.205618222222</v>
      </c>
      <c r="I70" s="1"/>
      <c r="J70" s="1">
        <v>0.2</v>
      </c>
      <c r="K70" s="1">
        <v>27.911111111111111</v>
      </c>
      <c r="L70" s="1">
        <f t="shared" si="4"/>
        <v>8705.6507817777783</v>
      </c>
      <c r="M70" s="1"/>
      <c r="N70" s="1">
        <v>0.2</v>
      </c>
      <c r="O70" s="1">
        <v>27.911111111111111</v>
      </c>
      <c r="P70" s="1">
        <f t="shared" si="5"/>
        <v>15018.872292888889</v>
      </c>
      <c r="Q70" s="1"/>
      <c r="R70" s="1">
        <v>0.2</v>
      </c>
      <c r="S70" s="1">
        <v>27.911111111111111</v>
      </c>
      <c r="T70" s="1">
        <f t="shared" si="6"/>
        <v>11994.991307111111</v>
      </c>
    </row>
    <row r="71" spans="5:20" x14ac:dyDescent="0.25">
      <c r="E71" s="1"/>
      <c r="F71" s="1">
        <v>0.3</v>
      </c>
      <c r="G71" s="1">
        <v>41.86666666666666</v>
      </c>
      <c r="H71" s="1">
        <f>SUM(C20)+(C32*47)+(0*51)-((C26/2)*42)</f>
        <v>12043.116729333335</v>
      </c>
      <c r="I71" s="1"/>
      <c r="J71" s="1">
        <v>0.3</v>
      </c>
      <c r="K71" s="1">
        <v>41.86666666666666</v>
      </c>
      <c r="L71" s="1">
        <f t="shared" si="4"/>
        <v>8049.7396706666677</v>
      </c>
      <c r="M71" s="1"/>
      <c r="N71" s="1">
        <v>0.3</v>
      </c>
      <c r="O71" s="1">
        <v>41.86666666666666</v>
      </c>
      <c r="P71" s="1">
        <f t="shared" si="5"/>
        <v>15758.516737333333</v>
      </c>
      <c r="Q71" s="1"/>
      <c r="R71" s="1">
        <v>0.3</v>
      </c>
      <c r="S71" s="1">
        <v>41.86666666666666</v>
      </c>
      <c r="T71" s="1">
        <f t="shared" si="6"/>
        <v>11255.346862666667</v>
      </c>
    </row>
    <row r="72" spans="5:20" x14ac:dyDescent="0.25">
      <c r="E72" s="1"/>
      <c r="F72" s="1">
        <v>0.4</v>
      </c>
      <c r="G72" s="1">
        <v>55.822222222222223</v>
      </c>
      <c r="H72" s="1">
        <f>SUM(C20)+(C33*47)+(0*51)-((C26/2)*42)</f>
        <v>12699.027840444445</v>
      </c>
      <c r="I72" s="1"/>
      <c r="J72" s="1">
        <v>0.4</v>
      </c>
      <c r="K72" s="1">
        <v>55.822222222222223</v>
      </c>
      <c r="L72" s="1">
        <f t="shared" si="4"/>
        <v>7393.8285595555553</v>
      </c>
      <c r="M72" s="1"/>
      <c r="N72" s="1">
        <v>0.4</v>
      </c>
      <c r="O72" s="1">
        <v>55.822222222222223</v>
      </c>
      <c r="P72" s="1">
        <f t="shared" si="5"/>
        <v>16498.161181777778</v>
      </c>
      <c r="Q72" s="1"/>
      <c r="R72" s="1">
        <v>0.4</v>
      </c>
      <c r="S72" s="1">
        <v>55.822222222222223</v>
      </c>
      <c r="T72" s="1">
        <f t="shared" si="6"/>
        <v>10515.702418222221</v>
      </c>
    </row>
    <row r="73" spans="5:20" x14ac:dyDescent="0.25">
      <c r="E73" s="1"/>
      <c r="F73" s="1">
        <v>0.5</v>
      </c>
      <c r="G73" s="1">
        <v>69.777777777777771</v>
      </c>
      <c r="H73" s="1">
        <f>SUM(C20)+(C34*47)+(0*51)-((C26/2)*42)</f>
        <v>13354.938951555556</v>
      </c>
      <c r="I73" s="1"/>
      <c r="J73" s="1">
        <v>0.5</v>
      </c>
      <c r="K73" s="1">
        <v>69.777777777777771</v>
      </c>
      <c r="L73" s="1">
        <f t="shared" si="4"/>
        <v>6737.9174484444447</v>
      </c>
      <c r="M73" s="1"/>
      <c r="N73" s="1">
        <v>0.5</v>
      </c>
      <c r="O73" s="1">
        <v>69.777777777777771</v>
      </c>
      <c r="P73" s="1">
        <f t="shared" si="5"/>
        <v>17237.805626222224</v>
      </c>
      <c r="Q73" s="1"/>
      <c r="R73" s="1">
        <v>0.5</v>
      </c>
      <c r="S73" s="1">
        <v>69.777777777777771</v>
      </c>
      <c r="T73" s="1">
        <f t="shared" si="6"/>
        <v>9776.0579737777771</v>
      </c>
    </row>
    <row r="74" spans="5:20" x14ac:dyDescent="0.25">
      <c r="E74" s="1"/>
      <c r="F74" s="1">
        <v>0.6</v>
      </c>
      <c r="G74" s="1">
        <v>83.73333333333332</v>
      </c>
      <c r="H74" s="1">
        <f>SUM(C20)+(C35*47)+(0*51)-((C26/2)*42)</f>
        <v>14010.850062666666</v>
      </c>
      <c r="I74" s="1"/>
      <c r="J74" s="1">
        <v>0.6</v>
      </c>
      <c r="K74" s="1">
        <v>83.73333333333332</v>
      </c>
      <c r="L74" s="1">
        <f t="shared" si="4"/>
        <v>6082.0063373333342</v>
      </c>
      <c r="M74" s="1"/>
      <c r="N74" s="1">
        <v>0.6</v>
      </c>
      <c r="O74" s="1">
        <v>83.73333333333332</v>
      </c>
      <c r="P74" s="1">
        <f t="shared" si="5"/>
        <v>17977.450070666666</v>
      </c>
      <c r="Q74" s="1"/>
      <c r="R74" s="1">
        <v>0.6</v>
      </c>
      <c r="S74" s="1">
        <v>83.73333333333332</v>
      </c>
      <c r="T74" s="1">
        <f t="shared" si="6"/>
        <v>9036.4135293333347</v>
      </c>
    </row>
    <row r="75" spans="5:20" x14ac:dyDescent="0.25">
      <c r="E75" s="1"/>
      <c r="F75" s="1">
        <v>0.7</v>
      </c>
      <c r="G75" s="1">
        <v>97.688888888888869</v>
      </c>
      <c r="H75" s="1">
        <f>SUM(C20)+(C36*47)+(0*51)-((C26/2)*42)</f>
        <v>14666.761173777777</v>
      </c>
      <c r="I75" s="1"/>
      <c r="J75" s="1">
        <v>0.7</v>
      </c>
      <c r="K75" s="1">
        <v>97.688888888888869</v>
      </c>
      <c r="L75" s="1">
        <f t="shared" si="4"/>
        <v>5426.0952262222236</v>
      </c>
      <c r="M75" s="1"/>
      <c r="N75" s="1">
        <v>0.7</v>
      </c>
      <c r="O75" s="1">
        <v>97.688888888888869</v>
      </c>
      <c r="P75" s="1">
        <f t="shared" si="5"/>
        <v>18717.094515111108</v>
      </c>
      <c r="Q75" s="1"/>
      <c r="R75" s="1">
        <v>0.7</v>
      </c>
      <c r="S75" s="1">
        <v>97.688888888888869</v>
      </c>
      <c r="T75" s="1">
        <f t="shared" si="6"/>
        <v>8296.7690848888888</v>
      </c>
    </row>
    <row r="76" spans="5:20" x14ac:dyDescent="0.25">
      <c r="E76" s="1"/>
      <c r="F76" s="1">
        <v>0.8</v>
      </c>
      <c r="G76" s="1">
        <v>111.64444444444445</v>
      </c>
      <c r="H76" s="1">
        <f>SUM(C20)+(C37*47)+(0*51)-((C26/2)*42)</f>
        <v>15322.672284888889</v>
      </c>
      <c r="I76" s="1"/>
      <c r="J76" s="1">
        <v>0.8</v>
      </c>
      <c r="K76" s="1">
        <v>111.64444444444445</v>
      </c>
      <c r="L76" s="1">
        <f t="shared" si="4"/>
        <v>4770.1841151111112</v>
      </c>
      <c r="M76" s="1"/>
      <c r="N76" s="1">
        <v>0.8</v>
      </c>
      <c r="O76" s="1">
        <v>111.64444444444445</v>
      </c>
      <c r="P76" s="1">
        <f t="shared" si="5"/>
        <v>19456.738959555558</v>
      </c>
      <c r="Q76" s="1"/>
      <c r="R76" s="1">
        <v>0.8</v>
      </c>
      <c r="S76" s="1">
        <v>111.64444444444445</v>
      </c>
      <c r="T76" s="1">
        <f t="shared" si="6"/>
        <v>7557.1246404444437</v>
      </c>
    </row>
    <row r="77" spans="5:20" x14ac:dyDescent="0.25">
      <c r="E77" s="1"/>
      <c r="F77" s="1">
        <v>0.9</v>
      </c>
      <c r="G77" s="1">
        <v>125.6</v>
      </c>
      <c r="H77" s="1">
        <f>SUM(C20)+(C38*47)+(0*51)-((C26/2)*42)</f>
        <v>15978.583396</v>
      </c>
      <c r="I77" s="1"/>
      <c r="J77" s="1">
        <v>0.9</v>
      </c>
      <c r="K77" s="1">
        <v>125.6</v>
      </c>
      <c r="L77" s="1">
        <f t="shared" si="4"/>
        <v>4114.2730040000006</v>
      </c>
      <c r="M77" s="1"/>
      <c r="N77" s="1">
        <v>0.9</v>
      </c>
      <c r="O77" s="1">
        <v>125.6</v>
      </c>
      <c r="P77" s="1">
        <f t="shared" si="5"/>
        <v>20196.383404</v>
      </c>
      <c r="Q77" s="1"/>
      <c r="R77" s="1">
        <v>0.9</v>
      </c>
      <c r="S77" s="1">
        <v>125.6</v>
      </c>
      <c r="T77" s="1">
        <f t="shared" si="6"/>
        <v>6817.4801960000004</v>
      </c>
    </row>
    <row r="78" spans="5:20" x14ac:dyDescent="0.25">
      <c r="E78" s="1"/>
      <c r="F78" s="1">
        <v>1</v>
      </c>
      <c r="G78" s="1">
        <v>139.55555555555554</v>
      </c>
      <c r="H78" s="1">
        <f>SUM(C20)+(C39*47)+(0*51)-((C26/2)*42)</f>
        <v>16634.494507111111</v>
      </c>
      <c r="I78" s="1"/>
      <c r="J78" s="1">
        <v>1</v>
      </c>
      <c r="K78" s="1">
        <v>139.55555555555554</v>
      </c>
      <c r="L78" s="1">
        <f t="shared" si="4"/>
        <v>3458.36189288889</v>
      </c>
      <c r="M78" s="1"/>
      <c r="N78" s="1">
        <v>1</v>
      </c>
      <c r="O78" s="1">
        <v>139.55555555555554</v>
      </c>
      <c r="P78" s="1">
        <f t="shared" si="5"/>
        <v>20936.027848444442</v>
      </c>
      <c r="Q78" s="1"/>
      <c r="R78" s="1">
        <v>1</v>
      </c>
      <c r="S78" s="1">
        <v>139.55555555555554</v>
      </c>
      <c r="T78" s="1">
        <f t="shared" si="6"/>
        <v>6077.8357515555563</v>
      </c>
    </row>
    <row r="79" spans="5:20" x14ac:dyDescent="0.25">
      <c r="E79" s="1"/>
      <c r="F79" s="1">
        <v>1.1000000000000001</v>
      </c>
      <c r="G79" s="1">
        <v>153.51111111111112</v>
      </c>
      <c r="H79" s="1">
        <f>SUM(C20)+(C40*47)+(0*51)-((C26/2)*42)</f>
        <v>17290.405618222223</v>
      </c>
      <c r="I79" s="1"/>
      <c r="J79" s="1">
        <v>1.1000000000000001</v>
      </c>
      <c r="K79" s="1">
        <v>153.51111111111112</v>
      </c>
      <c r="L79" s="1">
        <f t="shared" si="4"/>
        <v>2802.4507817777776</v>
      </c>
      <c r="M79" s="1"/>
      <c r="N79" s="1">
        <v>1.1000000000000001</v>
      </c>
      <c r="O79" s="1">
        <v>153.51111111111112</v>
      </c>
      <c r="P79" s="1">
        <f t="shared" si="5"/>
        <v>21675.672292888892</v>
      </c>
      <c r="Q79" s="1"/>
      <c r="R79" s="1">
        <v>1.1000000000000001</v>
      </c>
      <c r="S79" s="1">
        <v>153.51111111111112</v>
      </c>
      <c r="T79" s="1">
        <f t="shared" si="6"/>
        <v>5338.1913071111103</v>
      </c>
    </row>
    <row r="80" spans="5:20" x14ac:dyDescent="0.25">
      <c r="E80" s="1"/>
      <c r="F80" s="1">
        <v>1.2</v>
      </c>
      <c r="G80" s="1">
        <v>167.46666666666664</v>
      </c>
      <c r="H80" s="1">
        <f>SUM(C20)+(C41*47)+(0*51)-((C26/2)*42)</f>
        <v>17946.316729333332</v>
      </c>
      <c r="I80" s="1"/>
      <c r="J80" s="1">
        <v>1.2</v>
      </c>
      <c r="K80" s="1">
        <v>167.46666666666664</v>
      </c>
      <c r="L80" s="1">
        <f t="shared" si="4"/>
        <v>2146.5396706666679</v>
      </c>
      <c r="M80" s="1"/>
      <c r="N80" s="1">
        <v>1.2</v>
      </c>
      <c r="O80" s="1">
        <v>167.46666666666664</v>
      </c>
      <c r="P80" s="1">
        <f t="shared" si="5"/>
        <v>22415.316737333334</v>
      </c>
      <c r="Q80" s="1"/>
      <c r="R80" s="1">
        <v>1.2</v>
      </c>
      <c r="S80" s="1">
        <v>167.46666666666664</v>
      </c>
      <c r="T80" s="1">
        <f t="shared" si="6"/>
        <v>4598.5468626666679</v>
      </c>
    </row>
    <row r="81" spans="5:24" x14ac:dyDescent="0.25">
      <c r="E81" s="1"/>
      <c r="F81" s="1">
        <v>1.3</v>
      </c>
      <c r="G81" s="1">
        <v>181.42222222222222</v>
      </c>
      <c r="H81" s="1">
        <f>SUM(C20)+(C42*47)+(0*51)-((C26/2)*42)</f>
        <v>18602.227840444444</v>
      </c>
      <c r="I81" s="1"/>
      <c r="J81" s="1">
        <v>1.3</v>
      </c>
      <c r="K81" s="1">
        <v>181.42222222222222</v>
      </c>
      <c r="L81" s="1">
        <f t="shared" si="4"/>
        <v>1490.6285595555555</v>
      </c>
      <c r="M81" s="1"/>
      <c r="N81" s="1">
        <v>1.3</v>
      </c>
      <c r="O81" s="1">
        <v>181.42222222222222</v>
      </c>
      <c r="P81" s="1">
        <f t="shared" si="5"/>
        <v>23154.961181777777</v>
      </c>
      <c r="Q81" s="1"/>
      <c r="R81" s="1">
        <v>1.3</v>
      </c>
      <c r="S81" s="1">
        <v>181.42222222222222</v>
      </c>
      <c r="T81" s="1">
        <f t="shared" si="6"/>
        <v>3858.902418222222</v>
      </c>
    </row>
    <row r="82" spans="5:24" x14ac:dyDescent="0.25">
      <c r="E82" s="1"/>
      <c r="F82" s="1">
        <v>1.4</v>
      </c>
      <c r="G82" s="1">
        <v>195.37777777777774</v>
      </c>
      <c r="H82" s="1">
        <f>SUM(C20)+(C43*47)+(0*51)-((C26/2)*42)</f>
        <v>19258.138951555557</v>
      </c>
      <c r="I82" s="1"/>
      <c r="J82" s="1">
        <v>1.4</v>
      </c>
      <c r="K82" s="1">
        <v>195.37777777777774</v>
      </c>
      <c r="L82" s="1">
        <f t="shared" si="4"/>
        <v>834.71744844444675</v>
      </c>
      <c r="M82" s="1"/>
      <c r="N82" s="1">
        <v>1.4</v>
      </c>
      <c r="O82" s="1">
        <v>195.37777777777774</v>
      </c>
      <c r="P82" s="1">
        <f t="shared" si="5"/>
        <v>23894.605626222219</v>
      </c>
      <c r="Q82" s="1"/>
      <c r="R82" s="1">
        <v>1.4</v>
      </c>
      <c r="S82" s="1">
        <v>195.37777777777774</v>
      </c>
      <c r="T82" s="1">
        <f t="shared" si="6"/>
        <v>3119.2579737777796</v>
      </c>
    </row>
    <row r="83" spans="5:24" x14ac:dyDescent="0.25">
      <c r="E83" s="1"/>
      <c r="F83" s="1">
        <v>1.5</v>
      </c>
      <c r="G83" s="1">
        <v>209.33333333333331</v>
      </c>
      <c r="H83" s="1">
        <f>SUM(C20)+(C44*47)+(0*51)-((C26/2)*42)</f>
        <v>19914.050062666669</v>
      </c>
      <c r="I83" s="1"/>
      <c r="J83" s="1">
        <v>1.5</v>
      </c>
      <c r="K83" s="1">
        <v>209.33333333333331</v>
      </c>
      <c r="L83" s="1">
        <f t="shared" si="4"/>
        <v>178.80633733333343</v>
      </c>
      <c r="M83" s="1"/>
      <c r="N83" s="1">
        <v>1.5</v>
      </c>
      <c r="O83" s="1">
        <v>209.33333333333331</v>
      </c>
      <c r="P83" s="1">
        <f t="shared" si="5"/>
        <v>24634.250070666669</v>
      </c>
      <c r="Q83" s="1"/>
      <c r="R83" s="1">
        <v>1.5</v>
      </c>
      <c r="S83" s="1">
        <v>209.33333333333331</v>
      </c>
      <c r="T83" s="1">
        <f t="shared" si="6"/>
        <v>2379.6135293333336</v>
      </c>
    </row>
    <row r="85" spans="5:24" x14ac:dyDescent="0.25">
      <c r="X85" t="s">
        <v>57</v>
      </c>
    </row>
    <row r="102" spans="7:7" x14ac:dyDescent="0.25">
      <c r="G102" t="s">
        <v>58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Evans</dc:creator>
  <cp:lastModifiedBy>Valerie Evans</cp:lastModifiedBy>
  <dcterms:created xsi:type="dcterms:W3CDTF">2020-03-22T18:13:49Z</dcterms:created>
  <dcterms:modified xsi:type="dcterms:W3CDTF">2020-03-23T06:44:19Z</dcterms:modified>
</cp:coreProperties>
</file>