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P\"/>
    </mc:Choice>
  </mc:AlternateContent>
  <xr:revisionPtr revIDLastSave="0" documentId="13_ncr:1_{CE1EE8BD-3D93-4D0D-A9A3-A666FB266111}" xr6:coauthVersionLast="46" xr6:coauthVersionMax="46" xr10:uidLastSave="{00000000-0000-0000-0000-000000000000}"/>
  <bookViews>
    <workbookView xWindow="-120" yWindow="-120" windowWidth="29040" windowHeight="15840" tabRatio="858" xr2:uid="{00000000-000D-0000-FFFF-FFFF00000000}"/>
  </bookViews>
  <sheets>
    <sheet name="CashFlow" sheetId="16" r:id="rId1"/>
    <sheet name="CashFlowARA" sheetId="4" state="hidden" r:id="rId2"/>
    <sheet name="CashFlowCalcs" sheetId="8" state="hidden" r:id="rId3"/>
    <sheet name="LevelChange" sheetId="27" state="veryHidden" r:id="rId4"/>
    <sheet name="ADOPTEDROADS" sheetId="30" state="veryHidden" r:id="rId5"/>
    <sheet name="SUBS" sheetId="28" state="veryHidden" r:id="rId6"/>
    <sheet name="Constants" sheetId="29" state="veryHidden" r:id="rId7"/>
  </sheets>
  <externalReferences>
    <externalReference r:id="rId8"/>
    <externalReference r:id="rId9"/>
  </externalReferences>
  <definedNames>
    <definedName name="_xlnm._FilterDatabase" localSheetId="4" hidden="1">ADOPTEDROADS!$A$9:$AH$24</definedName>
    <definedName name="_xlnm._FilterDatabase" localSheetId="2" hidden="1">CashFlowCalcs!$A$17:$R$750</definedName>
    <definedName name="_xlnm._FilterDatabase" localSheetId="6" hidden="1">Constants!$A$1:$F$50</definedName>
    <definedName name="_xlnm._FilterDatabase" localSheetId="5" hidden="1">SUBS!$A$5:$BG$14</definedName>
    <definedName name="ACT_GROSS">#REF!</definedName>
    <definedName name="AdoptedPathBuildUp">[1]ADOPTEDPATHS!$E$7</definedName>
    <definedName name="AdoptedRoadBuildUp">[1]ADOPTEDROADS!$N$7</definedName>
    <definedName name="BeamAndBlockOmission">Constants!$E$34</definedName>
    <definedName name="BeamAndBlockPartyOmission">Constants!$E$46</definedName>
    <definedName name="BeamBlockSlabBuildUp">[1]Constants!$E$12</definedName>
    <definedName name="BeamBlockSlabBuildUp1">SUBS!$U$2</definedName>
    <definedName name="BlockPavBuildUp" localSheetId="4">ADOPTEDROADS!#REF!</definedName>
    <definedName name="BlockPavBuildUp">[1]HARDSTAND!$O$7</definedName>
    <definedName name="CavIns">[1]Constants!$E$28</definedName>
    <definedName name="CF_ContractSum">CashFlow!$F$3</definedName>
    <definedName name="CF_NoOfVals">CashFlow!$E$6</definedName>
    <definedName name="CF_NoOfValsRemaining">CashFlow!$E$8</definedName>
    <definedName name="CF_Retention">CashFlow!$E$7</definedName>
    <definedName name="ClearCav">[1]Constants!$E$27</definedName>
    <definedName name="CompOnSite">CashFlow!$J$9</definedName>
    <definedName name="ConcFillInPartyWall">Constants!$E$45</definedName>
    <definedName name="Contract_Sum">#REF!</definedName>
    <definedName name="DefLiabPeriod">CashFlow!$E$9</definedName>
    <definedName name="DesFees">#REF!</definedName>
    <definedName name="Dwellings">#REF!</definedName>
    <definedName name="EmpProvSums">#REF!</definedName>
    <definedName name="EstGrossVal" localSheetId="0">#REF!</definedName>
    <definedName name="EstGrossVal" localSheetId="2">[2]CashFlowCalcs!$C$10:$E$395</definedName>
    <definedName name="EstGrossVal">#REF!</definedName>
    <definedName name="ExtCLtoIntCL">[1]Constants!$E$31</definedName>
    <definedName name="ExtFaceToCLofCav">Constants!$E$32</definedName>
    <definedName name="ExtSkinThick">[1]Constants!$E$26</definedName>
    <definedName name="ExtWallBuildUp">[1]Constants!$E$30</definedName>
    <definedName name="ExtWks">#REF!</definedName>
    <definedName name="FeesAndCharges">#REF!</definedName>
    <definedName name="FFLtoTopOfConcFooting">[1]Constants!$E$22</definedName>
    <definedName name="InternalTrench">[1]Constants!$E$17</definedName>
    <definedName name="IntSkin">[1]Constants!$E$29</definedName>
    <definedName name="MIN_TR_DEPTH" localSheetId="4">#REF!</definedName>
    <definedName name="MIN_TR_DEPTH">#REF!</definedName>
    <definedName name="MinDimFromFFLtoBtmOfTrench">[1]Constants!$E$24</definedName>
    <definedName name="MOS">#REF!</definedName>
    <definedName name="NewTopSoilDepth">[1]GARDENS!$AA$3</definedName>
    <definedName name="NewTopSoilThickness">[1]Constants!$E$3</definedName>
    <definedName name="NewTopSoilThicknessInM">[1]Constants!$H$3</definedName>
    <definedName name="PartyCavityWidth">[1]Constants!$E$42</definedName>
    <definedName name="PartyTrenchWidth">[1]Constants!$E$16</definedName>
    <definedName name="PartyWallBuildUp">[1]Constants!$E$44</definedName>
    <definedName name="PathBuildUp" localSheetId="4">ADOPTEDROADS!#REF!</definedName>
    <definedName name="PathBuildUp">[1]PLOTPATHS!$Z$4</definedName>
    <definedName name="PerimPathWidth" localSheetId="4">ADOPTEDROADS!$H$3</definedName>
    <definedName name="PerimPathWidth">[1]PLOTPATHS!$K$4</definedName>
    <definedName name="PerimTrenchWidth">[1]Constants!$E$15</definedName>
    <definedName name="PorTarmBuildUp" localSheetId="4">ADOPTEDROADS!#REF!</definedName>
    <definedName name="Prelims">#REF!</definedName>
    <definedName name="PrelimsPercent">#REF!</definedName>
    <definedName name="RetWallTable1">[1]WALLS!$F$7:$W$11</definedName>
    <definedName name="RunningOrder">#REF!</definedName>
    <definedName name="SiteTopSoilTh">[1]ADOPTEDROADS!$J$3</definedName>
    <definedName name="SlabMakeUp" localSheetId="4">#REF!</definedName>
    <definedName name="SlabMakeUp">#REF!</definedName>
    <definedName name="Spread" localSheetId="4">#REF!</definedName>
    <definedName name="Spread">#REF!</definedName>
    <definedName name="Spread_BG">[1]Constants!$E$6</definedName>
    <definedName name="StartOnSite">CashFlow!$J$7</definedName>
    <definedName name="SUBS">'[1]Val Template'!$B$38:$Y$103</definedName>
    <definedName name="SUBSTICKSHEET">'[1]Ticksheet-SUBS'!$D$2:$X$50</definedName>
    <definedName name="TAB_DATE1_DAYNO">CashFlowCalcs!$E$17:$M$750</definedName>
    <definedName name="TAB_DATE1toNOOFDAYREM">CashFlowCalcs!$E$17:$O$750</definedName>
    <definedName name="TABLE">#REF!</definedName>
    <definedName name="TICKSHEET">#REF!</definedName>
    <definedName name="TimeRel">#REF!</definedName>
    <definedName name="Topsoil" localSheetId="4">#REF!</definedName>
    <definedName name="Topsoil">#REF!</definedName>
    <definedName name="TopSoilDepth">[1]WALLS!$P$1</definedName>
    <definedName name="TopSoilThickness">[1]Constants!$E$2</definedName>
    <definedName name="TopSoilThicknessInM">[1]Constants!$H$2</definedName>
    <definedName name="TotalNoOfDwellings">#REF!</definedName>
    <definedName name="Vars">#REF!</definedName>
    <definedName name="VertDPM">[1]Constants!$E$13</definedName>
    <definedName name="WBGProvSums">#REF!</definedName>
  </definedNames>
  <calcPr calcId="181029"/>
</workbook>
</file>

<file path=xl/calcChain.xml><?xml version="1.0" encoding="utf-8"?>
<calcChain xmlns="http://schemas.openxmlformats.org/spreadsheetml/2006/main">
  <c r="J8" i="16" l="1"/>
  <c r="D16" i="16" l="1"/>
  <c r="D17" i="16" l="1"/>
  <c r="D18" i="16" s="1"/>
  <c r="D19" i="16" s="1"/>
  <c r="F4" i="16"/>
  <c r="D20" i="16" l="1"/>
  <c r="D21" i="16" s="1"/>
  <c r="D22" i="16" s="1"/>
  <c r="D23" i="16" s="1"/>
  <c r="D24" i="16" s="1"/>
  <c r="D25" i="16" s="1"/>
  <c r="I6" i="8"/>
  <c r="G6" i="8"/>
  <c r="I1" i="8"/>
  <c r="G1" i="8"/>
  <c r="H3" i="8" s="1"/>
  <c r="H4" i="8" s="1"/>
  <c r="H5" i="8" s="1"/>
  <c r="D26" i="16" l="1"/>
  <c r="D27" i="16" s="1"/>
  <c r="D28" i="16" s="1"/>
  <c r="D29" i="16" s="1"/>
  <c r="D30" i="16" s="1"/>
  <c r="D31" i="16" s="1"/>
  <c r="D32" i="16" s="1"/>
  <c r="D33" i="16" s="1"/>
  <c r="D34" i="16" s="1"/>
  <c r="D35" i="16" s="1"/>
  <c r="D36" i="16" s="1"/>
  <c r="D37" i="16" s="1"/>
  <c r="D38" i="16" s="1"/>
  <c r="D39" i="16" s="1"/>
  <c r="D40" i="16" s="1"/>
  <c r="F19" i="30"/>
  <c r="H19" i="30" s="1"/>
  <c r="AD19" i="30" s="1"/>
  <c r="AF19" i="30" s="1"/>
  <c r="K19" i="30"/>
  <c r="K21" i="30" s="1"/>
  <c r="P19" i="30"/>
  <c r="Q19" i="30"/>
  <c r="F20" i="30"/>
  <c r="H20" i="30" s="1"/>
  <c r="AD20" i="30" s="1"/>
  <c r="AF20" i="30" s="1"/>
  <c r="AH20" i="30" s="1"/>
  <c r="K20" i="30"/>
  <c r="K22" i="30" s="1"/>
  <c r="P20" i="30"/>
  <c r="Q20" i="30"/>
  <c r="H21" i="30"/>
  <c r="AD21" i="30" s="1"/>
  <c r="AF21" i="30" s="1"/>
  <c r="P21" i="30"/>
  <c r="Q21" i="30"/>
  <c r="H22" i="30"/>
  <c r="AD22" i="30" s="1"/>
  <c r="AF22" i="30" s="1"/>
  <c r="P22" i="30"/>
  <c r="Q22" i="30"/>
  <c r="H23" i="30"/>
  <c r="AD23" i="30" s="1"/>
  <c r="AF23" i="30" s="1"/>
  <c r="AG23" i="30" s="1"/>
  <c r="P23" i="30"/>
  <c r="Q23" i="30"/>
  <c r="H24" i="30"/>
  <c r="AD24" i="30" s="1"/>
  <c r="AF24" i="30" s="1"/>
  <c r="AH24" i="30" s="1"/>
  <c r="P24" i="30"/>
  <c r="Q24" i="30"/>
  <c r="F18" i="30"/>
  <c r="H18" i="30" s="1"/>
  <c r="AD18" i="30" s="1"/>
  <c r="AF18" i="30" s="1"/>
  <c r="F17" i="30"/>
  <c r="F16" i="30"/>
  <c r="F15" i="30"/>
  <c r="H15" i="30" s="1"/>
  <c r="AD15" i="30" s="1"/>
  <c r="AF15" i="30" s="1"/>
  <c r="AH15" i="30" s="1"/>
  <c r="F14" i="30"/>
  <c r="H14" i="30" s="1"/>
  <c r="AD14" i="30" s="1"/>
  <c r="AF14" i="30" s="1"/>
  <c r="F13" i="30"/>
  <c r="F12" i="30"/>
  <c r="F11" i="30"/>
  <c r="H11" i="30" s="1"/>
  <c r="AD11" i="30" s="1"/>
  <c r="AF11" i="30" s="1"/>
  <c r="F10" i="30"/>
  <c r="H10" i="30" s="1"/>
  <c r="AD10" i="30" s="1"/>
  <c r="AF10" i="30" s="1"/>
  <c r="Q18" i="30"/>
  <c r="K18" i="30"/>
  <c r="B18" i="30"/>
  <c r="Q17" i="30"/>
  <c r="H17" i="30"/>
  <c r="AD17" i="30" s="1"/>
  <c r="AF17" i="30" s="1"/>
  <c r="H16" i="30"/>
  <c r="AD16" i="30" s="1"/>
  <c r="AF16" i="30" s="1"/>
  <c r="P15" i="30"/>
  <c r="P16" i="30"/>
  <c r="H13" i="30"/>
  <c r="AD13" i="30" s="1"/>
  <c r="AF13" i="30" s="1"/>
  <c r="AH13" i="30" s="1"/>
  <c r="H12" i="30"/>
  <c r="AD12" i="30" s="1"/>
  <c r="AF12" i="30" s="1"/>
  <c r="AG12" i="30" s="1"/>
  <c r="P11" i="30"/>
  <c r="P10" i="30"/>
  <c r="K10" i="30"/>
  <c r="N7" i="30"/>
  <c r="H6" i="27"/>
  <c r="E9" i="27"/>
  <c r="H9" i="27" s="1"/>
  <c r="E8" i="27"/>
  <c r="H8" i="27" s="1"/>
  <c r="E6" i="27"/>
  <c r="E5" i="27"/>
  <c r="H5" i="27" s="1"/>
  <c r="E4" i="27"/>
  <c r="H4" i="27" s="1"/>
  <c r="E3" i="27"/>
  <c r="H3" i="27" s="1"/>
  <c r="D7" i="27"/>
  <c r="C7" i="27"/>
  <c r="BE2" i="28"/>
  <c r="BB6" i="28"/>
  <c r="BE6" i="28"/>
  <c r="BB7" i="28"/>
  <c r="BE7" i="28"/>
  <c r="BE8" i="28"/>
  <c r="BB8" i="28"/>
  <c r="BG8" i="28"/>
  <c r="BG9" i="28"/>
  <c r="BB9" i="28"/>
  <c r="BE9" i="28"/>
  <c r="BB10" i="28"/>
  <c r="BB11" i="28"/>
  <c r="BB12" i="28"/>
  <c r="BB13" i="28"/>
  <c r="BB17" i="28"/>
  <c r="BE17" i="28"/>
  <c r="BB18" i="28"/>
  <c r="BE18" i="28"/>
  <c r="BB19" i="28"/>
  <c r="BE19" i="28"/>
  <c r="BF19" i="28" s="1"/>
  <c r="BE20" i="28"/>
  <c r="BB20" i="28"/>
  <c r="BB21" i="28"/>
  <c r="BB22" i="28"/>
  <c r="BB23" i="28"/>
  <c r="BB24" i="28"/>
  <c r="BB16" i="28" l="1"/>
  <c r="BB4" i="28"/>
  <c r="R21" i="30"/>
  <c r="W21" i="30" s="1"/>
  <c r="R24" i="30"/>
  <c r="R20" i="30"/>
  <c r="AH19" i="30"/>
  <c r="AG19" i="30"/>
  <c r="AH22" i="30"/>
  <c r="AG22" i="30"/>
  <c r="AG21" i="30"/>
  <c r="AH21" i="30"/>
  <c r="K23" i="30"/>
  <c r="K24" i="30"/>
  <c r="R19" i="30"/>
  <c r="AG24" i="30"/>
  <c r="AH23" i="30"/>
  <c r="R23" i="30"/>
  <c r="AG20" i="30"/>
  <c r="R22" i="30"/>
  <c r="Q14" i="30"/>
  <c r="AG15" i="30"/>
  <c r="AH17" i="30"/>
  <c r="AG17" i="30"/>
  <c r="AG13" i="30"/>
  <c r="P17" i="30"/>
  <c r="Q16" i="30"/>
  <c r="Q15" i="30"/>
  <c r="BF6" i="28"/>
  <c r="AG10" i="30"/>
  <c r="AH10" i="30"/>
  <c r="AG18" i="30"/>
  <c r="AH18" i="30"/>
  <c r="AG16" i="30"/>
  <c r="AH16" i="30"/>
  <c r="Q12" i="30"/>
  <c r="P13" i="30"/>
  <c r="BG20" i="28"/>
  <c r="K17" i="30"/>
  <c r="Q10" i="30"/>
  <c r="AH14" i="30"/>
  <c r="AG14" i="30"/>
  <c r="AG11" i="30"/>
  <c r="AH11" i="30"/>
  <c r="H8" i="30"/>
  <c r="AH12" i="30"/>
  <c r="P18" i="30"/>
  <c r="BG19" i="28"/>
  <c r="BF17" i="28"/>
  <c r="BF20" i="28"/>
  <c r="BG18" i="28"/>
  <c r="BF9" i="28"/>
  <c r="BG7" i="28"/>
  <c r="BG17" i="28"/>
  <c r="BF8" i="28"/>
  <c r="BG6" i="28"/>
  <c r="BF18" i="28"/>
  <c r="BF7" i="28"/>
  <c r="E7" i="27"/>
  <c r="H7" i="27" s="1"/>
  <c r="H10" i="27" s="1"/>
  <c r="BB3" i="28"/>
  <c r="AF24" i="28"/>
  <c r="BE24" i="28" s="1"/>
  <c r="S24" i="28"/>
  <c r="Q24" i="28"/>
  <c r="K24" i="28"/>
  <c r="D24" i="28"/>
  <c r="AF23" i="28"/>
  <c r="BE23" i="28" s="1"/>
  <c r="S23" i="28"/>
  <c r="Q23" i="28"/>
  <c r="K23" i="28"/>
  <c r="D23" i="28"/>
  <c r="AF22" i="28"/>
  <c r="S22" i="28"/>
  <c r="Q22" i="28"/>
  <c r="K22" i="28"/>
  <c r="I22" i="28"/>
  <c r="H23" i="28" s="1"/>
  <c r="D22" i="28"/>
  <c r="AF21" i="28"/>
  <c r="BE21" i="28" s="1"/>
  <c r="S21" i="28"/>
  <c r="Q21" i="28"/>
  <c r="K21" i="28"/>
  <c r="D21" i="28"/>
  <c r="AE20" i="28"/>
  <c r="S20" i="28"/>
  <c r="Q20" i="28"/>
  <c r="K20" i="28"/>
  <c r="J20" i="28"/>
  <c r="AE19" i="28"/>
  <c r="S19" i="28"/>
  <c r="Q19" i="28"/>
  <c r="K19" i="28"/>
  <c r="J19" i="28"/>
  <c r="AE18" i="28"/>
  <c r="S18" i="28"/>
  <c r="Q18" i="28"/>
  <c r="K18" i="28"/>
  <c r="J18" i="28"/>
  <c r="AE17" i="28"/>
  <c r="S17" i="28"/>
  <c r="Q17" i="28"/>
  <c r="K17" i="28"/>
  <c r="J17" i="28"/>
  <c r="AE21" i="30" l="1"/>
  <c r="W24" i="30"/>
  <c r="AB24" i="30" s="1"/>
  <c r="AB21" i="30"/>
  <c r="Z21" i="30"/>
  <c r="Y21" i="30"/>
  <c r="W23" i="30"/>
  <c r="AA23" i="30"/>
  <c r="AE23" i="30"/>
  <c r="Z23" i="30"/>
  <c r="Y23" i="30"/>
  <c r="X21" i="30"/>
  <c r="AA24" i="30"/>
  <c r="Y24" i="30"/>
  <c r="Z20" i="30"/>
  <c r="W20" i="30"/>
  <c r="AA20" i="30"/>
  <c r="AE20" i="30"/>
  <c r="Y20" i="30"/>
  <c r="Z22" i="30"/>
  <c r="Y22" i="30"/>
  <c r="W22" i="30"/>
  <c r="AA22" i="30"/>
  <c r="AE22" i="30"/>
  <c r="AB19" i="30"/>
  <c r="Y19" i="30"/>
  <c r="W19" i="30"/>
  <c r="AA19" i="30" s="1"/>
  <c r="AE19" i="30"/>
  <c r="Z19" i="30"/>
  <c r="AA21" i="30"/>
  <c r="R17" i="30"/>
  <c r="AA17" i="30" s="1"/>
  <c r="K12" i="30"/>
  <c r="R16" i="30"/>
  <c r="R15" i="30"/>
  <c r="AD8" i="30"/>
  <c r="R18" i="30"/>
  <c r="AF8" i="30"/>
  <c r="K16" i="30"/>
  <c r="K15" i="30"/>
  <c r="R10" i="30"/>
  <c r="P14" i="30"/>
  <c r="Q13" i="30"/>
  <c r="AE23" i="28"/>
  <c r="BF23" i="28"/>
  <c r="AE22" i="28"/>
  <c r="T23" i="28"/>
  <c r="AM23" i="28" s="1"/>
  <c r="AN23" i="28" s="1"/>
  <c r="AO23" i="28" s="1"/>
  <c r="BF24" i="28"/>
  <c r="J21" i="28"/>
  <c r="L21" i="28" s="1"/>
  <c r="N21" i="28" s="1"/>
  <c r="AG17" i="28"/>
  <c r="AK17" i="28" s="1"/>
  <c r="AK18" i="28"/>
  <c r="AG18" i="28"/>
  <c r="AG19" i="28"/>
  <c r="AK19" i="28" s="1"/>
  <c r="AK20" i="28"/>
  <c r="AG20" i="28"/>
  <c r="T18" i="28"/>
  <c r="Y18" i="28" s="1"/>
  <c r="L19" i="28"/>
  <c r="N19" i="28" s="1"/>
  <c r="AV19" i="28" s="1"/>
  <c r="T21" i="28"/>
  <c r="AM21" i="28" s="1"/>
  <c r="AN21" i="28" s="1"/>
  <c r="AX21" i="28" s="1"/>
  <c r="L18" i="28"/>
  <c r="N18" i="28" s="1"/>
  <c r="AV18" i="28" s="1"/>
  <c r="L17" i="28"/>
  <c r="N17" i="28" s="1"/>
  <c r="AV17" i="28" s="1"/>
  <c r="T17" i="28"/>
  <c r="X17" i="28" s="1"/>
  <c r="J22" i="28"/>
  <c r="L22" i="28" s="1"/>
  <c r="N22" i="28" s="1"/>
  <c r="AV22" i="28" s="1"/>
  <c r="T22" i="28"/>
  <c r="AM22" i="28" s="1"/>
  <c r="AN22" i="28" s="1"/>
  <c r="AX22" i="28" s="1"/>
  <c r="L20" i="28"/>
  <c r="N20" i="28" s="1"/>
  <c r="AV20" i="28" s="1"/>
  <c r="J24" i="28"/>
  <c r="L24" i="28" s="1"/>
  <c r="N24" i="28" s="1"/>
  <c r="AV24" i="28" s="1"/>
  <c r="T20" i="28"/>
  <c r="AM20" i="28" s="1"/>
  <c r="AN20" i="28" s="1"/>
  <c r="AX20" i="28" s="1"/>
  <c r="T24" i="28"/>
  <c r="W24" i="28" s="1"/>
  <c r="T19" i="28"/>
  <c r="AM19" i="28" s="1"/>
  <c r="AN19" i="28" s="1"/>
  <c r="AX19" i="28" s="1"/>
  <c r="J23" i="28"/>
  <c r="L23" i="28" s="1"/>
  <c r="N23" i="28" s="1"/>
  <c r="AE21" i="28"/>
  <c r="AE24" i="28"/>
  <c r="E45" i="29"/>
  <c r="E43" i="29"/>
  <c r="E44" i="29" s="1"/>
  <c r="E33" i="29"/>
  <c r="E30" i="29"/>
  <c r="G29" i="29"/>
  <c r="E22" i="29"/>
  <c r="E24" i="29" s="1"/>
  <c r="E12" i="29"/>
  <c r="S13" i="28"/>
  <c r="S12" i="28"/>
  <c r="S11" i="28"/>
  <c r="S10" i="28"/>
  <c r="S9" i="28"/>
  <c r="S8" i="28"/>
  <c r="S7" i="28"/>
  <c r="S6" i="28"/>
  <c r="AF13" i="28"/>
  <c r="BE13" i="28" s="1"/>
  <c r="Q13" i="28"/>
  <c r="K13" i="28"/>
  <c r="D13" i="28"/>
  <c r="AF12" i="28"/>
  <c r="BE12" i="28" s="1"/>
  <c r="Q12" i="28"/>
  <c r="K12" i="28"/>
  <c r="D12" i="28"/>
  <c r="AF11" i="28"/>
  <c r="Q11" i="28"/>
  <c r="K11" i="28"/>
  <c r="I11" i="28"/>
  <c r="H12" i="28" s="1"/>
  <c r="D11" i="28"/>
  <c r="AF10" i="28"/>
  <c r="Q10" i="28"/>
  <c r="K10" i="28"/>
  <c r="D10" i="28"/>
  <c r="AE9" i="28"/>
  <c r="Q9" i="28"/>
  <c r="K9" i="28"/>
  <c r="J9" i="28"/>
  <c r="AE8" i="28"/>
  <c r="Q8" i="28"/>
  <c r="K8" i="28"/>
  <c r="J8" i="28"/>
  <c r="AE7" i="28"/>
  <c r="Q7" i="28"/>
  <c r="K7" i="28"/>
  <c r="J7" i="28"/>
  <c r="AE6" i="28"/>
  <c r="Q6" i="28"/>
  <c r="K6" i="28"/>
  <c r="J6" i="28"/>
  <c r="V23" i="28" l="1"/>
  <c r="W23" i="28"/>
  <c r="Z23" i="28"/>
  <c r="X23" i="28"/>
  <c r="AX23" i="28"/>
  <c r="AM17" i="28"/>
  <c r="AN17" i="28" s="1"/>
  <c r="AO17" i="28" s="1"/>
  <c r="AR17" i="28" s="1"/>
  <c r="Z24" i="30"/>
  <c r="AE24" i="30"/>
  <c r="AC21" i="30"/>
  <c r="X20" i="30"/>
  <c r="X22" i="30"/>
  <c r="X23" i="30"/>
  <c r="X19" i="30"/>
  <c r="AC19" i="30" s="1"/>
  <c r="X24" i="30"/>
  <c r="AB22" i="30"/>
  <c r="AB20" i="30"/>
  <c r="AB23" i="30"/>
  <c r="AB16" i="30"/>
  <c r="Q11" i="30"/>
  <c r="R11" i="30" s="1"/>
  <c r="K11" i="30"/>
  <c r="P12" i="30"/>
  <c r="W17" i="30"/>
  <c r="AB17" i="30" s="1"/>
  <c r="Z15" i="30"/>
  <c r="Y17" i="30"/>
  <c r="Z17" i="30"/>
  <c r="AE17" i="30"/>
  <c r="Y18" i="30"/>
  <c r="AE18" i="30"/>
  <c r="W18" i="30"/>
  <c r="AA18" i="30"/>
  <c r="Z18" i="30"/>
  <c r="K14" i="30"/>
  <c r="K13" i="30"/>
  <c r="AH8" i="30"/>
  <c r="R14" i="30"/>
  <c r="AE10" i="30"/>
  <c r="Z10" i="30"/>
  <c r="AA10" i="30"/>
  <c r="W10" i="30"/>
  <c r="Y10" i="30"/>
  <c r="AG8" i="30"/>
  <c r="R13" i="30"/>
  <c r="AA17" i="28"/>
  <c r="AK22" i="28"/>
  <c r="AY22" i="28" s="1"/>
  <c r="BE10" i="28"/>
  <c r="BF12" i="28"/>
  <c r="BG24" i="28"/>
  <c r="J13" i="28"/>
  <c r="L13" i="28" s="1"/>
  <c r="N13" i="28" s="1"/>
  <c r="AV13" i="28" s="1"/>
  <c r="BF13" i="28"/>
  <c r="BG21" i="28"/>
  <c r="AZ16" i="28"/>
  <c r="BG23" i="28"/>
  <c r="BF21" i="28"/>
  <c r="BD16" i="28"/>
  <c r="BE22" i="28"/>
  <c r="BE16" i="28" s="1"/>
  <c r="BA16" i="28"/>
  <c r="BE11" i="28"/>
  <c r="BG22" i="28"/>
  <c r="BF22" i="28"/>
  <c r="AK23" i="28"/>
  <c r="AU23" i="28" s="1"/>
  <c r="AG8" i="28"/>
  <c r="AK8" i="28" s="1"/>
  <c r="AK9" i="28"/>
  <c r="AG9" i="28"/>
  <c r="AG7" i="28"/>
  <c r="AK7" i="28" s="1"/>
  <c r="AG6" i="28"/>
  <c r="AK6" i="28" s="1"/>
  <c r="Y21" i="28"/>
  <c r="V21" i="28"/>
  <c r="X21" i="28"/>
  <c r="AA21" i="28"/>
  <c r="W21" i="28"/>
  <c r="U21" i="28"/>
  <c r="Z21" i="28" s="1"/>
  <c r="W18" i="28"/>
  <c r="AK21" i="28"/>
  <c r="AY21" i="28" s="1"/>
  <c r="W20" i="28"/>
  <c r="V18" i="28"/>
  <c r="X24" i="28"/>
  <c r="Y19" i="28"/>
  <c r="X18" i="28"/>
  <c r="V19" i="28"/>
  <c r="V24" i="28"/>
  <c r="AO21" i="28"/>
  <c r="AR21" i="28" s="1"/>
  <c r="AM18" i="28"/>
  <c r="AN18" i="28" s="1"/>
  <c r="AX18" i="28" s="1"/>
  <c r="AY18" i="28" s="1"/>
  <c r="W19" i="28"/>
  <c r="U18" i="28"/>
  <c r="AA18" i="28" s="1"/>
  <c r="L8" i="28"/>
  <c r="N8" i="28" s="1"/>
  <c r="AV8" i="28" s="1"/>
  <c r="V22" i="28"/>
  <c r="AO22" i="28"/>
  <c r="AS22" i="28" s="1"/>
  <c r="AV21" i="28"/>
  <c r="Y17" i="28"/>
  <c r="W22" i="28"/>
  <c r="V17" i="28"/>
  <c r="W17" i="28" s="1"/>
  <c r="U17" i="28"/>
  <c r="Z17" i="28" s="1"/>
  <c r="AA22" i="28"/>
  <c r="X22" i="28"/>
  <c r="AM24" i="28"/>
  <c r="AN24" i="28" s="1"/>
  <c r="AX24" i="28" s="1"/>
  <c r="U22" i="28"/>
  <c r="Y22" i="28" s="1"/>
  <c r="Y20" i="28"/>
  <c r="J11" i="28"/>
  <c r="L11" i="28" s="1"/>
  <c r="N11" i="28" s="1"/>
  <c r="AK24" i="28"/>
  <c r="Y24" i="28"/>
  <c r="U20" i="28"/>
  <c r="Z20" i="28" s="1"/>
  <c r="AE11" i="28"/>
  <c r="U24" i="28"/>
  <c r="Z24" i="28" s="1"/>
  <c r="X20" i="28"/>
  <c r="AO19" i="28"/>
  <c r="U19" i="28"/>
  <c r="Z19" i="28" s="1"/>
  <c r="X19" i="28"/>
  <c r="AY19" i="28"/>
  <c r="V20" i="28"/>
  <c r="T10" i="28"/>
  <c r="V10" i="28" s="1"/>
  <c r="T12" i="28"/>
  <c r="AM12" i="28" s="1"/>
  <c r="AN12" i="28" s="1"/>
  <c r="AX12" i="28" s="1"/>
  <c r="U23" i="28"/>
  <c r="AA23" i="28" s="1"/>
  <c r="AV23" i="28"/>
  <c r="AO20" i="28"/>
  <c r="Z18" i="28"/>
  <c r="AQ23" i="28"/>
  <c r="AP23" i="28"/>
  <c r="AR23" i="28"/>
  <c r="AS23" i="28"/>
  <c r="AT23" i="28"/>
  <c r="AY20" i="28"/>
  <c r="T11" i="28"/>
  <c r="AM11" i="28" s="1"/>
  <c r="AN11" i="28" s="1"/>
  <c r="T8" i="28"/>
  <c r="AM8" i="28" s="1"/>
  <c r="AN8" i="28" s="1"/>
  <c r="AO8" i="28" s="1"/>
  <c r="L6" i="28"/>
  <c r="N6" i="28" s="1"/>
  <c r="AV6" i="28" s="1"/>
  <c r="L7" i="28"/>
  <c r="N7" i="28" s="1"/>
  <c r="AV7" i="28" s="1"/>
  <c r="L9" i="28"/>
  <c r="N9" i="28" s="1"/>
  <c r="AV9" i="28" s="1"/>
  <c r="J12" i="28"/>
  <c r="L12" i="28" s="1"/>
  <c r="N12" i="28" s="1"/>
  <c r="AV12" i="28" s="1"/>
  <c r="AE10" i="28"/>
  <c r="AE13" i="28"/>
  <c r="J10" i="28"/>
  <c r="L10" i="28" s="1"/>
  <c r="N10" i="28" s="1"/>
  <c r="AV10" i="28" s="1"/>
  <c r="AE12" i="28"/>
  <c r="T7" i="28"/>
  <c r="X7" i="28" s="1"/>
  <c r="T6" i="28"/>
  <c r="U6" i="28" s="1"/>
  <c r="T9" i="28"/>
  <c r="T13" i="28"/>
  <c r="AV16" i="28" l="1"/>
  <c r="AY23" i="28"/>
  <c r="AS17" i="28"/>
  <c r="AX17" i="28"/>
  <c r="AY17" i="28" s="1"/>
  <c r="AT17" i="28"/>
  <c r="AP17" i="28"/>
  <c r="AU17" i="28"/>
  <c r="AQ17" i="28"/>
  <c r="AC24" i="30"/>
  <c r="W16" i="30"/>
  <c r="X16" i="30" s="1"/>
  <c r="Y16" i="30" s="1"/>
  <c r="AC20" i="30"/>
  <c r="Z16" i="30"/>
  <c r="AC23" i="30"/>
  <c r="AC22" i="30"/>
  <c r="AA16" i="30"/>
  <c r="AE16" i="30"/>
  <c r="X17" i="30"/>
  <c r="AC17" i="30" s="1"/>
  <c r="Z11" i="30"/>
  <c r="R12" i="30"/>
  <c r="Y12" i="30" s="1"/>
  <c r="AE15" i="30"/>
  <c r="Y15" i="30"/>
  <c r="AA15" i="30"/>
  <c r="W15" i="30"/>
  <c r="AB15" i="30" s="1"/>
  <c r="W14" i="30"/>
  <c r="AK11" i="28"/>
  <c r="X18" i="30"/>
  <c r="AU22" i="28"/>
  <c r="X10" i="30"/>
  <c r="AB10" i="30"/>
  <c r="AB18" i="30"/>
  <c r="BA4" i="28"/>
  <c r="BA3" i="28" s="1"/>
  <c r="BF11" i="28"/>
  <c r="BG13" i="28"/>
  <c r="BG10" i="28"/>
  <c r="AZ4" i="28"/>
  <c r="AZ3" i="28" s="1"/>
  <c r="BG12" i="28"/>
  <c r="AA19" i="28"/>
  <c r="AB19" i="28" s="1"/>
  <c r="BG16" i="28"/>
  <c r="BE4" i="28"/>
  <c r="BE3" i="28" s="1"/>
  <c r="BF10" i="28"/>
  <c r="BD4" i="28"/>
  <c r="BD3" i="28" s="1"/>
  <c r="BG11" i="28"/>
  <c r="BF16" i="28"/>
  <c r="BC16" i="28"/>
  <c r="AQ22" i="28"/>
  <c r="Z22" i="28"/>
  <c r="AB22" i="28" s="1"/>
  <c r="AA24" i="28"/>
  <c r="AB24" i="28" s="1"/>
  <c r="AP22" i="28"/>
  <c r="AR22" i="28"/>
  <c r="AA20" i="28"/>
  <c r="AB20" i="28" s="1"/>
  <c r="AB21" i="28"/>
  <c r="AT22" i="28"/>
  <c r="AO24" i="28"/>
  <c r="AP24" i="28" s="1"/>
  <c r="AK10" i="28"/>
  <c r="W16" i="28"/>
  <c r="AB17" i="28"/>
  <c r="V8" i="28"/>
  <c r="AS21" i="28"/>
  <c r="AA8" i="28"/>
  <c r="X10" i="28"/>
  <c r="AX8" i="28"/>
  <c r="AY8" i="28" s="1"/>
  <c r="AO18" i="28"/>
  <c r="AR18" i="28" s="1"/>
  <c r="AY24" i="28"/>
  <c r="AT21" i="28"/>
  <c r="AU21" i="28"/>
  <c r="AB18" i="28"/>
  <c r="AP21" i="28"/>
  <c r="AQ21" i="28"/>
  <c r="X16" i="28"/>
  <c r="Y8" i="28"/>
  <c r="X8" i="28"/>
  <c r="W8" i="28"/>
  <c r="X11" i="28"/>
  <c r="V16" i="28"/>
  <c r="Z11" i="28"/>
  <c r="U16" i="28"/>
  <c r="AA11" i="28"/>
  <c r="X12" i="28"/>
  <c r="U8" i="28"/>
  <c r="Z8" i="28" s="1"/>
  <c r="V11" i="28"/>
  <c r="AU19" i="28"/>
  <c r="AS19" i="28"/>
  <c r="AR19" i="28"/>
  <c r="AT19" i="28"/>
  <c r="AQ19" i="28"/>
  <c r="AP19" i="28"/>
  <c r="AA12" i="28"/>
  <c r="Y10" i="28"/>
  <c r="AM10" i="28"/>
  <c r="AN10" i="28" s="1"/>
  <c r="AO10" i="28" s="1"/>
  <c r="Z12" i="28"/>
  <c r="W12" i="28"/>
  <c r="W10" i="28"/>
  <c r="AM7" i="28"/>
  <c r="AN7" i="28" s="1"/>
  <c r="AX7" i="28" s="1"/>
  <c r="AY7" i="28" s="1"/>
  <c r="AK13" i="28"/>
  <c r="AA10" i="28"/>
  <c r="V12" i="28"/>
  <c r="Y7" i="28"/>
  <c r="AK12" i="28"/>
  <c r="AY12" i="28" s="1"/>
  <c r="Y23" i="28"/>
  <c r="Y16" i="28" s="1"/>
  <c r="AT20" i="28"/>
  <c r="AP20" i="28"/>
  <c r="AS20" i="28"/>
  <c r="AU20" i="28"/>
  <c r="AQ20" i="28"/>
  <c r="AR20" i="28"/>
  <c r="W11" i="28"/>
  <c r="U12" i="28"/>
  <c r="Y12" i="28" s="1"/>
  <c r="U10" i="28"/>
  <c r="Z10" i="28" s="1"/>
  <c r="AO12" i="28"/>
  <c r="AR12" i="28" s="1"/>
  <c r="AA7" i="28"/>
  <c r="V7" i="28"/>
  <c r="U7" i="28"/>
  <c r="Z7" i="28" s="1"/>
  <c r="W7" i="28"/>
  <c r="Z6" i="28"/>
  <c r="V6" i="28"/>
  <c r="W6" i="28" s="1"/>
  <c r="AA6" i="28"/>
  <c r="X6" i="28"/>
  <c r="Y6" i="28"/>
  <c r="AM6" i="28"/>
  <c r="AN6" i="28" s="1"/>
  <c r="AX6" i="28" s="1"/>
  <c r="AY6" i="28" s="1"/>
  <c r="AV11" i="28"/>
  <c r="U11" i="28"/>
  <c r="AU8" i="28"/>
  <c r="AQ8" i="28"/>
  <c r="AP8" i="28"/>
  <c r="AR8" i="28"/>
  <c r="AS8" i="28"/>
  <c r="AT8" i="28"/>
  <c r="Y13" i="28"/>
  <c r="U13" i="28"/>
  <c r="X13" i="28"/>
  <c r="W13" i="28"/>
  <c r="AM13" i="28"/>
  <c r="AN13" i="28" s="1"/>
  <c r="Z13" i="28"/>
  <c r="V13" i="28"/>
  <c r="AA13" i="28"/>
  <c r="X9" i="28"/>
  <c r="U9" i="28"/>
  <c r="Z9" i="28" s="1"/>
  <c r="W9" i="28"/>
  <c r="Y9" i="28"/>
  <c r="AM9" i="28"/>
  <c r="AN9" i="28" s="1"/>
  <c r="AA9" i="28"/>
  <c r="V9" i="28"/>
  <c r="AO11" i="28"/>
  <c r="AX11" i="28"/>
  <c r="AY11" i="28" s="1"/>
  <c r="AY16" i="28" l="1"/>
  <c r="W11" i="30"/>
  <c r="AB11" i="30" s="1"/>
  <c r="AA11" i="30"/>
  <c r="Y11" i="30"/>
  <c r="AE11" i="30"/>
  <c r="W12" i="30"/>
  <c r="AB12" i="30" s="1"/>
  <c r="X15" i="30"/>
  <c r="AC15" i="30" s="1"/>
  <c r="AE12" i="30"/>
  <c r="Z12" i="30"/>
  <c r="AA12" i="30"/>
  <c r="AA14" i="30"/>
  <c r="Z14" i="30"/>
  <c r="AC18" i="30"/>
  <c r="Y14" i="30"/>
  <c r="AE14" i="30"/>
  <c r="BF4" i="28"/>
  <c r="BF3" i="28" s="1"/>
  <c r="AC10" i="30"/>
  <c r="AE13" i="30"/>
  <c r="AA13" i="30"/>
  <c r="W13" i="30"/>
  <c r="AB13" i="30" s="1"/>
  <c r="Y13" i="30"/>
  <c r="Z13" i="30"/>
  <c r="Z16" i="28"/>
  <c r="AC16" i="30"/>
  <c r="X14" i="30"/>
  <c r="AB14" i="30"/>
  <c r="BC4" i="28"/>
  <c r="BC3" i="28" s="1"/>
  <c r="BG4" i="28"/>
  <c r="BG3" i="28" s="1"/>
  <c r="AQ24" i="28"/>
  <c r="AA16" i="28"/>
  <c r="AB23" i="28"/>
  <c r="AS24" i="28"/>
  <c r="AT24" i="28"/>
  <c r="AU24" i="28"/>
  <c r="AT18" i="28"/>
  <c r="AR24" i="28"/>
  <c r="AR16" i="28" s="1"/>
  <c r="AU18" i="28"/>
  <c r="AQ18" i="28"/>
  <c r="AS18" i="28"/>
  <c r="AP18" i="28"/>
  <c r="AP16" i="28" s="1"/>
  <c r="AS12" i="28"/>
  <c r="AX10" i="28"/>
  <c r="AY10" i="28" s="1"/>
  <c r="AB8" i="28"/>
  <c r="AQ12" i="28"/>
  <c r="AT12" i="28"/>
  <c r="AO7" i="28"/>
  <c r="AR7" i="28" s="1"/>
  <c r="AP12" i="28"/>
  <c r="AB12" i="28"/>
  <c r="AU12" i="28"/>
  <c r="AB7" i="28"/>
  <c r="AB10" i="28"/>
  <c r="AO6" i="28"/>
  <c r="AQ6" i="28" s="1"/>
  <c r="AB6" i="28"/>
  <c r="AX13" i="28"/>
  <c r="AY13" i="28" s="1"/>
  <c r="AO13" i="28"/>
  <c r="AO9" i="28"/>
  <c r="AX9" i="28"/>
  <c r="AY9" i="28" s="1"/>
  <c r="Y11" i="28"/>
  <c r="AB11" i="28" s="1"/>
  <c r="AB13" i="28"/>
  <c r="AS11" i="28"/>
  <c r="AR11" i="28"/>
  <c r="AU11" i="28"/>
  <c r="AP11" i="28"/>
  <c r="AQ11" i="28"/>
  <c r="AT11" i="28"/>
  <c r="AP7" i="28"/>
  <c r="AS10" i="28"/>
  <c r="AR10" i="28"/>
  <c r="AQ10" i="28"/>
  <c r="AT10" i="28"/>
  <c r="AP10" i="28"/>
  <c r="AU10" i="28"/>
  <c r="AB9" i="28"/>
  <c r="X11" i="30" l="1"/>
  <c r="AB16" i="28"/>
  <c r="X12" i="30"/>
  <c r="AC12" i="30" s="1"/>
  <c r="AC11" i="30"/>
  <c r="AQ16" i="28"/>
  <c r="AC14" i="30"/>
  <c r="X13" i="30"/>
  <c r="AC13" i="30" s="1"/>
  <c r="AT16" i="28"/>
  <c r="AU7" i="28"/>
  <c r="AT7" i="28"/>
  <c r="AU16" i="28"/>
  <c r="AS16" i="28"/>
  <c r="AQ7" i="28"/>
  <c r="AS7" i="28"/>
  <c r="AS6" i="28"/>
  <c r="AT6" i="28"/>
  <c r="AP6" i="28"/>
  <c r="AR6" i="28"/>
  <c r="AU6" i="28"/>
  <c r="AY4" i="28"/>
  <c r="AY3" i="28" s="1"/>
  <c r="AT9" i="28"/>
  <c r="AP9" i="28"/>
  <c r="AQ9" i="28"/>
  <c r="AS9" i="28"/>
  <c r="AU9" i="28"/>
  <c r="AR9" i="28"/>
  <c r="AT13" i="28"/>
  <c r="AP13" i="28"/>
  <c r="AS13" i="28"/>
  <c r="AR13" i="28"/>
  <c r="AU13" i="28"/>
  <c r="AQ13" i="28"/>
  <c r="AB8" i="30" l="1"/>
  <c r="AA8" i="30"/>
  <c r="Y8" i="30"/>
  <c r="Z8" i="30"/>
  <c r="AE8" i="30"/>
  <c r="W8" i="30"/>
  <c r="AT4" i="28"/>
  <c r="AT3" i="28" s="1"/>
  <c r="AS4" i="28"/>
  <c r="AS3" i="28" s="1"/>
  <c r="AQ4" i="28"/>
  <c r="AQ3" i="28" s="1"/>
  <c r="AP4" i="28"/>
  <c r="AP3" i="28" s="1"/>
  <c r="AR4" i="28"/>
  <c r="AR3" i="28" s="1"/>
  <c r="AU4" i="28"/>
  <c r="AU3" i="28" s="1"/>
  <c r="X8" i="30" l="1"/>
  <c r="AC8" i="30" s="1"/>
  <c r="W4" i="28"/>
  <c r="W3" i="28" s="1"/>
  <c r="Y4" i="28" l="1"/>
  <c r="Y3" i="28" s="1"/>
  <c r="X4" i="28"/>
  <c r="X3" i="28" s="1"/>
  <c r="V4" i="28"/>
  <c r="V3" i="28" s="1"/>
  <c r="AV4" i="28" l="1"/>
  <c r="AV3" i="28" s="1"/>
  <c r="Z4" i="28" l="1"/>
  <c r="Z3" i="28" s="1"/>
  <c r="U4" i="28"/>
  <c r="U3" i="28" s="1"/>
  <c r="AA4" i="28"/>
  <c r="AA3" i="28" s="1"/>
  <c r="AB4" i="28" l="1"/>
  <c r="AB3" i="28" s="1"/>
  <c r="Q18" i="8" l="1"/>
  <c r="M18" i="8"/>
  <c r="G18" i="8"/>
  <c r="C24" i="8"/>
  <c r="C23" i="8"/>
  <c r="C22" i="8"/>
  <c r="C21" i="8"/>
  <c r="C20" i="8"/>
  <c r="C19" i="8"/>
  <c r="D19" i="8" s="1"/>
  <c r="C18" i="8"/>
  <c r="A31" i="8"/>
  <c r="C31" i="8" s="1"/>
  <c r="A30" i="8"/>
  <c r="A37" i="8" s="1"/>
  <c r="A29" i="8"/>
  <c r="A28" i="8"/>
  <c r="A35" i="8" s="1"/>
  <c r="A42" i="8" s="1"/>
  <c r="A49" i="8" s="1"/>
  <c r="A56" i="8" s="1"/>
  <c r="A63" i="8" s="1"/>
  <c r="A70" i="8" s="1"/>
  <c r="A77" i="8" s="1"/>
  <c r="A84" i="8" s="1"/>
  <c r="A91" i="8" s="1"/>
  <c r="A98" i="8" s="1"/>
  <c r="A105" i="8" s="1"/>
  <c r="A112" i="8" s="1"/>
  <c r="A119" i="8" s="1"/>
  <c r="A126" i="8" s="1"/>
  <c r="A133" i="8" s="1"/>
  <c r="A140" i="8" s="1"/>
  <c r="A147" i="8" s="1"/>
  <c r="A154" i="8" s="1"/>
  <c r="A161" i="8" s="1"/>
  <c r="A168" i="8" s="1"/>
  <c r="A175" i="8" s="1"/>
  <c r="A182" i="8" s="1"/>
  <c r="A189" i="8" s="1"/>
  <c r="A196" i="8" s="1"/>
  <c r="A203" i="8" s="1"/>
  <c r="A210" i="8" s="1"/>
  <c r="A217" i="8" s="1"/>
  <c r="A224" i="8" s="1"/>
  <c r="A231" i="8" s="1"/>
  <c r="A238" i="8" s="1"/>
  <c r="A245" i="8" s="1"/>
  <c r="A27" i="8"/>
  <c r="A26" i="8"/>
  <c r="A33" i="8" s="1"/>
  <c r="A25" i="8"/>
  <c r="M19" i="8" l="1"/>
  <c r="Q19" i="8"/>
  <c r="D20" i="8"/>
  <c r="C56" i="8"/>
  <c r="C70" i="8"/>
  <c r="C238" i="8"/>
  <c r="C182" i="8"/>
  <c r="C126" i="8"/>
  <c r="C112" i="8"/>
  <c r="C42" i="8"/>
  <c r="C98" i="8"/>
  <c r="C154" i="8"/>
  <c r="C210" i="8"/>
  <c r="C168" i="8"/>
  <c r="C224" i="8"/>
  <c r="C28" i="8"/>
  <c r="C84" i="8"/>
  <c r="C140" i="8"/>
  <c r="C196" i="8"/>
  <c r="C27" i="8"/>
  <c r="A34" i="8"/>
  <c r="A40" i="8"/>
  <c r="C33" i="8"/>
  <c r="A44" i="8"/>
  <c r="C37" i="8"/>
  <c r="A32" i="8"/>
  <c r="C25" i="8"/>
  <c r="A36" i="8"/>
  <c r="C29" i="8"/>
  <c r="C30" i="8"/>
  <c r="A38" i="8"/>
  <c r="C26" i="8"/>
  <c r="A252" i="8"/>
  <c r="C245" i="8"/>
  <c r="C35" i="8"/>
  <c r="C49" i="8"/>
  <c r="C63" i="8"/>
  <c r="C77" i="8"/>
  <c r="C91" i="8"/>
  <c r="C105" i="8"/>
  <c r="C119" i="8"/>
  <c r="C133" i="8"/>
  <c r="C147" i="8"/>
  <c r="C161" i="8"/>
  <c r="C175" i="8"/>
  <c r="C189" i="8"/>
  <c r="C203" i="8"/>
  <c r="C217" i="8"/>
  <c r="C231" i="8"/>
  <c r="D21" i="8" l="1"/>
  <c r="Q21" i="8" s="1"/>
  <c r="Q20" i="8"/>
  <c r="M20" i="8"/>
  <c r="A43" i="8"/>
  <c r="C36" i="8"/>
  <c r="A51" i="8"/>
  <c r="C44" i="8"/>
  <c r="A259" i="8"/>
  <c r="C252" i="8"/>
  <c r="A41" i="8"/>
  <c r="C34" i="8"/>
  <c r="A39" i="8"/>
  <c r="C32" i="8"/>
  <c r="A47" i="8"/>
  <c r="C40" i="8"/>
  <c r="A45" i="8"/>
  <c r="C38" i="8"/>
  <c r="M21" i="8" l="1"/>
  <c r="D22" i="8"/>
  <c r="Q22" i="8" s="1"/>
  <c r="A54" i="8"/>
  <c r="C47" i="8"/>
  <c r="A48" i="8"/>
  <c r="C41" i="8"/>
  <c r="A58" i="8"/>
  <c r="C51" i="8"/>
  <c r="A52" i="8"/>
  <c r="C45" i="8"/>
  <c r="A46" i="8"/>
  <c r="C39" i="8"/>
  <c r="A266" i="8"/>
  <c r="C259" i="8"/>
  <c r="A50" i="8"/>
  <c r="C43" i="8"/>
  <c r="D23" i="8" l="1"/>
  <c r="Q23" i="8" s="1"/>
  <c r="M22" i="8"/>
  <c r="A273" i="8"/>
  <c r="C266" i="8"/>
  <c r="A59" i="8"/>
  <c r="C52" i="8"/>
  <c r="A55" i="8"/>
  <c r="C48" i="8"/>
  <c r="A57" i="8"/>
  <c r="C50" i="8"/>
  <c r="A53" i="8"/>
  <c r="C46" i="8"/>
  <c r="A65" i="8"/>
  <c r="C58" i="8"/>
  <c r="A61" i="8"/>
  <c r="C54" i="8"/>
  <c r="M23" i="8" l="1"/>
  <c r="D24" i="8"/>
  <c r="Q24" i="8" s="1"/>
  <c r="A68" i="8"/>
  <c r="C61" i="8"/>
  <c r="A60" i="8"/>
  <c r="C53" i="8"/>
  <c r="A62" i="8"/>
  <c r="C55" i="8"/>
  <c r="A280" i="8"/>
  <c r="C273" i="8"/>
  <c r="A72" i="8"/>
  <c r="C65" i="8"/>
  <c r="A64" i="8"/>
  <c r="C57" i="8"/>
  <c r="A66" i="8"/>
  <c r="C59" i="8"/>
  <c r="M24" i="8" l="1"/>
  <c r="D25" i="8"/>
  <c r="Q25" i="8" s="1"/>
  <c r="A71" i="8"/>
  <c r="C64" i="8"/>
  <c r="A287" i="8"/>
  <c r="C280" i="8"/>
  <c r="A67" i="8"/>
  <c r="C60" i="8"/>
  <c r="A73" i="8"/>
  <c r="C66" i="8"/>
  <c r="A79" i="8"/>
  <c r="C72" i="8"/>
  <c r="A69" i="8"/>
  <c r="C62" i="8"/>
  <c r="A75" i="8"/>
  <c r="C68" i="8"/>
  <c r="D26" i="8" l="1"/>
  <c r="Q26" i="8" s="1"/>
  <c r="M25" i="8"/>
  <c r="A82" i="8"/>
  <c r="C75" i="8"/>
  <c r="A86" i="8"/>
  <c r="C79" i="8"/>
  <c r="A74" i="8"/>
  <c r="C67" i="8"/>
  <c r="A78" i="8"/>
  <c r="C71" i="8"/>
  <c r="A76" i="8"/>
  <c r="C69" i="8"/>
  <c r="A80" i="8"/>
  <c r="C73" i="8"/>
  <c r="A294" i="8"/>
  <c r="M26" i="8" l="1"/>
  <c r="D27" i="8"/>
  <c r="Q27" i="8" s="1"/>
  <c r="A301" i="8"/>
  <c r="A83" i="8"/>
  <c r="C76" i="8"/>
  <c r="A81" i="8"/>
  <c r="C74" i="8"/>
  <c r="A89" i="8"/>
  <c r="C82" i="8"/>
  <c r="A87" i="8"/>
  <c r="C80" i="8"/>
  <c r="A85" i="8"/>
  <c r="C78" i="8"/>
  <c r="A93" i="8"/>
  <c r="C86" i="8"/>
  <c r="M27" i="8" l="1"/>
  <c r="D28" i="8"/>
  <c r="Q28" i="8" s="1"/>
  <c r="A100" i="8"/>
  <c r="C93" i="8"/>
  <c r="A94" i="8"/>
  <c r="C87" i="8"/>
  <c r="A88" i="8"/>
  <c r="C81" i="8"/>
  <c r="A308" i="8"/>
  <c r="C301" i="8"/>
  <c r="A92" i="8"/>
  <c r="C85" i="8"/>
  <c r="A96" i="8"/>
  <c r="C89" i="8"/>
  <c r="A90" i="8"/>
  <c r="C83" i="8"/>
  <c r="D29" i="8" l="1"/>
  <c r="Q29" i="8" s="1"/>
  <c r="M28" i="8"/>
  <c r="A97" i="8"/>
  <c r="C90" i="8"/>
  <c r="A99" i="8"/>
  <c r="C92" i="8"/>
  <c r="A95" i="8"/>
  <c r="C88" i="8"/>
  <c r="A107" i="8"/>
  <c r="C100" i="8"/>
  <c r="A103" i="8"/>
  <c r="C96" i="8"/>
  <c r="A315" i="8"/>
  <c r="C308" i="8"/>
  <c r="A101" i="8"/>
  <c r="C94" i="8"/>
  <c r="D30" i="8" l="1"/>
  <c r="Q30" i="8" s="1"/>
  <c r="M29" i="8"/>
  <c r="A108" i="8"/>
  <c r="C101" i="8"/>
  <c r="A110" i="8"/>
  <c r="C103" i="8"/>
  <c r="A102" i="8"/>
  <c r="C95" i="8"/>
  <c r="A104" i="8"/>
  <c r="C97" i="8"/>
  <c r="A322" i="8"/>
  <c r="C315" i="8"/>
  <c r="A114" i="8"/>
  <c r="C107" i="8"/>
  <c r="A106" i="8"/>
  <c r="C99" i="8"/>
  <c r="D31" i="8" l="1"/>
  <c r="Q31" i="8" s="1"/>
  <c r="M30" i="8"/>
  <c r="A113" i="8"/>
  <c r="C106" i="8"/>
  <c r="A329" i="8"/>
  <c r="C322" i="8"/>
  <c r="A109" i="8"/>
  <c r="C102" i="8"/>
  <c r="A115" i="8"/>
  <c r="C108" i="8"/>
  <c r="A121" i="8"/>
  <c r="C114" i="8"/>
  <c r="A111" i="8"/>
  <c r="C104" i="8"/>
  <c r="A117" i="8"/>
  <c r="C110" i="8"/>
  <c r="D32" i="8" l="1"/>
  <c r="Q32" i="8" s="1"/>
  <c r="M31" i="8"/>
  <c r="A124" i="8"/>
  <c r="C117" i="8"/>
  <c r="A128" i="8"/>
  <c r="C121" i="8"/>
  <c r="A116" i="8"/>
  <c r="C109" i="8"/>
  <c r="A120" i="8"/>
  <c r="C113" i="8"/>
  <c r="A118" i="8"/>
  <c r="C111" i="8"/>
  <c r="A122" i="8"/>
  <c r="C115" i="8"/>
  <c r="A336" i="8"/>
  <c r="C329" i="8"/>
  <c r="D33" i="8" l="1"/>
  <c r="Q33" i="8" s="1"/>
  <c r="M32" i="8"/>
  <c r="A343" i="8"/>
  <c r="C336" i="8"/>
  <c r="A125" i="8"/>
  <c r="C118" i="8"/>
  <c r="A123" i="8"/>
  <c r="C116" i="8"/>
  <c r="A131" i="8"/>
  <c r="C124" i="8"/>
  <c r="A129" i="8"/>
  <c r="C122" i="8"/>
  <c r="A127" i="8"/>
  <c r="C120" i="8"/>
  <c r="A135" i="8"/>
  <c r="C128" i="8"/>
  <c r="D34" i="8" l="1"/>
  <c r="Q34" i="8" s="1"/>
  <c r="M33" i="8"/>
  <c r="A134" i="8"/>
  <c r="C127" i="8"/>
  <c r="A138" i="8"/>
  <c r="C131" i="8"/>
  <c r="A132" i="8"/>
  <c r="C125" i="8"/>
  <c r="A142" i="8"/>
  <c r="C135" i="8"/>
  <c r="A136" i="8"/>
  <c r="C129" i="8"/>
  <c r="A130" i="8"/>
  <c r="C123" i="8"/>
  <c r="A350" i="8"/>
  <c r="C343" i="8"/>
  <c r="D35" i="8" l="1"/>
  <c r="Q35" i="8" s="1"/>
  <c r="M34" i="8"/>
  <c r="A137" i="8"/>
  <c r="C130" i="8"/>
  <c r="A149" i="8"/>
  <c r="C142" i="8"/>
  <c r="A145" i="8"/>
  <c r="C138" i="8"/>
  <c r="A357" i="8"/>
  <c r="C350" i="8"/>
  <c r="A143" i="8"/>
  <c r="C136" i="8"/>
  <c r="A139" i="8"/>
  <c r="C132" i="8"/>
  <c r="A141" i="8"/>
  <c r="C134" i="8"/>
  <c r="D36" i="8" l="1"/>
  <c r="Q36" i="8" s="1"/>
  <c r="M35" i="8"/>
  <c r="A146" i="8"/>
  <c r="C139" i="8"/>
  <c r="A364" i="8"/>
  <c r="C357" i="8"/>
  <c r="A156" i="8"/>
  <c r="C149" i="8"/>
  <c r="A148" i="8"/>
  <c r="C141" i="8"/>
  <c r="A150" i="8"/>
  <c r="C143" i="8"/>
  <c r="A152" i="8"/>
  <c r="C145" i="8"/>
  <c r="A144" i="8"/>
  <c r="C137" i="8"/>
  <c r="D37" i="8" l="1"/>
  <c r="Q37" i="8" s="1"/>
  <c r="M36" i="8"/>
  <c r="A159" i="8"/>
  <c r="C152" i="8"/>
  <c r="A155" i="8"/>
  <c r="C148" i="8"/>
  <c r="A371" i="8"/>
  <c r="C364" i="8"/>
  <c r="A151" i="8"/>
  <c r="C144" i="8"/>
  <c r="A157" i="8"/>
  <c r="C150" i="8"/>
  <c r="A163" i="8"/>
  <c r="C156" i="8"/>
  <c r="A153" i="8"/>
  <c r="C146" i="8"/>
  <c r="M37" i="8" l="1"/>
  <c r="D38" i="8"/>
  <c r="Q38" i="8" s="1"/>
  <c r="A170" i="8"/>
  <c r="C163" i="8"/>
  <c r="A158" i="8"/>
  <c r="C151" i="8"/>
  <c r="A162" i="8"/>
  <c r="C155" i="8"/>
  <c r="A160" i="8"/>
  <c r="C153" i="8"/>
  <c r="A164" i="8"/>
  <c r="C157" i="8"/>
  <c r="A378" i="8"/>
  <c r="C371" i="8"/>
  <c r="A166" i="8"/>
  <c r="C159" i="8"/>
  <c r="M38" i="8" l="1"/>
  <c r="D39" i="8"/>
  <c r="Q39" i="8" s="1"/>
  <c r="A385" i="8"/>
  <c r="C378" i="8"/>
  <c r="A167" i="8"/>
  <c r="C160" i="8"/>
  <c r="A165" i="8"/>
  <c r="C158" i="8"/>
  <c r="A173" i="8"/>
  <c r="C166" i="8"/>
  <c r="A171" i="8"/>
  <c r="C164" i="8"/>
  <c r="A169" i="8"/>
  <c r="C162" i="8"/>
  <c r="A177" i="8"/>
  <c r="C170" i="8"/>
  <c r="D40" i="8" l="1"/>
  <c r="Q40" i="8" s="1"/>
  <c r="M39" i="8"/>
  <c r="M40" i="8"/>
  <c r="A176" i="8"/>
  <c r="C169" i="8"/>
  <c r="A180" i="8"/>
  <c r="C173" i="8"/>
  <c r="A174" i="8"/>
  <c r="C167" i="8"/>
  <c r="A184" i="8"/>
  <c r="C177" i="8"/>
  <c r="A178" i="8"/>
  <c r="C171" i="8"/>
  <c r="A172" i="8"/>
  <c r="C165" i="8"/>
  <c r="A392" i="8"/>
  <c r="C385" i="8"/>
  <c r="D41" i="8" l="1"/>
  <c r="Q41" i="8" s="1"/>
  <c r="A179" i="8"/>
  <c r="C172" i="8"/>
  <c r="A191" i="8"/>
  <c r="C184" i="8"/>
  <c r="A187" i="8"/>
  <c r="C180" i="8"/>
  <c r="A399" i="8"/>
  <c r="C392" i="8"/>
  <c r="A185" i="8"/>
  <c r="C178" i="8"/>
  <c r="A181" i="8"/>
  <c r="C174" i="8"/>
  <c r="A183" i="8"/>
  <c r="C176" i="8"/>
  <c r="M41" i="8" l="1"/>
  <c r="D42" i="8"/>
  <c r="Q42" i="8" s="1"/>
  <c r="A188" i="8"/>
  <c r="C181" i="8"/>
  <c r="A406" i="8"/>
  <c r="C399" i="8"/>
  <c r="A198" i="8"/>
  <c r="C191" i="8"/>
  <c r="A190" i="8"/>
  <c r="C183" i="8"/>
  <c r="A192" i="8"/>
  <c r="C185" i="8"/>
  <c r="A194" i="8"/>
  <c r="C187" i="8"/>
  <c r="A186" i="8"/>
  <c r="C179" i="8"/>
  <c r="M42" i="8" l="1"/>
  <c r="D43" i="8"/>
  <c r="Q43" i="8" s="1"/>
  <c r="A201" i="8"/>
  <c r="C194" i="8"/>
  <c r="A197" i="8"/>
  <c r="C190" i="8"/>
  <c r="A413" i="8"/>
  <c r="C406" i="8"/>
  <c r="A193" i="8"/>
  <c r="C186" i="8"/>
  <c r="A199" i="8"/>
  <c r="C192" i="8"/>
  <c r="A205" i="8"/>
  <c r="C198" i="8"/>
  <c r="A195" i="8"/>
  <c r="C188" i="8"/>
  <c r="D44" i="8" l="1"/>
  <c r="Q44" i="8" s="1"/>
  <c r="M43" i="8"/>
  <c r="A204" i="8"/>
  <c r="C197" i="8"/>
  <c r="A202" i="8"/>
  <c r="C195" i="8"/>
  <c r="A206" i="8"/>
  <c r="C199" i="8"/>
  <c r="A420" i="8"/>
  <c r="C413" i="8"/>
  <c r="A208" i="8"/>
  <c r="C201" i="8"/>
  <c r="A212" i="8"/>
  <c r="C205" i="8"/>
  <c r="A200" i="8"/>
  <c r="C193" i="8"/>
  <c r="D45" i="8" l="1"/>
  <c r="Q45" i="8" s="1"/>
  <c r="M44" i="8"/>
  <c r="A207" i="8"/>
  <c r="C200" i="8"/>
  <c r="A215" i="8"/>
  <c r="C208" i="8"/>
  <c r="A213" i="8"/>
  <c r="C206" i="8"/>
  <c r="A211" i="8"/>
  <c r="C204" i="8"/>
  <c r="A219" i="8"/>
  <c r="C212" i="8"/>
  <c r="A427" i="8"/>
  <c r="C420" i="8"/>
  <c r="A209" i="8"/>
  <c r="C202" i="8"/>
  <c r="D46" i="8" l="1"/>
  <c r="Q46" i="8" s="1"/>
  <c r="M45" i="8"/>
  <c r="A434" i="8"/>
  <c r="C427" i="8"/>
  <c r="A222" i="8"/>
  <c r="C215" i="8"/>
  <c r="A216" i="8"/>
  <c r="C209" i="8"/>
  <c r="A226" i="8"/>
  <c r="C219" i="8"/>
  <c r="A220" i="8"/>
  <c r="C213" i="8"/>
  <c r="A214" i="8"/>
  <c r="C207" i="8"/>
  <c r="A218" i="8"/>
  <c r="C211" i="8"/>
  <c r="D47" i="8" l="1"/>
  <c r="Q47" i="8" s="1"/>
  <c r="M46" i="8"/>
  <c r="A225" i="8"/>
  <c r="C218" i="8"/>
  <c r="A227" i="8"/>
  <c r="C220" i="8"/>
  <c r="A223" i="8"/>
  <c r="C216" i="8"/>
  <c r="A441" i="8"/>
  <c r="C434" i="8"/>
  <c r="A221" i="8"/>
  <c r="C214" i="8"/>
  <c r="A233" i="8"/>
  <c r="C226" i="8"/>
  <c r="A229" i="8"/>
  <c r="C222" i="8"/>
  <c r="D48" i="8" l="1"/>
  <c r="Q48" i="8" s="1"/>
  <c r="M47" i="8"/>
  <c r="A240" i="8"/>
  <c r="C233" i="8"/>
  <c r="A236" i="8"/>
  <c r="C229" i="8"/>
  <c r="A228" i="8"/>
  <c r="C221" i="8"/>
  <c r="A230" i="8"/>
  <c r="C223" i="8"/>
  <c r="A232" i="8"/>
  <c r="C225" i="8"/>
  <c r="A448" i="8"/>
  <c r="C441" i="8"/>
  <c r="A234" i="8"/>
  <c r="C227" i="8"/>
  <c r="D49" i="8" l="1"/>
  <c r="Q49" i="8" s="1"/>
  <c r="M48" i="8"/>
  <c r="A241" i="8"/>
  <c r="C234" i="8"/>
  <c r="A239" i="8"/>
  <c r="C232" i="8"/>
  <c r="A235" i="8"/>
  <c r="C228" i="8"/>
  <c r="A247" i="8"/>
  <c r="C240" i="8"/>
  <c r="A455" i="8"/>
  <c r="C448" i="8"/>
  <c r="A237" i="8"/>
  <c r="C230" i="8"/>
  <c r="A243" i="8"/>
  <c r="C236" i="8"/>
  <c r="D50" i="8" l="1"/>
  <c r="Q50" i="8" s="1"/>
  <c r="M49" i="8"/>
  <c r="A244" i="8"/>
  <c r="C237" i="8"/>
  <c r="A254" i="8"/>
  <c r="C247" i="8"/>
  <c r="A250" i="8"/>
  <c r="C243" i="8"/>
  <c r="A462" i="8"/>
  <c r="C455" i="8"/>
  <c r="A242" i="8"/>
  <c r="C235" i="8"/>
  <c r="A248" i="8"/>
  <c r="C241" i="8"/>
  <c r="A246" i="8"/>
  <c r="C239" i="8"/>
  <c r="D51" i="8" l="1"/>
  <c r="Q51" i="8" s="1"/>
  <c r="M50" i="8"/>
  <c r="A253" i="8"/>
  <c r="C246" i="8"/>
  <c r="A249" i="8"/>
  <c r="C242" i="8"/>
  <c r="A257" i="8"/>
  <c r="C250" i="8"/>
  <c r="A251" i="8"/>
  <c r="C244" i="8"/>
  <c r="A255" i="8"/>
  <c r="C248" i="8"/>
  <c r="A469" i="8"/>
  <c r="C462" i="8"/>
  <c r="A261" i="8"/>
  <c r="C254" i="8"/>
  <c r="D52" i="8" l="1"/>
  <c r="Q52" i="8" s="1"/>
  <c r="M51" i="8"/>
  <c r="A258" i="8"/>
  <c r="C251" i="8"/>
  <c r="A268" i="8"/>
  <c r="C261" i="8"/>
  <c r="A262" i="8"/>
  <c r="C255" i="8"/>
  <c r="A264" i="8"/>
  <c r="C257" i="8"/>
  <c r="A260" i="8"/>
  <c r="C253" i="8"/>
  <c r="A476" i="8"/>
  <c r="C469" i="8"/>
  <c r="A256" i="8"/>
  <c r="C249" i="8"/>
  <c r="D53" i="8" l="1"/>
  <c r="Q53" i="8" s="1"/>
  <c r="M52" i="8"/>
  <c r="A263" i="8"/>
  <c r="C256" i="8"/>
  <c r="A267" i="8"/>
  <c r="C260" i="8"/>
  <c r="A269" i="8"/>
  <c r="C262" i="8"/>
  <c r="A265" i="8"/>
  <c r="C258" i="8"/>
  <c r="A483" i="8"/>
  <c r="C476" i="8"/>
  <c r="A271" i="8"/>
  <c r="C264" i="8"/>
  <c r="A275" i="8"/>
  <c r="C268" i="8"/>
  <c r="D54" i="8" l="1"/>
  <c r="Q54" i="8" s="1"/>
  <c r="M53" i="8"/>
  <c r="A282" i="8"/>
  <c r="C275" i="8"/>
  <c r="A490" i="8"/>
  <c r="C483" i="8"/>
  <c r="A276" i="8"/>
  <c r="C269" i="8"/>
  <c r="A270" i="8"/>
  <c r="C263" i="8"/>
  <c r="A278" i="8"/>
  <c r="C271" i="8"/>
  <c r="A272" i="8"/>
  <c r="C265" i="8"/>
  <c r="A274" i="8"/>
  <c r="C267" i="8"/>
  <c r="D55" i="8" l="1"/>
  <c r="Q55" i="8" s="1"/>
  <c r="M54" i="8"/>
  <c r="A281" i="8"/>
  <c r="C274" i="8"/>
  <c r="A285" i="8"/>
  <c r="C278" i="8"/>
  <c r="A283" i="8"/>
  <c r="C276" i="8"/>
  <c r="A289" i="8"/>
  <c r="C282" i="8"/>
  <c r="A279" i="8"/>
  <c r="C272" i="8"/>
  <c r="A277" i="8"/>
  <c r="C270" i="8"/>
  <c r="A497" i="8"/>
  <c r="C490" i="8"/>
  <c r="D56" i="8" l="1"/>
  <c r="Q56" i="8" s="1"/>
  <c r="M55" i="8"/>
  <c r="A504" i="8"/>
  <c r="C497" i="8"/>
  <c r="A286" i="8"/>
  <c r="C279" i="8"/>
  <c r="A290" i="8"/>
  <c r="C283" i="8"/>
  <c r="A288" i="8"/>
  <c r="C281" i="8"/>
  <c r="A284" i="8"/>
  <c r="C277" i="8"/>
  <c r="A296" i="8"/>
  <c r="C289" i="8"/>
  <c r="A292" i="8"/>
  <c r="D57" i="8" l="1"/>
  <c r="Q57" i="8" s="1"/>
  <c r="M56" i="8"/>
  <c r="A299" i="8"/>
  <c r="A291" i="8"/>
  <c r="A297" i="8"/>
  <c r="C290" i="8"/>
  <c r="A511" i="8"/>
  <c r="C504" i="8"/>
  <c r="A303" i="8"/>
  <c r="C296" i="8"/>
  <c r="A295" i="8"/>
  <c r="A293" i="8"/>
  <c r="D58" i="8" l="1"/>
  <c r="Q58" i="8" s="1"/>
  <c r="M57" i="8"/>
  <c r="A300" i="8"/>
  <c r="A310" i="8"/>
  <c r="C303" i="8"/>
  <c r="A304" i="8"/>
  <c r="C297" i="8"/>
  <c r="A306" i="8"/>
  <c r="C299" i="8"/>
  <c r="A302" i="8"/>
  <c r="A518" i="8"/>
  <c r="C511" i="8"/>
  <c r="A298" i="8"/>
  <c r="D59" i="8" l="1"/>
  <c r="Q59" i="8" s="1"/>
  <c r="M58" i="8"/>
  <c r="A305" i="8"/>
  <c r="C298" i="8"/>
  <c r="A309" i="8"/>
  <c r="C302" i="8"/>
  <c r="A311" i="8"/>
  <c r="C304" i="8"/>
  <c r="A307" i="8"/>
  <c r="C300" i="8"/>
  <c r="A525" i="8"/>
  <c r="C518" i="8"/>
  <c r="A313" i="8"/>
  <c r="C306" i="8"/>
  <c r="A317" i="8"/>
  <c r="C310" i="8"/>
  <c r="M59" i="8" l="1"/>
  <c r="D60" i="8"/>
  <c r="Q60" i="8" s="1"/>
  <c r="A324" i="8"/>
  <c r="C317" i="8"/>
  <c r="A532" i="8"/>
  <c r="C525" i="8"/>
  <c r="A318" i="8"/>
  <c r="C311" i="8"/>
  <c r="A312" i="8"/>
  <c r="C305" i="8"/>
  <c r="A320" i="8"/>
  <c r="C313" i="8"/>
  <c r="A314" i="8"/>
  <c r="C307" i="8"/>
  <c r="A316" i="8"/>
  <c r="C309" i="8"/>
  <c r="M60" i="8" l="1"/>
  <c r="D61" i="8"/>
  <c r="Q61" i="8" s="1"/>
  <c r="A323" i="8"/>
  <c r="C316" i="8"/>
  <c r="A327" i="8"/>
  <c r="C320" i="8"/>
  <c r="A325" i="8"/>
  <c r="C318" i="8"/>
  <c r="A331" i="8"/>
  <c r="C324" i="8"/>
  <c r="A321" i="8"/>
  <c r="C314" i="8"/>
  <c r="A319" i="8"/>
  <c r="C312" i="8"/>
  <c r="A539" i="8"/>
  <c r="C532" i="8"/>
  <c r="D62" i="8" l="1"/>
  <c r="Q62" i="8" s="1"/>
  <c r="M61" i="8"/>
  <c r="A546" i="8"/>
  <c r="C539" i="8"/>
  <c r="A328" i="8"/>
  <c r="C321" i="8"/>
  <c r="A332" i="8"/>
  <c r="C325" i="8"/>
  <c r="A330" i="8"/>
  <c r="C323" i="8"/>
  <c r="A326" i="8"/>
  <c r="C319" i="8"/>
  <c r="A338" i="8"/>
  <c r="C331" i="8"/>
  <c r="A334" i="8"/>
  <c r="C327" i="8"/>
  <c r="M62" i="8" l="1"/>
  <c r="D63" i="8"/>
  <c r="Q63" i="8" s="1"/>
  <c r="A341" i="8"/>
  <c r="C334" i="8"/>
  <c r="A333" i="8"/>
  <c r="C326" i="8"/>
  <c r="A339" i="8"/>
  <c r="C332" i="8"/>
  <c r="A553" i="8"/>
  <c r="C546" i="8"/>
  <c r="A345" i="8"/>
  <c r="C338" i="8"/>
  <c r="A337" i="8"/>
  <c r="C330" i="8"/>
  <c r="A335" i="8"/>
  <c r="C328" i="8"/>
  <c r="D64" i="8" l="1"/>
  <c r="Q64" i="8" s="1"/>
  <c r="M63" i="8"/>
  <c r="A342" i="8"/>
  <c r="C335" i="8"/>
  <c r="A352" i="8"/>
  <c r="C345" i="8"/>
  <c r="A346" i="8"/>
  <c r="C339" i="8"/>
  <c r="A348" i="8"/>
  <c r="C341" i="8"/>
  <c r="A344" i="8"/>
  <c r="C337" i="8"/>
  <c r="A560" i="8"/>
  <c r="C553" i="8"/>
  <c r="A340" i="8"/>
  <c r="C333" i="8"/>
  <c r="M64" i="8" l="1"/>
  <c r="D65" i="8"/>
  <c r="Q65" i="8" s="1"/>
  <c r="A347" i="8"/>
  <c r="C340" i="8"/>
  <c r="A351" i="8"/>
  <c r="C344" i="8"/>
  <c r="A353" i="8"/>
  <c r="C346" i="8"/>
  <c r="A349" i="8"/>
  <c r="C342" i="8"/>
  <c r="A567" i="8"/>
  <c r="C560" i="8"/>
  <c r="A355" i="8"/>
  <c r="C348" i="8"/>
  <c r="A359" i="8"/>
  <c r="C352" i="8"/>
  <c r="D66" i="8" l="1"/>
  <c r="Q66" i="8" s="1"/>
  <c r="M65" i="8"/>
  <c r="A366" i="8"/>
  <c r="C359" i="8"/>
  <c r="A574" i="8"/>
  <c r="C567" i="8"/>
  <c r="A360" i="8"/>
  <c r="C353" i="8"/>
  <c r="A354" i="8"/>
  <c r="C347" i="8"/>
  <c r="A362" i="8"/>
  <c r="C355" i="8"/>
  <c r="A356" i="8"/>
  <c r="C349" i="8"/>
  <c r="A358" i="8"/>
  <c r="C351" i="8"/>
  <c r="D67" i="8" l="1"/>
  <c r="Q67" i="8" s="1"/>
  <c r="M66" i="8"/>
  <c r="A365" i="8"/>
  <c r="C358" i="8"/>
  <c r="A369" i="8"/>
  <c r="C362" i="8"/>
  <c r="A367" i="8"/>
  <c r="C360" i="8"/>
  <c r="A373" i="8"/>
  <c r="C366" i="8"/>
  <c r="A363" i="8"/>
  <c r="C356" i="8"/>
  <c r="A361" i="8"/>
  <c r="C354" i="8"/>
  <c r="A581" i="8"/>
  <c r="C574" i="8"/>
  <c r="D68" i="8" l="1"/>
  <c r="Q68" i="8" s="1"/>
  <c r="M67" i="8"/>
  <c r="A588" i="8"/>
  <c r="C581" i="8"/>
  <c r="A370" i="8"/>
  <c r="C363" i="8"/>
  <c r="A374" i="8"/>
  <c r="C367" i="8"/>
  <c r="A372" i="8"/>
  <c r="C365" i="8"/>
  <c r="A368" i="8"/>
  <c r="C361" i="8"/>
  <c r="A380" i="8"/>
  <c r="C373" i="8"/>
  <c r="A376" i="8"/>
  <c r="C369" i="8"/>
  <c r="D69" i="8" l="1"/>
  <c r="Q69" i="8" s="1"/>
  <c r="M68" i="8"/>
  <c r="A387" i="8"/>
  <c r="C380" i="8"/>
  <c r="A383" i="8"/>
  <c r="C376" i="8"/>
  <c r="A375" i="8"/>
  <c r="C368" i="8"/>
  <c r="A381" i="8"/>
  <c r="C374" i="8"/>
  <c r="A595" i="8"/>
  <c r="C588" i="8"/>
  <c r="A379" i="8"/>
  <c r="C372" i="8"/>
  <c r="A377" i="8"/>
  <c r="C370" i="8"/>
  <c r="D70" i="8" l="1"/>
  <c r="Q70" i="8" s="1"/>
  <c r="M69" i="8"/>
  <c r="A384" i="8"/>
  <c r="C377" i="8"/>
  <c r="A602" i="8"/>
  <c r="C595" i="8"/>
  <c r="A382" i="8"/>
  <c r="C375" i="8"/>
  <c r="A394" i="8"/>
  <c r="C387" i="8"/>
  <c r="A386" i="8"/>
  <c r="C379" i="8"/>
  <c r="A388" i="8"/>
  <c r="C381" i="8"/>
  <c r="A390" i="8"/>
  <c r="C383" i="8"/>
  <c r="D71" i="8" l="1"/>
  <c r="Q71" i="8" s="1"/>
  <c r="M70" i="8"/>
  <c r="A397" i="8"/>
  <c r="C390" i="8"/>
  <c r="A393" i="8"/>
  <c r="C386" i="8"/>
  <c r="A389" i="8"/>
  <c r="C382" i="8"/>
  <c r="A391" i="8"/>
  <c r="C384" i="8"/>
  <c r="A395" i="8"/>
  <c r="C388" i="8"/>
  <c r="A401" i="8"/>
  <c r="C394" i="8"/>
  <c r="A609" i="8"/>
  <c r="C602" i="8"/>
  <c r="D72" i="8" l="1"/>
  <c r="Q72" i="8" s="1"/>
  <c r="M71" i="8"/>
  <c r="A616" i="8"/>
  <c r="C609" i="8"/>
  <c r="A402" i="8"/>
  <c r="C395" i="8"/>
  <c r="A396" i="8"/>
  <c r="C389" i="8"/>
  <c r="A404" i="8"/>
  <c r="C397" i="8"/>
  <c r="A408" i="8"/>
  <c r="C401" i="8"/>
  <c r="A398" i="8"/>
  <c r="C391" i="8"/>
  <c r="A400" i="8"/>
  <c r="C393" i="8"/>
  <c r="D73" i="8" l="1"/>
  <c r="Q73" i="8" s="1"/>
  <c r="M72" i="8"/>
  <c r="A407" i="8"/>
  <c r="C400" i="8"/>
  <c r="A415" i="8"/>
  <c r="C408" i="8"/>
  <c r="A403" i="8"/>
  <c r="C396" i="8"/>
  <c r="A623" i="8"/>
  <c r="C616" i="8"/>
  <c r="A405" i="8"/>
  <c r="C398" i="8"/>
  <c r="A411" i="8"/>
  <c r="C404" i="8"/>
  <c r="A409" i="8"/>
  <c r="C402" i="8"/>
  <c r="D74" i="8" l="1"/>
  <c r="Q74" i="8" s="1"/>
  <c r="M73" i="8"/>
  <c r="A416" i="8"/>
  <c r="C409" i="8"/>
  <c r="A412" i="8"/>
  <c r="C405" i="8"/>
  <c r="A410" i="8"/>
  <c r="C403" i="8"/>
  <c r="A414" i="8"/>
  <c r="C407" i="8"/>
  <c r="A418" i="8"/>
  <c r="C411" i="8"/>
  <c r="A630" i="8"/>
  <c r="C623" i="8"/>
  <c r="A422" i="8"/>
  <c r="C415" i="8"/>
  <c r="D75" i="8" l="1"/>
  <c r="Q75" i="8" s="1"/>
  <c r="M74" i="8"/>
  <c r="A429" i="8"/>
  <c r="C422" i="8"/>
  <c r="A425" i="8"/>
  <c r="C418" i="8"/>
  <c r="A417" i="8"/>
  <c r="C410" i="8"/>
  <c r="A423" i="8"/>
  <c r="C416" i="8"/>
  <c r="A637" i="8"/>
  <c r="C630" i="8"/>
  <c r="A421" i="8"/>
  <c r="C414" i="8"/>
  <c r="A419" i="8"/>
  <c r="C412" i="8"/>
  <c r="M75" i="8" l="1"/>
  <c r="D76" i="8"/>
  <c r="Q76" i="8" s="1"/>
  <c r="A428" i="8"/>
  <c r="C421" i="8"/>
  <c r="A426" i="8"/>
  <c r="C419" i="8"/>
  <c r="A644" i="8"/>
  <c r="C637" i="8"/>
  <c r="A424" i="8"/>
  <c r="C417" i="8"/>
  <c r="A436" i="8"/>
  <c r="C429" i="8"/>
  <c r="A430" i="8"/>
  <c r="C423" i="8"/>
  <c r="A432" i="8"/>
  <c r="C425" i="8"/>
  <c r="D77" i="8" l="1"/>
  <c r="Q77" i="8" s="1"/>
  <c r="M76" i="8"/>
  <c r="A439" i="8"/>
  <c r="C432" i="8"/>
  <c r="A443" i="8"/>
  <c r="C436" i="8"/>
  <c r="A651" i="8"/>
  <c r="C644" i="8"/>
  <c r="A435" i="8"/>
  <c r="C428" i="8"/>
  <c r="A437" i="8"/>
  <c r="C430" i="8"/>
  <c r="A431" i="8"/>
  <c r="C424" i="8"/>
  <c r="A433" i="8"/>
  <c r="C426" i="8"/>
  <c r="M77" i="8" l="1"/>
  <c r="D78" i="8"/>
  <c r="Q78" i="8" s="1"/>
  <c r="A442" i="8"/>
  <c r="C435" i="8"/>
  <c r="A450" i="8"/>
  <c r="C443" i="8"/>
  <c r="A440" i="8"/>
  <c r="C433" i="8"/>
  <c r="A444" i="8"/>
  <c r="C437" i="8"/>
  <c r="A658" i="8"/>
  <c r="A446" i="8"/>
  <c r="C439" i="8"/>
  <c r="A438" i="8"/>
  <c r="C431" i="8"/>
  <c r="D79" i="8" l="1"/>
  <c r="Q79" i="8" s="1"/>
  <c r="M78" i="8"/>
  <c r="A453" i="8"/>
  <c r="C446" i="8"/>
  <c r="A457" i="8"/>
  <c r="C450" i="8"/>
  <c r="A445" i="8"/>
  <c r="C438" i="8"/>
  <c r="A665" i="8"/>
  <c r="A447" i="8"/>
  <c r="C440" i="8"/>
  <c r="A449" i="8"/>
  <c r="C442" i="8"/>
  <c r="A451" i="8"/>
  <c r="C444" i="8"/>
  <c r="D80" i="8" l="1"/>
  <c r="Q80" i="8" s="1"/>
  <c r="M79" i="8"/>
  <c r="A458" i="8"/>
  <c r="C451" i="8"/>
  <c r="A454" i="8"/>
  <c r="C447" i="8"/>
  <c r="A452" i="8"/>
  <c r="C445" i="8"/>
  <c r="A460" i="8"/>
  <c r="C453" i="8"/>
  <c r="A456" i="8"/>
  <c r="C449" i="8"/>
  <c r="A672" i="8"/>
  <c r="C665" i="8"/>
  <c r="A464" i="8"/>
  <c r="C457" i="8"/>
  <c r="D81" i="8" l="1"/>
  <c r="Q81" i="8" s="1"/>
  <c r="M80" i="8"/>
  <c r="A471" i="8"/>
  <c r="C464" i="8"/>
  <c r="A463" i="8"/>
  <c r="C456" i="8"/>
  <c r="A459" i="8"/>
  <c r="C452" i="8"/>
  <c r="A465" i="8"/>
  <c r="C458" i="8"/>
  <c r="A679" i="8"/>
  <c r="C672" i="8"/>
  <c r="A467" i="8"/>
  <c r="C460" i="8"/>
  <c r="A461" i="8"/>
  <c r="C454" i="8"/>
  <c r="D82" i="8" l="1"/>
  <c r="Q82" i="8" s="1"/>
  <c r="M81" i="8"/>
  <c r="A468" i="8"/>
  <c r="C461" i="8"/>
  <c r="A686" i="8"/>
  <c r="C679" i="8"/>
  <c r="A466" i="8"/>
  <c r="C459" i="8"/>
  <c r="A478" i="8"/>
  <c r="C471" i="8"/>
  <c r="A474" i="8"/>
  <c r="C467" i="8"/>
  <c r="A472" i="8"/>
  <c r="C465" i="8"/>
  <c r="A470" i="8"/>
  <c r="C463" i="8"/>
  <c r="D83" i="8" l="1"/>
  <c r="Q83" i="8" s="1"/>
  <c r="M82" i="8"/>
  <c r="A477" i="8"/>
  <c r="C470" i="8"/>
  <c r="A481" i="8"/>
  <c r="C474" i="8"/>
  <c r="A473" i="8"/>
  <c r="C466" i="8"/>
  <c r="A475" i="8"/>
  <c r="C468" i="8"/>
  <c r="A479" i="8"/>
  <c r="C472" i="8"/>
  <c r="A485" i="8"/>
  <c r="C478" i="8"/>
  <c r="A693" i="8"/>
  <c r="C686" i="8"/>
  <c r="D84" i="8" l="1"/>
  <c r="Q84" i="8" s="1"/>
  <c r="M83" i="8"/>
  <c r="A492" i="8"/>
  <c r="C485" i="8"/>
  <c r="A700" i="8"/>
  <c r="C693" i="8"/>
  <c r="A486" i="8"/>
  <c r="C479" i="8"/>
  <c r="A480" i="8"/>
  <c r="C473" i="8"/>
  <c r="A484" i="8"/>
  <c r="C477" i="8"/>
  <c r="A482" i="8"/>
  <c r="C475" i="8"/>
  <c r="A488" i="8"/>
  <c r="C481" i="8"/>
  <c r="D85" i="8" l="1"/>
  <c r="Q85" i="8" s="1"/>
  <c r="M84" i="8"/>
  <c r="A495" i="8"/>
  <c r="C488" i="8"/>
  <c r="A491" i="8"/>
  <c r="C484" i="8"/>
  <c r="A493" i="8"/>
  <c r="C486" i="8"/>
  <c r="A499" i="8"/>
  <c r="C492" i="8"/>
  <c r="A489" i="8"/>
  <c r="C482" i="8"/>
  <c r="A487" i="8"/>
  <c r="C480" i="8"/>
  <c r="A707" i="8"/>
  <c r="C700" i="8"/>
  <c r="D86" i="8" l="1"/>
  <c r="Q86" i="8" s="1"/>
  <c r="M85" i="8"/>
  <c r="A714" i="8"/>
  <c r="C707" i="8"/>
  <c r="A496" i="8"/>
  <c r="C489" i="8"/>
  <c r="A500" i="8"/>
  <c r="C493" i="8"/>
  <c r="A502" i="8"/>
  <c r="C495" i="8"/>
  <c r="A494" i="8"/>
  <c r="C487" i="8"/>
  <c r="A506" i="8"/>
  <c r="C499" i="8"/>
  <c r="A498" i="8"/>
  <c r="C491" i="8"/>
  <c r="D87" i="8" l="1"/>
  <c r="Q87" i="8" s="1"/>
  <c r="M86" i="8"/>
  <c r="A505" i="8"/>
  <c r="C498" i="8"/>
  <c r="A501" i="8"/>
  <c r="C494" i="8"/>
  <c r="A507" i="8"/>
  <c r="C500" i="8"/>
  <c r="A721" i="8"/>
  <c r="C714" i="8"/>
  <c r="A513" i="8"/>
  <c r="C506" i="8"/>
  <c r="A509" i="8"/>
  <c r="C502" i="8"/>
  <c r="A503" i="8"/>
  <c r="C496" i="8"/>
  <c r="D88" i="8" l="1"/>
  <c r="Q88" i="8" s="1"/>
  <c r="M87" i="8"/>
  <c r="A510" i="8"/>
  <c r="C503" i="8"/>
  <c r="A520" i="8"/>
  <c r="C513" i="8"/>
  <c r="A514" i="8"/>
  <c r="C507" i="8"/>
  <c r="A512" i="8"/>
  <c r="C505" i="8"/>
  <c r="A516" i="8"/>
  <c r="C509" i="8"/>
  <c r="A728" i="8"/>
  <c r="C721" i="8"/>
  <c r="A508" i="8"/>
  <c r="C501" i="8"/>
  <c r="D89" i="8" l="1"/>
  <c r="Q89" i="8" s="1"/>
  <c r="M88" i="8"/>
  <c r="A515" i="8"/>
  <c r="C508" i="8"/>
  <c r="A523" i="8"/>
  <c r="C516" i="8"/>
  <c r="A521" i="8"/>
  <c r="C514" i="8"/>
  <c r="A517" i="8"/>
  <c r="C510" i="8"/>
  <c r="A735" i="8"/>
  <c r="C728" i="8"/>
  <c r="A519" i="8"/>
  <c r="C512" i="8"/>
  <c r="A527" i="8"/>
  <c r="C520" i="8"/>
  <c r="D90" i="8" l="1"/>
  <c r="Q90" i="8" s="1"/>
  <c r="M89" i="8"/>
  <c r="A526" i="8"/>
  <c r="C519" i="8"/>
  <c r="A534" i="8"/>
  <c r="C527" i="8"/>
  <c r="A742" i="8"/>
  <c r="C735" i="8"/>
  <c r="A528" i="8"/>
  <c r="C521" i="8"/>
  <c r="A522" i="8"/>
  <c r="C515" i="8"/>
  <c r="A524" i="8"/>
  <c r="C517" i="8"/>
  <c r="A530" i="8"/>
  <c r="C523" i="8"/>
  <c r="M90" i="8" l="1"/>
  <c r="D91" i="8"/>
  <c r="Q91" i="8" s="1"/>
  <c r="A537" i="8"/>
  <c r="C530" i="8"/>
  <c r="A529" i="8"/>
  <c r="C522" i="8"/>
  <c r="A749" i="8"/>
  <c r="C749" i="8" s="1"/>
  <c r="C742" i="8"/>
  <c r="A533" i="8"/>
  <c r="C526" i="8"/>
  <c r="A531" i="8"/>
  <c r="C524" i="8"/>
  <c r="A535" i="8"/>
  <c r="C528" i="8"/>
  <c r="A541" i="8"/>
  <c r="C534" i="8"/>
  <c r="D92" i="8" l="1"/>
  <c r="Q92" i="8" s="1"/>
  <c r="M91" i="8"/>
  <c r="A548" i="8"/>
  <c r="C541" i="8"/>
  <c r="A538" i="8"/>
  <c r="C531" i="8"/>
  <c r="A544" i="8"/>
  <c r="C537" i="8"/>
  <c r="A542" i="8"/>
  <c r="C535" i="8"/>
  <c r="A540" i="8"/>
  <c r="C533" i="8"/>
  <c r="A536" i="8"/>
  <c r="C529" i="8"/>
  <c r="D93" i="8" l="1"/>
  <c r="Q93" i="8" s="1"/>
  <c r="M92" i="8"/>
  <c r="A547" i="8"/>
  <c r="C540" i="8"/>
  <c r="A551" i="8"/>
  <c r="C544" i="8"/>
  <c r="A555" i="8"/>
  <c r="C548" i="8"/>
  <c r="A543" i="8"/>
  <c r="C536" i="8"/>
  <c r="A549" i="8"/>
  <c r="C542" i="8"/>
  <c r="A545" i="8"/>
  <c r="C538" i="8"/>
  <c r="M93" i="8" l="1"/>
  <c r="D94" i="8"/>
  <c r="Q94" i="8" s="1"/>
  <c r="A556" i="8"/>
  <c r="C549" i="8"/>
  <c r="A562" i="8"/>
  <c r="C555" i="8"/>
  <c r="A554" i="8"/>
  <c r="C547" i="8"/>
  <c r="A552" i="8"/>
  <c r="C545" i="8"/>
  <c r="A550" i="8"/>
  <c r="C543" i="8"/>
  <c r="A558" i="8"/>
  <c r="C551" i="8"/>
  <c r="M94" i="8" l="1"/>
  <c r="D95" i="8"/>
  <c r="Q95" i="8" s="1"/>
  <c r="A557" i="8"/>
  <c r="C550" i="8"/>
  <c r="A561" i="8"/>
  <c r="C554" i="8"/>
  <c r="A563" i="8"/>
  <c r="C556" i="8"/>
  <c r="A565" i="8"/>
  <c r="C558" i="8"/>
  <c r="A559" i="8"/>
  <c r="C552" i="8"/>
  <c r="A569" i="8"/>
  <c r="C562" i="8"/>
  <c r="M95" i="8" l="1"/>
  <c r="D96" i="8"/>
  <c r="Q96" i="8" s="1"/>
  <c r="A566" i="8"/>
  <c r="C559" i="8"/>
  <c r="A570" i="8"/>
  <c r="C563" i="8"/>
  <c r="A564" i="8"/>
  <c r="C557" i="8"/>
  <c r="A576" i="8"/>
  <c r="C569" i="8"/>
  <c r="A572" i="8"/>
  <c r="C565" i="8"/>
  <c r="A568" i="8"/>
  <c r="C561" i="8"/>
  <c r="D97" i="8" l="1"/>
  <c r="Q97" i="8" s="1"/>
  <c r="M96" i="8"/>
  <c r="A579" i="8"/>
  <c r="C572" i="8"/>
  <c r="A571" i="8"/>
  <c r="C564" i="8"/>
  <c r="A573" i="8"/>
  <c r="C566" i="8"/>
  <c r="A575" i="8"/>
  <c r="C568" i="8"/>
  <c r="A583" i="8"/>
  <c r="C576" i="8"/>
  <c r="A577" i="8"/>
  <c r="C570" i="8"/>
  <c r="D98" i="8" l="1"/>
  <c r="Q98" i="8" s="1"/>
  <c r="M97" i="8"/>
  <c r="A590" i="8"/>
  <c r="C583" i="8"/>
  <c r="A580" i="8"/>
  <c r="C573" i="8"/>
  <c r="A586" i="8"/>
  <c r="C579" i="8"/>
  <c r="A584" i="8"/>
  <c r="C577" i="8"/>
  <c r="A582" i="8"/>
  <c r="C575" i="8"/>
  <c r="A578" i="8"/>
  <c r="C571" i="8"/>
  <c r="D99" i="8" l="1"/>
  <c r="Q99" i="8" s="1"/>
  <c r="M98" i="8"/>
  <c r="A589" i="8"/>
  <c r="C582" i="8"/>
  <c r="A593" i="8"/>
  <c r="C586" i="8"/>
  <c r="A597" i="8"/>
  <c r="C590" i="8"/>
  <c r="A585" i="8"/>
  <c r="C578" i="8"/>
  <c r="A591" i="8"/>
  <c r="C584" i="8"/>
  <c r="A587" i="8"/>
  <c r="C580" i="8"/>
  <c r="M99" i="8" l="1"/>
  <c r="D100" i="8"/>
  <c r="Q100" i="8" s="1"/>
  <c r="A598" i="8"/>
  <c r="C591" i="8"/>
  <c r="A604" i="8"/>
  <c r="C597" i="8"/>
  <c r="A596" i="8"/>
  <c r="C589" i="8"/>
  <c r="A594" i="8"/>
  <c r="C587" i="8"/>
  <c r="A592" i="8"/>
  <c r="C585" i="8"/>
  <c r="A600" i="8"/>
  <c r="C593" i="8"/>
  <c r="M100" i="8" l="1"/>
  <c r="D101" i="8"/>
  <c r="Q101" i="8" s="1"/>
  <c r="A603" i="8"/>
  <c r="C596" i="8"/>
  <c r="A607" i="8"/>
  <c r="C600" i="8"/>
  <c r="A601" i="8"/>
  <c r="C594" i="8"/>
  <c r="A611" i="8"/>
  <c r="C604" i="8"/>
  <c r="A599" i="8"/>
  <c r="C592" i="8"/>
  <c r="A605" i="8"/>
  <c r="C598" i="8"/>
  <c r="D102" i="8" l="1"/>
  <c r="Q102" i="8" s="1"/>
  <c r="M101" i="8"/>
  <c r="A606" i="8"/>
  <c r="C599" i="8"/>
  <c r="A608" i="8"/>
  <c r="C601" i="8"/>
  <c r="A610" i="8"/>
  <c r="C603" i="8"/>
  <c r="A612" i="8"/>
  <c r="C605" i="8"/>
  <c r="A618" i="8"/>
  <c r="C611" i="8"/>
  <c r="A614" i="8"/>
  <c r="C607" i="8"/>
  <c r="D103" i="8" l="1"/>
  <c r="Q103" i="8" s="1"/>
  <c r="M102" i="8"/>
  <c r="A617" i="8"/>
  <c r="C610" i="8"/>
  <c r="A621" i="8"/>
  <c r="C614" i="8"/>
  <c r="A619" i="8"/>
  <c r="C612" i="8"/>
  <c r="A615" i="8"/>
  <c r="C608" i="8"/>
  <c r="A625" i="8"/>
  <c r="C618" i="8"/>
  <c r="A613" i="8"/>
  <c r="C606" i="8"/>
  <c r="M103" i="8" l="1"/>
  <c r="D104" i="8"/>
  <c r="Q104" i="8" s="1"/>
  <c r="A632" i="8"/>
  <c r="C625" i="8"/>
  <c r="A626" i="8"/>
  <c r="C619" i="8"/>
  <c r="A624" i="8"/>
  <c r="C617" i="8"/>
  <c r="A620" i="8"/>
  <c r="C613" i="8"/>
  <c r="A622" i="8"/>
  <c r="C615" i="8"/>
  <c r="A628" i="8"/>
  <c r="C621" i="8"/>
  <c r="M104" i="8" l="1"/>
  <c r="D105" i="8"/>
  <c r="Q105" i="8" s="1"/>
  <c r="A629" i="8"/>
  <c r="C622" i="8"/>
  <c r="A639" i="8"/>
  <c r="C632" i="8"/>
  <c r="A635" i="8"/>
  <c r="C628" i="8"/>
  <c r="A627" i="8"/>
  <c r="C620" i="8"/>
  <c r="A633" i="8"/>
  <c r="C626" i="8"/>
  <c r="A631" i="8"/>
  <c r="C624" i="8"/>
  <c r="M105" i="8" l="1"/>
  <c r="D106" i="8"/>
  <c r="Q106" i="8" s="1"/>
  <c r="A640" i="8"/>
  <c r="C633" i="8"/>
  <c r="A642" i="8"/>
  <c r="C635" i="8"/>
  <c r="A636" i="8"/>
  <c r="C629" i="8"/>
  <c r="A638" i="8"/>
  <c r="C631" i="8"/>
  <c r="A634" i="8"/>
  <c r="C627" i="8"/>
  <c r="A646" i="8"/>
  <c r="C639" i="8"/>
  <c r="D107" i="8" l="1"/>
  <c r="Q107" i="8" s="1"/>
  <c r="M106" i="8"/>
  <c r="A643" i="8"/>
  <c r="C636" i="8"/>
  <c r="A653" i="8"/>
  <c r="C646" i="8"/>
  <c r="A645" i="8"/>
  <c r="C638" i="8"/>
  <c r="A649" i="8"/>
  <c r="C642" i="8"/>
  <c r="A641" i="8"/>
  <c r="C634" i="8"/>
  <c r="A647" i="8"/>
  <c r="C640" i="8"/>
  <c r="M107" i="8" l="1"/>
  <c r="D108" i="8"/>
  <c r="Q108" i="8" s="1"/>
  <c r="A648" i="8"/>
  <c r="C641" i="8"/>
  <c r="A652" i="8"/>
  <c r="C645" i="8"/>
  <c r="A650" i="8"/>
  <c r="C643" i="8"/>
  <c r="A654" i="8"/>
  <c r="C647" i="8"/>
  <c r="A656" i="8"/>
  <c r="A660" i="8"/>
  <c r="C653" i="8"/>
  <c r="D109" i="8" l="1"/>
  <c r="Q109" i="8" s="1"/>
  <c r="M108" i="8"/>
  <c r="A663" i="8"/>
  <c r="A655" i="8"/>
  <c r="A667" i="8"/>
  <c r="C660" i="8"/>
  <c r="A661" i="8"/>
  <c r="C654" i="8"/>
  <c r="A659" i="8"/>
  <c r="A657" i="8"/>
  <c r="M109" i="8" l="1"/>
  <c r="D110" i="8"/>
  <c r="Q110" i="8" s="1"/>
  <c r="A666" i="8"/>
  <c r="A674" i="8"/>
  <c r="C667" i="8"/>
  <c r="A670" i="8"/>
  <c r="C663" i="8"/>
  <c r="A664" i="8"/>
  <c r="A668" i="8"/>
  <c r="C661" i="8"/>
  <c r="A662" i="8"/>
  <c r="D111" i="8" l="1"/>
  <c r="Q111" i="8" s="1"/>
  <c r="M110" i="8"/>
  <c r="A677" i="8"/>
  <c r="C670" i="8"/>
  <c r="A669" i="8"/>
  <c r="C662" i="8"/>
  <c r="A671" i="8"/>
  <c r="C664" i="8"/>
  <c r="A681" i="8"/>
  <c r="C674" i="8"/>
  <c r="A675" i="8"/>
  <c r="C668" i="8"/>
  <c r="A673" i="8"/>
  <c r="C666" i="8"/>
  <c r="M111" i="8" l="1"/>
  <c r="D112" i="8"/>
  <c r="Q112" i="8" s="1"/>
  <c r="A682" i="8"/>
  <c r="C675" i="8"/>
  <c r="A678" i="8"/>
  <c r="C671" i="8"/>
  <c r="A684" i="8"/>
  <c r="C677" i="8"/>
  <c r="A680" i="8"/>
  <c r="C673" i="8"/>
  <c r="A688" i="8"/>
  <c r="C681" i="8"/>
  <c r="A676" i="8"/>
  <c r="C669" i="8"/>
  <c r="D113" i="8" l="1"/>
  <c r="Q113" i="8" s="1"/>
  <c r="M112" i="8"/>
  <c r="A695" i="8"/>
  <c r="C688" i="8"/>
  <c r="A689" i="8"/>
  <c r="C682" i="8"/>
  <c r="A683" i="8"/>
  <c r="C676" i="8"/>
  <c r="A687" i="8"/>
  <c r="C680" i="8"/>
  <c r="A685" i="8"/>
  <c r="C678" i="8"/>
  <c r="A691" i="8"/>
  <c r="C684" i="8"/>
  <c r="M113" i="8" l="1"/>
  <c r="D114" i="8"/>
  <c r="Q114" i="8" s="1"/>
  <c r="A692" i="8"/>
  <c r="C685" i="8"/>
  <c r="A690" i="8"/>
  <c r="C683" i="8"/>
  <c r="A702" i="8"/>
  <c r="C695" i="8"/>
  <c r="A698" i="8"/>
  <c r="C691" i="8"/>
  <c r="A694" i="8"/>
  <c r="C687" i="8"/>
  <c r="A696" i="8"/>
  <c r="C689" i="8"/>
  <c r="D115" i="8" l="1"/>
  <c r="Q115" i="8" s="1"/>
  <c r="M114" i="8"/>
  <c r="A701" i="8"/>
  <c r="C694" i="8"/>
  <c r="A709" i="8"/>
  <c r="C702" i="8"/>
  <c r="A699" i="8"/>
  <c r="C692" i="8"/>
  <c r="A703" i="8"/>
  <c r="C696" i="8"/>
  <c r="A705" i="8"/>
  <c r="C698" i="8"/>
  <c r="A697" i="8"/>
  <c r="C690" i="8"/>
  <c r="M115" i="8" l="1"/>
  <c r="D116" i="8"/>
  <c r="Q116" i="8" s="1"/>
  <c r="A712" i="8"/>
  <c r="C705" i="8"/>
  <c r="A706" i="8"/>
  <c r="C699" i="8"/>
  <c r="A708" i="8"/>
  <c r="C701" i="8"/>
  <c r="A704" i="8"/>
  <c r="C697" i="8"/>
  <c r="A710" i="8"/>
  <c r="C703" i="8"/>
  <c r="A716" i="8"/>
  <c r="C709" i="8"/>
  <c r="D117" i="8" l="1"/>
  <c r="Q117" i="8" s="1"/>
  <c r="M116" i="8"/>
  <c r="A717" i="8"/>
  <c r="C710" i="8"/>
  <c r="A719" i="8"/>
  <c r="C712" i="8"/>
  <c r="A723" i="8"/>
  <c r="C716" i="8"/>
  <c r="A711" i="8"/>
  <c r="C704" i="8"/>
  <c r="A713" i="8"/>
  <c r="C706" i="8"/>
  <c r="A715" i="8"/>
  <c r="C708" i="8"/>
  <c r="M117" i="8" l="1"/>
  <c r="D118" i="8"/>
  <c r="Q118" i="8" s="1"/>
  <c r="A720" i="8"/>
  <c r="C713" i="8"/>
  <c r="A730" i="8"/>
  <c r="C723" i="8"/>
  <c r="A724" i="8"/>
  <c r="C717" i="8"/>
  <c r="A722" i="8"/>
  <c r="C715" i="8"/>
  <c r="A718" i="8"/>
  <c r="C711" i="8"/>
  <c r="A726" i="8"/>
  <c r="C719" i="8"/>
  <c r="D119" i="8" l="1"/>
  <c r="Q119" i="8" s="1"/>
  <c r="M118" i="8"/>
  <c r="A731" i="8"/>
  <c r="C724" i="8"/>
  <c r="A733" i="8"/>
  <c r="C726" i="8"/>
  <c r="A729" i="8"/>
  <c r="C722" i="8"/>
  <c r="A737" i="8"/>
  <c r="C730" i="8"/>
  <c r="A725" i="8"/>
  <c r="C718" i="8"/>
  <c r="A727" i="8"/>
  <c r="C720" i="8"/>
  <c r="M119" i="8" l="1"/>
  <c r="D120" i="8"/>
  <c r="Q120" i="8" s="1"/>
  <c r="A732" i="8"/>
  <c r="C725" i="8"/>
  <c r="A736" i="8"/>
  <c r="C729" i="8"/>
  <c r="A738" i="8"/>
  <c r="C731" i="8"/>
  <c r="A734" i="8"/>
  <c r="C727" i="8"/>
  <c r="A744" i="8"/>
  <c r="C744" i="8" s="1"/>
  <c r="C737" i="8"/>
  <c r="A740" i="8"/>
  <c r="C733" i="8"/>
  <c r="D121" i="8" l="1"/>
  <c r="Q121" i="8" s="1"/>
  <c r="M120" i="8"/>
  <c r="A745" i="8"/>
  <c r="C745" i="8" s="1"/>
  <c r="C738" i="8"/>
  <c r="A739" i="8"/>
  <c r="C732" i="8"/>
  <c r="A747" i="8"/>
  <c r="C747" i="8" s="1"/>
  <c r="C740" i="8"/>
  <c r="A741" i="8"/>
  <c r="C734" i="8"/>
  <c r="A743" i="8"/>
  <c r="C736" i="8"/>
  <c r="M121" i="8" l="1"/>
  <c r="D122" i="8"/>
  <c r="Q122" i="8" s="1"/>
  <c r="A750" i="8"/>
  <c r="C750" i="8" s="1"/>
  <c r="C743" i="8"/>
  <c r="A748" i="8"/>
  <c r="C748" i="8" s="1"/>
  <c r="C741" i="8"/>
  <c r="A746" i="8"/>
  <c r="C746" i="8" s="1"/>
  <c r="C739" i="8"/>
  <c r="D123" i="8" l="1"/>
  <c r="Q123" i="8" s="1"/>
  <c r="M122" i="8"/>
  <c r="M123" i="8" l="1"/>
  <c r="D124" i="8"/>
  <c r="Q124" i="8" s="1"/>
  <c r="D125" i="8" l="1"/>
  <c r="Q125" i="8" s="1"/>
  <c r="M124" i="8"/>
  <c r="M125" i="8" l="1"/>
  <c r="D126" i="8"/>
  <c r="Q126" i="8" s="1"/>
  <c r="D127" i="8" l="1"/>
  <c r="Q127" i="8" s="1"/>
  <c r="M126" i="8"/>
  <c r="M127" i="8" l="1"/>
  <c r="D128" i="8"/>
  <c r="Q128" i="8" s="1"/>
  <c r="D129" i="8" l="1"/>
  <c r="Q129" i="8" s="1"/>
  <c r="M128" i="8"/>
  <c r="J40" i="16"/>
  <c r="H40" i="16"/>
  <c r="J39" i="16"/>
  <c r="H39" i="16"/>
  <c r="J38" i="16"/>
  <c r="H38" i="16"/>
  <c r="J37" i="16"/>
  <c r="H37" i="16"/>
  <c r="J36" i="16"/>
  <c r="H36" i="16"/>
  <c r="J35" i="16"/>
  <c r="H35" i="16"/>
  <c r="J34" i="16"/>
  <c r="H34" i="16"/>
  <c r="J33" i="16"/>
  <c r="H33" i="16"/>
  <c r="C17" i="16"/>
  <c r="L17" i="16" s="1"/>
  <c r="F20" i="4"/>
  <c r="M129" i="8" l="1"/>
  <c r="D130" i="8"/>
  <c r="Q130" i="8" s="1"/>
  <c r="I35" i="16"/>
  <c r="I39" i="16"/>
  <c r="I36" i="16"/>
  <c r="I40" i="16"/>
  <c r="I33" i="16"/>
  <c r="I37" i="16"/>
  <c r="I34" i="16"/>
  <c r="I38" i="16"/>
  <c r="C18" i="16"/>
  <c r="L18" i="16" s="1"/>
  <c r="D131" i="8" l="1"/>
  <c r="Q131" i="8" s="1"/>
  <c r="M130" i="8"/>
  <c r="C19" i="16"/>
  <c r="L19" i="16" s="1"/>
  <c r="M131" i="8"/>
  <c r="D132" i="8" l="1"/>
  <c r="Q132" i="8" s="1"/>
  <c r="C20" i="16"/>
  <c r="L20" i="16" s="1"/>
  <c r="D17" i="4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J7" i="4"/>
  <c r="D133" i="8" l="1"/>
  <c r="Q133" i="8" s="1"/>
  <c r="M132" i="8"/>
  <c r="C21" i="16"/>
  <c r="L21" i="16" s="1"/>
  <c r="M133" i="8"/>
  <c r="J3" i="8"/>
  <c r="D134" i="8" l="1"/>
  <c r="Q134" i="8" s="1"/>
  <c r="C22" i="16"/>
  <c r="L22" i="16" s="1"/>
  <c r="D135" i="8" l="1"/>
  <c r="Q135" i="8" s="1"/>
  <c r="M134" i="8"/>
  <c r="C23" i="16"/>
  <c r="L23" i="16" s="1"/>
  <c r="M135" i="8" l="1"/>
  <c r="D136" i="8"/>
  <c r="Q136" i="8" s="1"/>
  <c r="C24" i="16"/>
  <c r="L24" i="16" s="1"/>
  <c r="D137" i="8" l="1"/>
  <c r="Q137" i="8" s="1"/>
  <c r="M136" i="8"/>
  <c r="C25" i="16"/>
  <c r="L25" i="16" s="1"/>
  <c r="M137" i="8"/>
  <c r="J1" i="4"/>
  <c r="H15" i="8" s="1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17" i="4"/>
  <c r="G16" i="4"/>
  <c r="D138" i="8" l="1"/>
  <c r="Q138" i="8" s="1"/>
  <c r="C26" i="16"/>
  <c r="L26" i="16" s="1"/>
  <c r="D32" i="4"/>
  <c r="H18" i="8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H50" i="8" s="1"/>
  <c r="H51" i="8" s="1"/>
  <c r="H52" i="8" s="1"/>
  <c r="H53" i="8" s="1"/>
  <c r="H54" i="8" s="1"/>
  <c r="H55" i="8" s="1"/>
  <c r="H56" i="8" s="1"/>
  <c r="H57" i="8" s="1"/>
  <c r="H58" i="8" s="1"/>
  <c r="H59" i="8" s="1"/>
  <c r="H60" i="8" s="1"/>
  <c r="H61" i="8" s="1"/>
  <c r="H62" i="8" s="1"/>
  <c r="H63" i="8" s="1"/>
  <c r="H64" i="8" s="1"/>
  <c r="H65" i="8" s="1"/>
  <c r="H66" i="8" s="1"/>
  <c r="H67" i="8" s="1"/>
  <c r="H68" i="8" s="1"/>
  <c r="H69" i="8" s="1"/>
  <c r="H70" i="8" s="1"/>
  <c r="H71" i="8" s="1"/>
  <c r="H72" i="8" s="1"/>
  <c r="H73" i="8" s="1"/>
  <c r="H74" i="8" s="1"/>
  <c r="H75" i="8" s="1"/>
  <c r="H76" i="8" s="1"/>
  <c r="H77" i="8" s="1"/>
  <c r="H78" i="8" s="1"/>
  <c r="H79" i="8" s="1"/>
  <c r="H80" i="8" s="1"/>
  <c r="H81" i="8" s="1"/>
  <c r="H82" i="8" s="1"/>
  <c r="H83" i="8" s="1"/>
  <c r="H84" i="8" s="1"/>
  <c r="H85" i="8" s="1"/>
  <c r="H86" i="8" s="1"/>
  <c r="H87" i="8" s="1"/>
  <c r="H88" i="8" s="1"/>
  <c r="H89" i="8" s="1"/>
  <c r="H90" i="8" s="1"/>
  <c r="H91" i="8" s="1"/>
  <c r="H92" i="8" s="1"/>
  <c r="H93" i="8" s="1"/>
  <c r="H94" i="8" s="1"/>
  <c r="H95" i="8" s="1"/>
  <c r="H96" i="8" s="1"/>
  <c r="H97" i="8" s="1"/>
  <c r="H98" i="8" s="1"/>
  <c r="H99" i="8" s="1"/>
  <c r="H100" i="8" s="1"/>
  <c r="H101" i="8" s="1"/>
  <c r="H102" i="8" s="1"/>
  <c r="H103" i="8" s="1"/>
  <c r="H104" i="8" s="1"/>
  <c r="H105" i="8" s="1"/>
  <c r="H106" i="8" s="1"/>
  <c r="H107" i="8" s="1"/>
  <c r="H108" i="8" s="1"/>
  <c r="H109" i="8" s="1"/>
  <c r="H110" i="8" s="1"/>
  <c r="H111" i="8" s="1"/>
  <c r="H112" i="8" s="1"/>
  <c r="H113" i="8" s="1"/>
  <c r="H114" i="8" s="1"/>
  <c r="H115" i="8" s="1"/>
  <c r="H116" i="8" s="1"/>
  <c r="H117" i="8" s="1"/>
  <c r="H118" i="8" s="1"/>
  <c r="H119" i="8" s="1"/>
  <c r="H120" i="8" s="1"/>
  <c r="H121" i="8" s="1"/>
  <c r="H122" i="8" s="1"/>
  <c r="H123" i="8" s="1"/>
  <c r="H124" i="8" s="1"/>
  <c r="H125" i="8" s="1"/>
  <c r="H126" i="8" s="1"/>
  <c r="H127" i="8" s="1"/>
  <c r="H128" i="8" s="1"/>
  <c r="H129" i="8" s="1"/>
  <c r="H130" i="8" s="1"/>
  <c r="H131" i="8" s="1"/>
  <c r="H132" i="8" s="1"/>
  <c r="H133" i="8" s="1"/>
  <c r="H134" i="8" s="1"/>
  <c r="H135" i="8" s="1"/>
  <c r="H136" i="8" s="1"/>
  <c r="H137" i="8" s="1"/>
  <c r="H138" i="8" s="1"/>
  <c r="H139" i="8" s="1"/>
  <c r="H140" i="8" s="1"/>
  <c r="H141" i="8" s="1"/>
  <c r="H142" i="8" s="1"/>
  <c r="H143" i="8" s="1"/>
  <c r="H144" i="8" s="1"/>
  <c r="H145" i="8" s="1"/>
  <c r="H146" i="8" s="1"/>
  <c r="H147" i="8" s="1"/>
  <c r="H148" i="8" s="1"/>
  <c r="H149" i="8" s="1"/>
  <c r="H150" i="8" s="1"/>
  <c r="H151" i="8" s="1"/>
  <c r="H152" i="8" s="1"/>
  <c r="H153" i="8" s="1"/>
  <c r="H154" i="8" s="1"/>
  <c r="H155" i="8" s="1"/>
  <c r="H156" i="8" s="1"/>
  <c r="H157" i="8" s="1"/>
  <c r="H158" i="8" s="1"/>
  <c r="H159" i="8" s="1"/>
  <c r="H160" i="8" s="1"/>
  <c r="H161" i="8" s="1"/>
  <c r="H162" i="8" s="1"/>
  <c r="H163" i="8" s="1"/>
  <c r="H164" i="8" s="1"/>
  <c r="H165" i="8" s="1"/>
  <c r="H166" i="8" s="1"/>
  <c r="H167" i="8" s="1"/>
  <c r="H168" i="8" s="1"/>
  <c r="H169" i="8" s="1"/>
  <c r="H170" i="8" s="1"/>
  <c r="H171" i="8" s="1"/>
  <c r="H172" i="8" s="1"/>
  <c r="H173" i="8" s="1"/>
  <c r="H174" i="8" s="1"/>
  <c r="H175" i="8" s="1"/>
  <c r="H176" i="8" s="1"/>
  <c r="H177" i="8" s="1"/>
  <c r="H178" i="8" s="1"/>
  <c r="H179" i="8" s="1"/>
  <c r="H180" i="8" s="1"/>
  <c r="H181" i="8" s="1"/>
  <c r="H182" i="8" s="1"/>
  <c r="H183" i="8" s="1"/>
  <c r="H184" i="8" s="1"/>
  <c r="H185" i="8" s="1"/>
  <c r="H186" i="8" s="1"/>
  <c r="H187" i="8" s="1"/>
  <c r="H188" i="8" s="1"/>
  <c r="H189" i="8" s="1"/>
  <c r="H190" i="8" s="1"/>
  <c r="H191" i="8" s="1"/>
  <c r="H192" i="8" s="1"/>
  <c r="H193" i="8" s="1"/>
  <c r="H194" i="8" s="1"/>
  <c r="H195" i="8" s="1"/>
  <c r="H196" i="8" s="1"/>
  <c r="H197" i="8" s="1"/>
  <c r="H198" i="8" s="1"/>
  <c r="H199" i="8" s="1"/>
  <c r="H200" i="8" s="1"/>
  <c r="H201" i="8" s="1"/>
  <c r="H202" i="8" s="1"/>
  <c r="H203" i="8" s="1"/>
  <c r="H204" i="8" s="1"/>
  <c r="H205" i="8" s="1"/>
  <c r="H206" i="8" s="1"/>
  <c r="H207" i="8" s="1"/>
  <c r="H208" i="8" s="1"/>
  <c r="H209" i="8" s="1"/>
  <c r="H210" i="8" s="1"/>
  <c r="H211" i="8" s="1"/>
  <c r="H212" i="8" s="1"/>
  <c r="H213" i="8" s="1"/>
  <c r="H214" i="8" s="1"/>
  <c r="H215" i="8" s="1"/>
  <c r="H216" i="8" s="1"/>
  <c r="H217" i="8" s="1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H273" i="8" s="1"/>
  <c r="H274" i="8" s="1"/>
  <c r="H275" i="8" s="1"/>
  <c r="H276" i="8" s="1"/>
  <c r="H277" i="8" s="1"/>
  <c r="H278" i="8" s="1"/>
  <c r="H279" i="8" s="1"/>
  <c r="H280" i="8" s="1"/>
  <c r="H281" i="8" s="1"/>
  <c r="H282" i="8" s="1"/>
  <c r="H283" i="8" s="1"/>
  <c r="H284" i="8" s="1"/>
  <c r="H285" i="8" s="1"/>
  <c r="H286" i="8" s="1"/>
  <c r="H287" i="8" s="1"/>
  <c r="H288" i="8" s="1"/>
  <c r="H289" i="8" s="1"/>
  <c r="H290" i="8" s="1"/>
  <c r="H291" i="8" s="1"/>
  <c r="H292" i="8" s="1"/>
  <c r="H293" i="8" s="1"/>
  <c r="H294" i="8" s="1"/>
  <c r="H295" i="8" s="1"/>
  <c r="H296" i="8" s="1"/>
  <c r="H297" i="8" s="1"/>
  <c r="H298" i="8" s="1"/>
  <c r="H299" i="8" s="1"/>
  <c r="H300" i="8" s="1"/>
  <c r="H301" i="8" s="1"/>
  <c r="H302" i="8" s="1"/>
  <c r="H303" i="8" s="1"/>
  <c r="H304" i="8" s="1"/>
  <c r="H305" i="8" s="1"/>
  <c r="H306" i="8" s="1"/>
  <c r="H307" i="8" s="1"/>
  <c r="H308" i="8" s="1"/>
  <c r="H309" i="8" s="1"/>
  <c r="H310" i="8" s="1"/>
  <c r="H311" i="8" s="1"/>
  <c r="H312" i="8" s="1"/>
  <c r="H313" i="8" s="1"/>
  <c r="H314" i="8" s="1"/>
  <c r="H315" i="8" s="1"/>
  <c r="H316" i="8" s="1"/>
  <c r="H317" i="8" s="1"/>
  <c r="H318" i="8" s="1"/>
  <c r="H319" i="8" s="1"/>
  <c r="H320" i="8" s="1"/>
  <c r="H321" i="8" s="1"/>
  <c r="H322" i="8" s="1"/>
  <c r="H323" i="8" s="1"/>
  <c r="H324" i="8" s="1"/>
  <c r="H325" i="8" s="1"/>
  <c r="H326" i="8" s="1"/>
  <c r="H327" i="8" s="1"/>
  <c r="H328" i="8" s="1"/>
  <c r="H329" i="8" s="1"/>
  <c r="H330" i="8" s="1"/>
  <c r="H331" i="8" s="1"/>
  <c r="H332" i="8" s="1"/>
  <c r="H333" i="8" s="1"/>
  <c r="H334" i="8" s="1"/>
  <c r="H335" i="8" s="1"/>
  <c r="H336" i="8" s="1"/>
  <c r="H337" i="8" s="1"/>
  <c r="H338" i="8" s="1"/>
  <c r="H339" i="8" s="1"/>
  <c r="H340" i="8" s="1"/>
  <c r="H341" i="8" s="1"/>
  <c r="H342" i="8" s="1"/>
  <c r="H343" i="8" s="1"/>
  <c r="H344" i="8" s="1"/>
  <c r="H345" i="8" s="1"/>
  <c r="H346" i="8" s="1"/>
  <c r="H347" i="8" s="1"/>
  <c r="H348" i="8" s="1"/>
  <c r="H349" i="8" s="1"/>
  <c r="H350" i="8" s="1"/>
  <c r="H351" i="8" s="1"/>
  <c r="H352" i="8" s="1"/>
  <c r="H353" i="8" s="1"/>
  <c r="H354" i="8" s="1"/>
  <c r="H355" i="8" s="1"/>
  <c r="H356" i="8" s="1"/>
  <c r="H357" i="8" s="1"/>
  <c r="H358" i="8" s="1"/>
  <c r="H359" i="8" s="1"/>
  <c r="H360" i="8" s="1"/>
  <c r="H361" i="8" s="1"/>
  <c r="H362" i="8" s="1"/>
  <c r="H363" i="8" s="1"/>
  <c r="H364" i="8" s="1"/>
  <c r="H365" i="8" s="1"/>
  <c r="H366" i="8" s="1"/>
  <c r="H367" i="8" s="1"/>
  <c r="H368" i="8" s="1"/>
  <c r="H369" i="8" s="1"/>
  <c r="H370" i="8" s="1"/>
  <c r="H371" i="8" s="1"/>
  <c r="H372" i="8" s="1"/>
  <c r="H373" i="8" s="1"/>
  <c r="H374" i="8" s="1"/>
  <c r="H375" i="8" s="1"/>
  <c r="H376" i="8" s="1"/>
  <c r="H377" i="8" s="1"/>
  <c r="H378" i="8" s="1"/>
  <c r="H379" i="8" s="1"/>
  <c r="H380" i="8" s="1"/>
  <c r="H381" i="8" s="1"/>
  <c r="H382" i="8" s="1"/>
  <c r="H383" i="8" s="1"/>
  <c r="H384" i="8" s="1"/>
  <c r="E18" i="8"/>
  <c r="B18" i="8" s="1"/>
  <c r="D139" i="8" l="1"/>
  <c r="Q139" i="8" s="1"/>
  <c r="M138" i="8"/>
  <c r="C27" i="16"/>
  <c r="L27" i="16" s="1"/>
  <c r="M139" i="8"/>
  <c r="E19" i="8"/>
  <c r="B19" i="8" s="1"/>
  <c r="H385" i="8"/>
  <c r="H386" i="8" s="1"/>
  <c r="H387" i="8" s="1"/>
  <c r="H388" i="8" s="1"/>
  <c r="H389" i="8" s="1"/>
  <c r="H390" i="8" s="1"/>
  <c r="H391" i="8" s="1"/>
  <c r="H392" i="8" s="1"/>
  <c r="H393" i="8" s="1"/>
  <c r="H394" i="8" s="1"/>
  <c r="H395" i="8" s="1"/>
  <c r="H396" i="8" s="1"/>
  <c r="H397" i="8" s="1"/>
  <c r="H398" i="8" s="1"/>
  <c r="H399" i="8" s="1"/>
  <c r="H400" i="8" s="1"/>
  <c r="H401" i="8" s="1"/>
  <c r="H402" i="8" s="1"/>
  <c r="H403" i="8" s="1"/>
  <c r="H404" i="8" s="1"/>
  <c r="H405" i="8" s="1"/>
  <c r="H406" i="8" s="1"/>
  <c r="H407" i="8" s="1"/>
  <c r="H408" i="8" s="1"/>
  <c r="H409" i="8" s="1"/>
  <c r="H410" i="8" s="1"/>
  <c r="H411" i="8" s="1"/>
  <c r="H412" i="8" s="1"/>
  <c r="H413" i="8" s="1"/>
  <c r="H414" i="8" s="1"/>
  <c r="H415" i="8" s="1"/>
  <c r="H416" i="8" s="1"/>
  <c r="H417" i="8" s="1"/>
  <c r="H418" i="8" s="1"/>
  <c r="H419" i="8" s="1"/>
  <c r="H420" i="8" s="1"/>
  <c r="H421" i="8" s="1"/>
  <c r="H422" i="8" s="1"/>
  <c r="H423" i="8" s="1"/>
  <c r="H424" i="8" s="1"/>
  <c r="H425" i="8" s="1"/>
  <c r="H426" i="8" s="1"/>
  <c r="H427" i="8" s="1"/>
  <c r="H428" i="8" s="1"/>
  <c r="H429" i="8" s="1"/>
  <c r="H430" i="8" s="1"/>
  <c r="H431" i="8" s="1"/>
  <c r="H432" i="8" s="1"/>
  <c r="H433" i="8" s="1"/>
  <c r="H434" i="8" s="1"/>
  <c r="H435" i="8" s="1"/>
  <c r="H436" i="8" s="1"/>
  <c r="H437" i="8" s="1"/>
  <c r="H438" i="8" s="1"/>
  <c r="H439" i="8" s="1"/>
  <c r="H440" i="8" s="1"/>
  <c r="H441" i="8" s="1"/>
  <c r="H442" i="8" s="1"/>
  <c r="H443" i="8" s="1"/>
  <c r="H444" i="8" s="1"/>
  <c r="H445" i="8" s="1"/>
  <c r="H446" i="8" s="1"/>
  <c r="H447" i="8" s="1"/>
  <c r="H448" i="8" s="1"/>
  <c r="H449" i="8" s="1"/>
  <c r="H450" i="8" s="1"/>
  <c r="H451" i="8" s="1"/>
  <c r="H452" i="8" s="1"/>
  <c r="H453" i="8" s="1"/>
  <c r="H454" i="8" s="1"/>
  <c r="H455" i="8" s="1"/>
  <c r="H456" i="8" s="1"/>
  <c r="H457" i="8" s="1"/>
  <c r="H458" i="8" s="1"/>
  <c r="H459" i="8" s="1"/>
  <c r="H460" i="8" s="1"/>
  <c r="H461" i="8" s="1"/>
  <c r="H462" i="8" s="1"/>
  <c r="H463" i="8" s="1"/>
  <c r="H464" i="8" s="1"/>
  <c r="H465" i="8" s="1"/>
  <c r="H466" i="8" s="1"/>
  <c r="H467" i="8" s="1"/>
  <c r="H468" i="8" s="1"/>
  <c r="H469" i="8" s="1"/>
  <c r="H470" i="8" s="1"/>
  <c r="H471" i="8" s="1"/>
  <c r="H472" i="8" s="1"/>
  <c r="H473" i="8" s="1"/>
  <c r="H474" i="8" s="1"/>
  <c r="H475" i="8" s="1"/>
  <c r="H476" i="8" s="1"/>
  <c r="H477" i="8" s="1"/>
  <c r="H478" i="8" s="1"/>
  <c r="H479" i="8" s="1"/>
  <c r="H480" i="8" s="1"/>
  <c r="H481" i="8" s="1"/>
  <c r="H482" i="8" s="1"/>
  <c r="H483" i="8" s="1"/>
  <c r="H484" i="8" s="1"/>
  <c r="H485" i="8" s="1"/>
  <c r="H486" i="8" s="1"/>
  <c r="H487" i="8" s="1"/>
  <c r="H488" i="8" s="1"/>
  <c r="H489" i="8" s="1"/>
  <c r="H490" i="8" s="1"/>
  <c r="H491" i="8" s="1"/>
  <c r="H492" i="8" s="1"/>
  <c r="H493" i="8" s="1"/>
  <c r="H494" i="8" s="1"/>
  <c r="H495" i="8" s="1"/>
  <c r="H496" i="8" s="1"/>
  <c r="H497" i="8" s="1"/>
  <c r="H498" i="8" s="1"/>
  <c r="H499" i="8" s="1"/>
  <c r="H500" i="8" s="1"/>
  <c r="H501" i="8" s="1"/>
  <c r="H502" i="8" s="1"/>
  <c r="H503" i="8" s="1"/>
  <c r="H504" i="8" s="1"/>
  <c r="H505" i="8" s="1"/>
  <c r="H506" i="8" s="1"/>
  <c r="H507" i="8" s="1"/>
  <c r="H508" i="8" s="1"/>
  <c r="H509" i="8" s="1"/>
  <c r="H510" i="8" s="1"/>
  <c r="H511" i="8" s="1"/>
  <c r="H512" i="8" s="1"/>
  <c r="H513" i="8" s="1"/>
  <c r="H514" i="8" s="1"/>
  <c r="H515" i="8" s="1"/>
  <c r="H516" i="8" s="1"/>
  <c r="H517" i="8" s="1"/>
  <c r="H518" i="8" s="1"/>
  <c r="H519" i="8" s="1"/>
  <c r="H520" i="8" s="1"/>
  <c r="H521" i="8" s="1"/>
  <c r="H522" i="8" s="1"/>
  <c r="H523" i="8" s="1"/>
  <c r="H524" i="8" s="1"/>
  <c r="H525" i="8" s="1"/>
  <c r="H526" i="8" s="1"/>
  <c r="H527" i="8" s="1"/>
  <c r="H528" i="8" s="1"/>
  <c r="H529" i="8" s="1"/>
  <c r="H530" i="8" s="1"/>
  <c r="H531" i="8" s="1"/>
  <c r="H532" i="8" s="1"/>
  <c r="H533" i="8" s="1"/>
  <c r="H534" i="8" s="1"/>
  <c r="H535" i="8" s="1"/>
  <c r="H536" i="8" s="1"/>
  <c r="H537" i="8" s="1"/>
  <c r="H538" i="8" s="1"/>
  <c r="H539" i="8" s="1"/>
  <c r="H540" i="8" s="1"/>
  <c r="H541" i="8" s="1"/>
  <c r="H542" i="8" s="1"/>
  <c r="H543" i="8" s="1"/>
  <c r="H544" i="8" s="1"/>
  <c r="H545" i="8" s="1"/>
  <c r="H546" i="8" s="1"/>
  <c r="H547" i="8" s="1"/>
  <c r="H548" i="8" s="1"/>
  <c r="H549" i="8" s="1"/>
  <c r="H550" i="8" s="1"/>
  <c r="H551" i="8" s="1"/>
  <c r="H552" i="8" s="1"/>
  <c r="H553" i="8" s="1"/>
  <c r="H554" i="8" s="1"/>
  <c r="H555" i="8" s="1"/>
  <c r="H556" i="8" s="1"/>
  <c r="H557" i="8" s="1"/>
  <c r="H558" i="8" s="1"/>
  <c r="H559" i="8" s="1"/>
  <c r="H560" i="8" s="1"/>
  <c r="H561" i="8" s="1"/>
  <c r="H562" i="8" s="1"/>
  <c r="H563" i="8" s="1"/>
  <c r="H564" i="8" s="1"/>
  <c r="H565" i="8" s="1"/>
  <c r="H566" i="8" s="1"/>
  <c r="H567" i="8" s="1"/>
  <c r="H568" i="8" s="1"/>
  <c r="H569" i="8" s="1"/>
  <c r="H570" i="8" s="1"/>
  <c r="H571" i="8" s="1"/>
  <c r="H572" i="8" s="1"/>
  <c r="H573" i="8" s="1"/>
  <c r="H574" i="8" s="1"/>
  <c r="H575" i="8" s="1"/>
  <c r="H576" i="8" s="1"/>
  <c r="H577" i="8" s="1"/>
  <c r="H578" i="8" s="1"/>
  <c r="H579" i="8" s="1"/>
  <c r="H580" i="8" s="1"/>
  <c r="H581" i="8" s="1"/>
  <c r="H582" i="8" s="1"/>
  <c r="H583" i="8" s="1"/>
  <c r="H584" i="8" s="1"/>
  <c r="H585" i="8" s="1"/>
  <c r="H586" i="8" s="1"/>
  <c r="H587" i="8" s="1"/>
  <c r="H588" i="8" s="1"/>
  <c r="H589" i="8" s="1"/>
  <c r="H590" i="8" s="1"/>
  <c r="H591" i="8" s="1"/>
  <c r="H592" i="8" s="1"/>
  <c r="H593" i="8" s="1"/>
  <c r="H594" i="8" s="1"/>
  <c r="H595" i="8" s="1"/>
  <c r="H596" i="8" s="1"/>
  <c r="H597" i="8" s="1"/>
  <c r="H598" i="8" s="1"/>
  <c r="H599" i="8" s="1"/>
  <c r="H600" i="8" s="1"/>
  <c r="H601" i="8" s="1"/>
  <c r="H602" i="8" s="1"/>
  <c r="H603" i="8" s="1"/>
  <c r="H604" i="8" s="1"/>
  <c r="H605" i="8" s="1"/>
  <c r="H606" i="8" s="1"/>
  <c r="H607" i="8" s="1"/>
  <c r="H608" i="8" s="1"/>
  <c r="H609" i="8" s="1"/>
  <c r="H610" i="8" s="1"/>
  <c r="H611" i="8" s="1"/>
  <c r="H612" i="8" s="1"/>
  <c r="H613" i="8" s="1"/>
  <c r="H614" i="8" s="1"/>
  <c r="H615" i="8" s="1"/>
  <c r="H616" i="8" s="1"/>
  <c r="H617" i="8" s="1"/>
  <c r="H618" i="8" s="1"/>
  <c r="H619" i="8" s="1"/>
  <c r="H620" i="8" s="1"/>
  <c r="H621" i="8" s="1"/>
  <c r="H622" i="8" s="1"/>
  <c r="H623" i="8" s="1"/>
  <c r="H624" i="8" s="1"/>
  <c r="H625" i="8" s="1"/>
  <c r="H626" i="8" s="1"/>
  <c r="H627" i="8" s="1"/>
  <c r="H628" i="8" s="1"/>
  <c r="H629" i="8" s="1"/>
  <c r="H630" i="8" s="1"/>
  <c r="H631" i="8" s="1"/>
  <c r="H632" i="8" s="1"/>
  <c r="H633" i="8" s="1"/>
  <c r="H634" i="8" s="1"/>
  <c r="H635" i="8" s="1"/>
  <c r="H636" i="8" s="1"/>
  <c r="H637" i="8" s="1"/>
  <c r="H638" i="8" s="1"/>
  <c r="H639" i="8" s="1"/>
  <c r="H640" i="8" s="1"/>
  <c r="H641" i="8" s="1"/>
  <c r="H642" i="8" s="1"/>
  <c r="H643" i="8" s="1"/>
  <c r="H644" i="8" s="1"/>
  <c r="H645" i="8" s="1"/>
  <c r="H646" i="8" s="1"/>
  <c r="H647" i="8" s="1"/>
  <c r="H648" i="8" s="1"/>
  <c r="H649" i="8" s="1"/>
  <c r="H650" i="8" s="1"/>
  <c r="H651" i="8" s="1"/>
  <c r="H652" i="8" s="1"/>
  <c r="H653" i="8" s="1"/>
  <c r="H654" i="8" s="1"/>
  <c r="H655" i="8" s="1"/>
  <c r="H656" i="8" s="1"/>
  <c r="H657" i="8" s="1"/>
  <c r="H658" i="8" s="1"/>
  <c r="H659" i="8" s="1"/>
  <c r="H660" i="8" s="1"/>
  <c r="H661" i="8" s="1"/>
  <c r="H662" i="8" s="1"/>
  <c r="H663" i="8" s="1"/>
  <c r="H664" i="8" s="1"/>
  <c r="H665" i="8" s="1"/>
  <c r="H666" i="8" s="1"/>
  <c r="H667" i="8" s="1"/>
  <c r="H668" i="8" s="1"/>
  <c r="H669" i="8" s="1"/>
  <c r="H670" i="8" s="1"/>
  <c r="H671" i="8" s="1"/>
  <c r="H672" i="8" s="1"/>
  <c r="H673" i="8" s="1"/>
  <c r="H674" i="8" s="1"/>
  <c r="H675" i="8" s="1"/>
  <c r="H676" i="8" s="1"/>
  <c r="H677" i="8" s="1"/>
  <c r="H678" i="8" s="1"/>
  <c r="H679" i="8" s="1"/>
  <c r="H680" i="8" s="1"/>
  <c r="H681" i="8" s="1"/>
  <c r="H682" i="8" s="1"/>
  <c r="H683" i="8" s="1"/>
  <c r="H684" i="8" s="1"/>
  <c r="H685" i="8" s="1"/>
  <c r="H686" i="8" s="1"/>
  <c r="H687" i="8" s="1"/>
  <c r="H688" i="8" s="1"/>
  <c r="H689" i="8" s="1"/>
  <c r="H690" i="8" s="1"/>
  <c r="H691" i="8" s="1"/>
  <c r="H692" i="8" s="1"/>
  <c r="H693" i="8" s="1"/>
  <c r="H694" i="8" s="1"/>
  <c r="H695" i="8" s="1"/>
  <c r="H696" i="8" s="1"/>
  <c r="H697" i="8" s="1"/>
  <c r="H698" i="8" s="1"/>
  <c r="H699" i="8" s="1"/>
  <c r="H700" i="8" s="1"/>
  <c r="H701" i="8" s="1"/>
  <c r="H702" i="8" s="1"/>
  <c r="H703" i="8" s="1"/>
  <c r="H704" i="8" s="1"/>
  <c r="H705" i="8" s="1"/>
  <c r="H706" i="8" s="1"/>
  <c r="H707" i="8" s="1"/>
  <c r="H708" i="8" s="1"/>
  <c r="H709" i="8" s="1"/>
  <c r="H710" i="8" s="1"/>
  <c r="H711" i="8" s="1"/>
  <c r="H712" i="8" s="1"/>
  <c r="H713" i="8" s="1"/>
  <c r="H714" i="8" s="1"/>
  <c r="H715" i="8" s="1"/>
  <c r="H716" i="8" s="1"/>
  <c r="H717" i="8" s="1"/>
  <c r="H718" i="8" s="1"/>
  <c r="H719" i="8" s="1"/>
  <c r="H720" i="8" s="1"/>
  <c r="H721" i="8" s="1"/>
  <c r="H722" i="8" s="1"/>
  <c r="H723" i="8" s="1"/>
  <c r="H724" i="8" s="1"/>
  <c r="H725" i="8" s="1"/>
  <c r="H726" i="8" s="1"/>
  <c r="H727" i="8" s="1"/>
  <c r="H728" i="8" s="1"/>
  <c r="H729" i="8" s="1"/>
  <c r="H730" i="8" s="1"/>
  <c r="H731" i="8" s="1"/>
  <c r="H732" i="8" s="1"/>
  <c r="H733" i="8" s="1"/>
  <c r="H734" i="8" s="1"/>
  <c r="H735" i="8" s="1"/>
  <c r="H736" i="8" s="1"/>
  <c r="H737" i="8" s="1"/>
  <c r="H738" i="8" s="1"/>
  <c r="H739" i="8" s="1"/>
  <c r="H740" i="8" s="1"/>
  <c r="H741" i="8" s="1"/>
  <c r="H742" i="8" s="1"/>
  <c r="H743" i="8" s="1"/>
  <c r="H744" i="8" s="1"/>
  <c r="H745" i="8" s="1"/>
  <c r="H746" i="8" s="1"/>
  <c r="H747" i="8" s="1"/>
  <c r="H748" i="8" s="1"/>
  <c r="H749" i="8" s="1"/>
  <c r="H750" i="8" s="1"/>
  <c r="D33" i="4"/>
  <c r="D140" i="8" l="1"/>
  <c r="Q140" i="8" s="1"/>
  <c r="C28" i="16"/>
  <c r="E20" i="8"/>
  <c r="B20" i="8" s="1"/>
  <c r="D34" i="4"/>
  <c r="M140" i="8" l="1"/>
  <c r="L28" i="16"/>
  <c r="D141" i="8"/>
  <c r="Q141" i="8" s="1"/>
  <c r="C29" i="16"/>
  <c r="L29" i="16" s="1"/>
  <c r="E21" i="8"/>
  <c r="B21" i="8" s="1"/>
  <c r="D35" i="4"/>
  <c r="D142" i="8" l="1"/>
  <c r="Q142" i="8" s="1"/>
  <c r="M141" i="8"/>
  <c r="C30" i="16"/>
  <c r="L30" i="16" s="1"/>
  <c r="E22" i="8"/>
  <c r="E23" i="8" s="1"/>
  <c r="D143" i="8"/>
  <c r="Q143" i="8" s="1"/>
  <c r="D36" i="4"/>
  <c r="M142" i="8" l="1"/>
  <c r="B22" i="8"/>
  <c r="B23" i="8" s="1"/>
  <c r="C31" i="16"/>
  <c r="L31" i="16" s="1"/>
  <c r="D144" i="8"/>
  <c r="Q144" i="8" s="1"/>
  <c r="M143" i="8"/>
  <c r="D37" i="4"/>
  <c r="E24" i="8"/>
  <c r="B24" i="8" l="1"/>
  <c r="C32" i="16"/>
  <c r="L32" i="16" s="1"/>
  <c r="D145" i="8"/>
  <c r="Q145" i="8" s="1"/>
  <c r="M144" i="8"/>
  <c r="D38" i="4"/>
  <c r="E25" i="8"/>
  <c r="B25" i="8" l="1"/>
  <c r="C33" i="16"/>
  <c r="L33" i="16" s="1"/>
  <c r="D146" i="8"/>
  <c r="Q146" i="8" s="1"/>
  <c r="M145" i="8"/>
  <c r="D39" i="4"/>
  <c r="E26" i="8"/>
  <c r="B26" i="8" l="1"/>
  <c r="C34" i="16"/>
  <c r="D147" i="8"/>
  <c r="Q147" i="8" s="1"/>
  <c r="M146" i="8"/>
  <c r="D40" i="4"/>
  <c r="E27" i="8"/>
  <c r="L34" i="16" l="1"/>
  <c r="B27" i="8"/>
  <c r="C35" i="16"/>
  <c r="L35" i="16" s="1"/>
  <c r="D148" i="8"/>
  <c r="Q148" i="8" s="1"/>
  <c r="M147" i="8"/>
  <c r="E28" i="8"/>
  <c r="B28" i="8" l="1"/>
  <c r="C36" i="16"/>
  <c r="L36" i="16" s="1"/>
  <c r="D149" i="8"/>
  <c r="Q149" i="8" s="1"/>
  <c r="M148" i="8"/>
  <c r="E29" i="8"/>
  <c r="B29" i="8" s="1"/>
  <c r="C37" i="16" l="1"/>
  <c r="D150" i="8"/>
  <c r="Q150" i="8" s="1"/>
  <c r="M149" i="8"/>
  <c r="E30" i="8"/>
  <c r="B30" i="8" s="1"/>
  <c r="L37" i="16" l="1"/>
  <c r="C38" i="16"/>
  <c r="L38" i="16" s="1"/>
  <c r="D151" i="8"/>
  <c r="Q151" i="8" s="1"/>
  <c r="M150" i="8"/>
  <c r="E31" i="8"/>
  <c r="B31" i="8" s="1"/>
  <c r="C39" i="16" l="1"/>
  <c r="D152" i="8"/>
  <c r="Q152" i="8" s="1"/>
  <c r="M151" i="8"/>
  <c r="E32" i="8"/>
  <c r="B32" i="8" s="1"/>
  <c r="L39" i="16" l="1"/>
  <c r="C40" i="16"/>
  <c r="J6" i="8" s="1"/>
  <c r="R9" i="8" s="1"/>
  <c r="D153" i="8"/>
  <c r="Q153" i="8" s="1"/>
  <c r="M152" i="8"/>
  <c r="E33" i="8"/>
  <c r="B33" i="8" s="1"/>
  <c r="L40" i="16" l="1"/>
  <c r="D154" i="8"/>
  <c r="Q154" i="8" s="1"/>
  <c r="M153" i="8"/>
  <c r="E34" i="8"/>
  <c r="B34" i="8" s="1"/>
  <c r="D155" i="8" l="1"/>
  <c r="Q155" i="8" s="1"/>
  <c r="M154" i="8"/>
  <c r="E35" i="8"/>
  <c r="B35" i="8" s="1"/>
  <c r="D156" i="8" l="1"/>
  <c r="Q156" i="8" s="1"/>
  <c r="M155" i="8"/>
  <c r="E36" i="8"/>
  <c r="B36" i="8" s="1"/>
  <c r="D157" i="8" l="1"/>
  <c r="Q157" i="8" s="1"/>
  <c r="M156" i="8"/>
  <c r="E37" i="8"/>
  <c r="B37" i="8" s="1"/>
  <c r="D158" i="8" l="1"/>
  <c r="Q158" i="8" s="1"/>
  <c r="M157" i="8"/>
  <c r="E38" i="8"/>
  <c r="B38" i="8" s="1"/>
  <c r="D159" i="8" l="1"/>
  <c r="Q159" i="8" s="1"/>
  <c r="M158" i="8"/>
  <c r="E39" i="8"/>
  <c r="B39" i="8" s="1"/>
  <c r="D160" i="8" l="1"/>
  <c r="Q160" i="8" s="1"/>
  <c r="M159" i="8"/>
  <c r="E40" i="8"/>
  <c r="B40" i="8" s="1"/>
  <c r="D161" i="8" l="1"/>
  <c r="Q161" i="8" s="1"/>
  <c r="M160" i="8"/>
  <c r="E41" i="8"/>
  <c r="B41" i="8" s="1"/>
  <c r="D162" i="8" l="1"/>
  <c r="Q162" i="8" s="1"/>
  <c r="M161" i="8"/>
  <c r="E42" i="8"/>
  <c r="B42" i="8" s="1"/>
  <c r="D163" i="8" l="1"/>
  <c r="Q163" i="8" s="1"/>
  <c r="M162" i="8"/>
  <c r="E43" i="8"/>
  <c r="B43" i="8" s="1"/>
  <c r="D164" i="8" l="1"/>
  <c r="Q164" i="8" s="1"/>
  <c r="M163" i="8"/>
  <c r="E44" i="8"/>
  <c r="B44" i="8" s="1"/>
  <c r="D165" i="8" l="1"/>
  <c r="Q165" i="8" s="1"/>
  <c r="M164" i="8"/>
  <c r="E45" i="8"/>
  <c r="B45" i="8" s="1"/>
  <c r="D166" i="8" l="1"/>
  <c r="Q166" i="8" s="1"/>
  <c r="M165" i="8"/>
  <c r="E46" i="8"/>
  <c r="B46" i="8" s="1"/>
  <c r="D167" i="8" l="1"/>
  <c r="Q167" i="8" s="1"/>
  <c r="M166" i="8"/>
  <c r="E47" i="8"/>
  <c r="B47" i="8" s="1"/>
  <c r="D168" i="8" l="1"/>
  <c r="Q168" i="8" s="1"/>
  <c r="M167" i="8"/>
  <c r="E48" i="8"/>
  <c r="B48" i="8" s="1"/>
  <c r="D169" i="8" l="1"/>
  <c r="Q169" i="8" s="1"/>
  <c r="M168" i="8"/>
  <c r="E49" i="8"/>
  <c r="B49" i="8" s="1"/>
  <c r="D170" i="8" l="1"/>
  <c r="Q170" i="8" s="1"/>
  <c r="M169" i="8"/>
  <c r="E50" i="8"/>
  <c r="B50" i="8" s="1"/>
  <c r="D171" i="8" l="1"/>
  <c r="Q171" i="8" s="1"/>
  <c r="M170" i="8"/>
  <c r="E51" i="8"/>
  <c r="B51" i="8" s="1"/>
  <c r="D172" i="8" l="1"/>
  <c r="Q172" i="8" s="1"/>
  <c r="M171" i="8"/>
  <c r="E52" i="8"/>
  <c r="B52" i="8" s="1"/>
  <c r="D173" i="8" l="1"/>
  <c r="Q173" i="8" s="1"/>
  <c r="M172" i="8"/>
  <c r="E53" i="8"/>
  <c r="B53" i="8" s="1"/>
  <c r="D174" i="8" l="1"/>
  <c r="Q174" i="8" s="1"/>
  <c r="M173" i="8"/>
  <c r="E54" i="8"/>
  <c r="B54" i="8" s="1"/>
  <c r="D175" i="8" l="1"/>
  <c r="Q175" i="8" s="1"/>
  <c r="M174" i="8"/>
  <c r="E55" i="8"/>
  <c r="B55" i="8" s="1"/>
  <c r="D176" i="8" l="1"/>
  <c r="Q176" i="8" s="1"/>
  <c r="M175" i="8"/>
  <c r="E56" i="8"/>
  <c r="B56" i="8" s="1"/>
  <c r="D177" i="8" l="1"/>
  <c r="Q177" i="8" s="1"/>
  <c r="M176" i="8"/>
  <c r="E57" i="8"/>
  <c r="B57" i="8" s="1"/>
  <c r="D178" i="8" l="1"/>
  <c r="Q178" i="8" s="1"/>
  <c r="M177" i="8"/>
  <c r="E58" i="8"/>
  <c r="B58" i="8" s="1"/>
  <c r="D179" i="8" l="1"/>
  <c r="Q179" i="8" s="1"/>
  <c r="M178" i="8"/>
  <c r="E59" i="8"/>
  <c r="B59" i="8" s="1"/>
  <c r="D180" i="8" l="1"/>
  <c r="Q180" i="8" s="1"/>
  <c r="M179" i="8"/>
  <c r="E60" i="8"/>
  <c r="B60" i="8" s="1"/>
  <c r="D181" i="8" l="1"/>
  <c r="Q181" i="8" s="1"/>
  <c r="M180" i="8"/>
  <c r="E61" i="8"/>
  <c r="B61" i="8" s="1"/>
  <c r="D182" i="8" l="1"/>
  <c r="Q182" i="8" s="1"/>
  <c r="M181" i="8"/>
  <c r="E62" i="8"/>
  <c r="B62" i="8" s="1"/>
  <c r="D183" i="8" l="1"/>
  <c r="Q183" i="8" s="1"/>
  <c r="M182" i="8"/>
  <c r="E63" i="8"/>
  <c r="B63" i="8" s="1"/>
  <c r="D184" i="8" l="1"/>
  <c r="Q184" i="8" s="1"/>
  <c r="M183" i="8"/>
  <c r="E64" i="8"/>
  <c r="B64" i="8" s="1"/>
  <c r="D185" i="8" l="1"/>
  <c r="Q185" i="8" s="1"/>
  <c r="M184" i="8"/>
  <c r="E65" i="8"/>
  <c r="B65" i="8" s="1"/>
  <c r="D186" i="8" l="1"/>
  <c r="Q186" i="8" s="1"/>
  <c r="M185" i="8"/>
  <c r="E66" i="8"/>
  <c r="B66" i="8" s="1"/>
  <c r="D187" i="8" l="1"/>
  <c r="Q187" i="8" s="1"/>
  <c r="M186" i="8"/>
  <c r="E67" i="8"/>
  <c r="B67" i="8" s="1"/>
  <c r="D188" i="8" l="1"/>
  <c r="Q188" i="8" s="1"/>
  <c r="M187" i="8"/>
  <c r="E68" i="8"/>
  <c r="B68" i="8" s="1"/>
  <c r="D189" i="8" l="1"/>
  <c r="Q189" i="8" s="1"/>
  <c r="M188" i="8"/>
  <c r="E69" i="8"/>
  <c r="B69" i="8" s="1"/>
  <c r="D190" i="8" l="1"/>
  <c r="Q190" i="8" s="1"/>
  <c r="M189" i="8"/>
  <c r="E70" i="8"/>
  <c r="B70" i="8" s="1"/>
  <c r="D191" i="8" l="1"/>
  <c r="Q191" i="8" s="1"/>
  <c r="M190" i="8"/>
  <c r="E71" i="8"/>
  <c r="B71" i="8" s="1"/>
  <c r="D192" i="8" l="1"/>
  <c r="Q192" i="8" s="1"/>
  <c r="M191" i="8"/>
  <c r="E72" i="8"/>
  <c r="B72" i="8" s="1"/>
  <c r="D193" i="8" l="1"/>
  <c r="Q193" i="8" s="1"/>
  <c r="M192" i="8"/>
  <c r="E73" i="8"/>
  <c r="B73" i="8" s="1"/>
  <c r="D194" i="8" l="1"/>
  <c r="Q194" i="8" s="1"/>
  <c r="M193" i="8"/>
  <c r="E74" i="8"/>
  <c r="B74" i="8" s="1"/>
  <c r="D195" i="8" l="1"/>
  <c r="Q195" i="8" s="1"/>
  <c r="M194" i="8"/>
  <c r="E75" i="8"/>
  <c r="B75" i="8" s="1"/>
  <c r="D196" i="8" l="1"/>
  <c r="Q196" i="8" s="1"/>
  <c r="M195" i="8"/>
  <c r="E76" i="8"/>
  <c r="B76" i="8" s="1"/>
  <c r="D197" i="8" l="1"/>
  <c r="Q197" i="8" s="1"/>
  <c r="M196" i="8"/>
  <c r="E77" i="8"/>
  <c r="B77" i="8" s="1"/>
  <c r="D198" i="8" l="1"/>
  <c r="Q198" i="8" s="1"/>
  <c r="M197" i="8"/>
  <c r="E78" i="8"/>
  <c r="B78" i="8" s="1"/>
  <c r="D199" i="8" l="1"/>
  <c r="Q199" i="8" s="1"/>
  <c r="M198" i="8"/>
  <c r="E79" i="8"/>
  <c r="B79" i="8" s="1"/>
  <c r="D200" i="8" l="1"/>
  <c r="Q200" i="8" s="1"/>
  <c r="M199" i="8"/>
  <c r="E80" i="8"/>
  <c r="B80" i="8" s="1"/>
  <c r="D201" i="8" l="1"/>
  <c r="Q201" i="8" s="1"/>
  <c r="M200" i="8"/>
  <c r="E81" i="8"/>
  <c r="B81" i="8" s="1"/>
  <c r="D202" i="8" l="1"/>
  <c r="Q202" i="8" s="1"/>
  <c r="M201" i="8"/>
  <c r="E82" i="8"/>
  <c r="B82" i="8" s="1"/>
  <c r="D203" i="8" l="1"/>
  <c r="Q203" i="8" s="1"/>
  <c r="M202" i="8"/>
  <c r="E83" i="8"/>
  <c r="B83" i="8" s="1"/>
  <c r="D204" i="8" l="1"/>
  <c r="Q204" i="8" s="1"/>
  <c r="M203" i="8"/>
  <c r="E84" i="8"/>
  <c r="B84" i="8" s="1"/>
  <c r="D205" i="8" l="1"/>
  <c r="Q205" i="8" s="1"/>
  <c r="M204" i="8"/>
  <c r="E85" i="8"/>
  <c r="B85" i="8" s="1"/>
  <c r="D206" i="8" l="1"/>
  <c r="Q206" i="8" s="1"/>
  <c r="M205" i="8"/>
  <c r="E86" i="8"/>
  <c r="B86" i="8" s="1"/>
  <c r="D207" i="8" l="1"/>
  <c r="Q207" i="8" s="1"/>
  <c r="M206" i="8"/>
  <c r="E87" i="8"/>
  <c r="B87" i="8" s="1"/>
  <c r="D208" i="8" l="1"/>
  <c r="Q208" i="8" s="1"/>
  <c r="M207" i="8"/>
  <c r="E88" i="8"/>
  <c r="B88" i="8" s="1"/>
  <c r="D209" i="8" l="1"/>
  <c r="Q209" i="8" s="1"/>
  <c r="M208" i="8"/>
  <c r="E89" i="8"/>
  <c r="B89" i="8" s="1"/>
  <c r="D210" i="8" l="1"/>
  <c r="Q210" i="8" s="1"/>
  <c r="M209" i="8"/>
  <c r="E90" i="8"/>
  <c r="B90" i="8" s="1"/>
  <c r="D211" i="8" l="1"/>
  <c r="Q211" i="8" s="1"/>
  <c r="M210" i="8"/>
  <c r="E91" i="8"/>
  <c r="B91" i="8" s="1"/>
  <c r="D212" i="8" l="1"/>
  <c r="Q212" i="8" s="1"/>
  <c r="M211" i="8"/>
  <c r="E92" i="8"/>
  <c r="B92" i="8" s="1"/>
  <c r="D213" i="8" l="1"/>
  <c r="Q213" i="8" s="1"/>
  <c r="M212" i="8"/>
  <c r="E93" i="8"/>
  <c r="B93" i="8" s="1"/>
  <c r="D214" i="8" l="1"/>
  <c r="Q214" i="8" s="1"/>
  <c r="M213" i="8"/>
  <c r="E94" i="8"/>
  <c r="B94" i="8" s="1"/>
  <c r="D215" i="8" l="1"/>
  <c r="Q215" i="8" s="1"/>
  <c r="M214" i="8"/>
  <c r="E95" i="8"/>
  <c r="B95" i="8" s="1"/>
  <c r="D216" i="8" l="1"/>
  <c r="Q216" i="8" s="1"/>
  <c r="M215" i="8"/>
  <c r="E96" i="8"/>
  <c r="B96" i="8" s="1"/>
  <c r="D217" i="8" l="1"/>
  <c r="Q217" i="8" s="1"/>
  <c r="M216" i="8"/>
  <c r="E97" i="8"/>
  <c r="B97" i="8" s="1"/>
  <c r="D218" i="8" l="1"/>
  <c r="Q218" i="8" s="1"/>
  <c r="M217" i="8"/>
  <c r="E98" i="8"/>
  <c r="B98" i="8" s="1"/>
  <c r="D219" i="8" l="1"/>
  <c r="Q219" i="8" s="1"/>
  <c r="M218" i="8"/>
  <c r="E99" i="8"/>
  <c r="B99" i="8" s="1"/>
  <c r="D220" i="8" l="1"/>
  <c r="Q220" i="8" s="1"/>
  <c r="M219" i="8"/>
  <c r="E100" i="8"/>
  <c r="B100" i="8" s="1"/>
  <c r="D221" i="8" l="1"/>
  <c r="Q221" i="8" s="1"/>
  <c r="M220" i="8"/>
  <c r="E101" i="8"/>
  <c r="B101" i="8" s="1"/>
  <c r="D222" i="8" l="1"/>
  <c r="Q222" i="8" s="1"/>
  <c r="M221" i="8"/>
  <c r="E102" i="8"/>
  <c r="B102" i="8" s="1"/>
  <c r="D223" i="8" l="1"/>
  <c r="Q223" i="8" s="1"/>
  <c r="M222" i="8"/>
  <c r="E103" i="8"/>
  <c r="B103" i="8" s="1"/>
  <c r="D224" i="8" l="1"/>
  <c r="Q224" i="8" s="1"/>
  <c r="M223" i="8"/>
  <c r="E104" i="8"/>
  <c r="B104" i="8" s="1"/>
  <c r="D225" i="8" l="1"/>
  <c r="Q225" i="8" s="1"/>
  <c r="M224" i="8"/>
  <c r="E105" i="8"/>
  <c r="B105" i="8" s="1"/>
  <c r="D226" i="8" l="1"/>
  <c r="Q226" i="8" s="1"/>
  <c r="M225" i="8"/>
  <c r="E106" i="8"/>
  <c r="B106" i="8" s="1"/>
  <c r="D227" i="8" l="1"/>
  <c r="Q227" i="8" s="1"/>
  <c r="M226" i="8"/>
  <c r="E107" i="8"/>
  <c r="B107" i="8" s="1"/>
  <c r="D228" i="8" l="1"/>
  <c r="Q228" i="8" s="1"/>
  <c r="M227" i="8"/>
  <c r="E108" i="8"/>
  <c r="B108" i="8" s="1"/>
  <c r="D229" i="8" l="1"/>
  <c r="Q229" i="8" s="1"/>
  <c r="M228" i="8"/>
  <c r="E109" i="8"/>
  <c r="B109" i="8" s="1"/>
  <c r="D230" i="8" l="1"/>
  <c r="Q230" i="8" s="1"/>
  <c r="M229" i="8"/>
  <c r="E110" i="8"/>
  <c r="B110" i="8" s="1"/>
  <c r="D231" i="8" l="1"/>
  <c r="Q231" i="8" s="1"/>
  <c r="M230" i="8"/>
  <c r="E111" i="8"/>
  <c r="B111" i="8" s="1"/>
  <c r="D232" i="8" l="1"/>
  <c r="Q232" i="8" s="1"/>
  <c r="M231" i="8"/>
  <c r="E112" i="8"/>
  <c r="B112" i="8" s="1"/>
  <c r="D233" i="8" l="1"/>
  <c r="Q233" i="8" s="1"/>
  <c r="M232" i="8"/>
  <c r="E113" i="8"/>
  <c r="B113" i="8" s="1"/>
  <c r="D234" i="8" l="1"/>
  <c r="Q234" i="8" s="1"/>
  <c r="M233" i="8"/>
  <c r="E114" i="8"/>
  <c r="B114" i="8" s="1"/>
  <c r="D235" i="8" l="1"/>
  <c r="Q235" i="8" s="1"/>
  <c r="M234" i="8"/>
  <c r="E115" i="8"/>
  <c r="B115" i="8" s="1"/>
  <c r="D236" i="8" l="1"/>
  <c r="Q236" i="8" s="1"/>
  <c r="M235" i="8"/>
  <c r="E116" i="8"/>
  <c r="B116" i="8" s="1"/>
  <c r="D237" i="8" l="1"/>
  <c r="Q237" i="8" s="1"/>
  <c r="M236" i="8"/>
  <c r="E117" i="8"/>
  <c r="B117" i="8" s="1"/>
  <c r="D238" i="8" l="1"/>
  <c r="Q238" i="8" s="1"/>
  <c r="M237" i="8"/>
  <c r="E118" i="8"/>
  <c r="B118" i="8" s="1"/>
  <c r="D239" i="8" l="1"/>
  <c r="Q239" i="8" s="1"/>
  <c r="M238" i="8"/>
  <c r="E119" i="8"/>
  <c r="B119" i="8" s="1"/>
  <c r="D240" i="8" l="1"/>
  <c r="Q240" i="8" s="1"/>
  <c r="M239" i="8"/>
  <c r="E120" i="8"/>
  <c r="B120" i="8" s="1"/>
  <c r="D241" i="8" l="1"/>
  <c r="Q241" i="8" s="1"/>
  <c r="M240" i="8"/>
  <c r="E121" i="8"/>
  <c r="B121" i="8" s="1"/>
  <c r="D242" i="8" l="1"/>
  <c r="Q242" i="8" s="1"/>
  <c r="M241" i="8"/>
  <c r="E122" i="8"/>
  <c r="B122" i="8" s="1"/>
  <c r="D243" i="8" l="1"/>
  <c r="Q243" i="8" s="1"/>
  <c r="M242" i="8"/>
  <c r="E123" i="8"/>
  <c r="B123" i="8" s="1"/>
  <c r="D244" i="8" l="1"/>
  <c r="Q244" i="8" s="1"/>
  <c r="M243" i="8"/>
  <c r="E124" i="8"/>
  <c r="B124" i="8" s="1"/>
  <c r="D245" i="8" l="1"/>
  <c r="Q245" i="8" s="1"/>
  <c r="M244" i="8"/>
  <c r="E125" i="8"/>
  <c r="B125" i="8" s="1"/>
  <c r="D246" i="8" l="1"/>
  <c r="Q246" i="8" s="1"/>
  <c r="M245" i="8"/>
  <c r="E126" i="8"/>
  <c r="B126" i="8" s="1"/>
  <c r="D247" i="8" l="1"/>
  <c r="Q247" i="8" s="1"/>
  <c r="M246" i="8"/>
  <c r="E127" i="8"/>
  <c r="B127" i="8" s="1"/>
  <c r="D248" i="8" l="1"/>
  <c r="Q248" i="8" s="1"/>
  <c r="M247" i="8"/>
  <c r="E128" i="8"/>
  <c r="B128" i="8" s="1"/>
  <c r="D249" i="8" l="1"/>
  <c r="Q249" i="8" s="1"/>
  <c r="M248" i="8"/>
  <c r="E129" i="8"/>
  <c r="B129" i="8" s="1"/>
  <c r="D250" i="8" l="1"/>
  <c r="Q250" i="8" s="1"/>
  <c r="M249" i="8"/>
  <c r="E130" i="8"/>
  <c r="B130" i="8" s="1"/>
  <c r="D251" i="8" l="1"/>
  <c r="Q251" i="8" s="1"/>
  <c r="M250" i="8"/>
  <c r="E131" i="8"/>
  <c r="B131" i="8" s="1"/>
  <c r="D252" i="8" l="1"/>
  <c r="Q252" i="8" s="1"/>
  <c r="M251" i="8"/>
  <c r="E132" i="8"/>
  <c r="B132" i="8" s="1"/>
  <c r="D253" i="8" l="1"/>
  <c r="Q253" i="8" s="1"/>
  <c r="M252" i="8"/>
  <c r="E133" i="8"/>
  <c r="B133" i="8" s="1"/>
  <c r="D254" i="8" l="1"/>
  <c r="Q254" i="8" s="1"/>
  <c r="M253" i="8"/>
  <c r="E134" i="8"/>
  <c r="B134" i="8" s="1"/>
  <c r="D255" i="8" l="1"/>
  <c r="Q255" i="8" s="1"/>
  <c r="M254" i="8"/>
  <c r="E135" i="8"/>
  <c r="B135" i="8" s="1"/>
  <c r="D256" i="8" l="1"/>
  <c r="Q256" i="8" s="1"/>
  <c r="M255" i="8"/>
  <c r="E136" i="8"/>
  <c r="B136" i="8" s="1"/>
  <c r="D257" i="8" l="1"/>
  <c r="Q257" i="8" s="1"/>
  <c r="M256" i="8"/>
  <c r="E137" i="8"/>
  <c r="B137" i="8" s="1"/>
  <c r="D258" i="8" l="1"/>
  <c r="Q258" i="8" s="1"/>
  <c r="M257" i="8"/>
  <c r="E138" i="8"/>
  <c r="B138" i="8" s="1"/>
  <c r="D259" i="8" l="1"/>
  <c r="Q259" i="8" s="1"/>
  <c r="M258" i="8"/>
  <c r="E139" i="8"/>
  <c r="B139" i="8" s="1"/>
  <c r="D260" i="8" l="1"/>
  <c r="Q260" i="8" s="1"/>
  <c r="M259" i="8"/>
  <c r="E140" i="8"/>
  <c r="B140" i="8" s="1"/>
  <c r="D261" i="8" l="1"/>
  <c r="Q261" i="8" s="1"/>
  <c r="M260" i="8"/>
  <c r="E141" i="8"/>
  <c r="B141" i="8" s="1"/>
  <c r="D262" i="8" l="1"/>
  <c r="Q262" i="8" s="1"/>
  <c r="M261" i="8"/>
  <c r="E142" i="8"/>
  <c r="B142" i="8" s="1"/>
  <c r="D263" i="8" l="1"/>
  <c r="Q263" i="8" s="1"/>
  <c r="M262" i="8"/>
  <c r="E143" i="8"/>
  <c r="B143" i="8" s="1"/>
  <c r="D264" i="8" l="1"/>
  <c r="Q264" i="8" s="1"/>
  <c r="M263" i="8"/>
  <c r="E144" i="8"/>
  <c r="B144" i="8" s="1"/>
  <c r="D265" i="8" l="1"/>
  <c r="Q265" i="8" s="1"/>
  <c r="M264" i="8"/>
  <c r="E145" i="8"/>
  <c r="B145" i="8" s="1"/>
  <c r="D266" i="8" l="1"/>
  <c r="Q266" i="8" s="1"/>
  <c r="M265" i="8"/>
  <c r="E146" i="8"/>
  <c r="B146" i="8" s="1"/>
  <c r="D267" i="8" l="1"/>
  <c r="Q267" i="8" s="1"/>
  <c r="M266" i="8"/>
  <c r="E147" i="8"/>
  <c r="B147" i="8" s="1"/>
  <c r="D268" i="8" l="1"/>
  <c r="Q268" i="8" s="1"/>
  <c r="M267" i="8"/>
  <c r="E148" i="8"/>
  <c r="B148" i="8" s="1"/>
  <c r="D269" i="8" l="1"/>
  <c r="Q269" i="8" s="1"/>
  <c r="M268" i="8"/>
  <c r="E149" i="8"/>
  <c r="B149" i="8" s="1"/>
  <c r="D270" i="8" l="1"/>
  <c r="Q270" i="8" s="1"/>
  <c r="M269" i="8"/>
  <c r="E150" i="8"/>
  <c r="B150" i="8" s="1"/>
  <c r="D271" i="8" l="1"/>
  <c r="Q271" i="8" s="1"/>
  <c r="M270" i="8"/>
  <c r="E151" i="8"/>
  <c r="B151" i="8" s="1"/>
  <c r="D272" i="8" l="1"/>
  <c r="Q272" i="8" s="1"/>
  <c r="M271" i="8"/>
  <c r="E152" i="8"/>
  <c r="B152" i="8" s="1"/>
  <c r="D273" i="8" l="1"/>
  <c r="Q273" i="8" s="1"/>
  <c r="M272" i="8"/>
  <c r="E153" i="8"/>
  <c r="B153" i="8" s="1"/>
  <c r="D274" i="8" l="1"/>
  <c r="Q274" i="8" s="1"/>
  <c r="M273" i="8"/>
  <c r="E154" i="8"/>
  <c r="B154" i="8" s="1"/>
  <c r="D275" i="8" l="1"/>
  <c r="Q275" i="8" s="1"/>
  <c r="M274" i="8"/>
  <c r="E155" i="8"/>
  <c r="B155" i="8" s="1"/>
  <c r="D276" i="8" l="1"/>
  <c r="Q276" i="8" s="1"/>
  <c r="M275" i="8"/>
  <c r="E156" i="8"/>
  <c r="B156" i="8" s="1"/>
  <c r="D277" i="8" l="1"/>
  <c r="Q277" i="8" s="1"/>
  <c r="M276" i="8"/>
  <c r="E157" i="8"/>
  <c r="B157" i="8" s="1"/>
  <c r="D278" i="8" l="1"/>
  <c r="Q278" i="8" s="1"/>
  <c r="M277" i="8"/>
  <c r="E158" i="8"/>
  <c r="B158" i="8" s="1"/>
  <c r="D279" i="8" l="1"/>
  <c r="Q279" i="8" s="1"/>
  <c r="M278" i="8"/>
  <c r="E159" i="8"/>
  <c r="B159" i="8" s="1"/>
  <c r="D280" i="8" l="1"/>
  <c r="Q280" i="8" s="1"/>
  <c r="M279" i="8"/>
  <c r="E160" i="8"/>
  <c r="B160" i="8" s="1"/>
  <c r="D281" i="8" l="1"/>
  <c r="Q281" i="8" s="1"/>
  <c r="M280" i="8"/>
  <c r="E161" i="8"/>
  <c r="B161" i="8" s="1"/>
  <c r="D282" i="8" l="1"/>
  <c r="Q282" i="8" s="1"/>
  <c r="M281" i="8"/>
  <c r="E162" i="8"/>
  <c r="B162" i="8" s="1"/>
  <c r="D283" i="8" l="1"/>
  <c r="Q283" i="8" s="1"/>
  <c r="M282" i="8"/>
  <c r="E163" i="8"/>
  <c r="B163" i="8" s="1"/>
  <c r="D284" i="8" l="1"/>
  <c r="Q284" i="8" s="1"/>
  <c r="M283" i="8"/>
  <c r="E164" i="8"/>
  <c r="B164" i="8" s="1"/>
  <c r="D285" i="8" l="1"/>
  <c r="Q285" i="8" s="1"/>
  <c r="M284" i="8"/>
  <c r="E165" i="8"/>
  <c r="B165" i="8" s="1"/>
  <c r="D286" i="8" l="1"/>
  <c r="Q286" i="8" s="1"/>
  <c r="M285" i="8"/>
  <c r="E166" i="8"/>
  <c r="B166" i="8" s="1"/>
  <c r="D287" i="8" l="1"/>
  <c r="Q287" i="8" s="1"/>
  <c r="M286" i="8"/>
  <c r="E167" i="8"/>
  <c r="B167" i="8" s="1"/>
  <c r="D288" i="8" l="1"/>
  <c r="Q288" i="8" s="1"/>
  <c r="M287" i="8"/>
  <c r="E168" i="8"/>
  <c r="B168" i="8" s="1"/>
  <c r="D289" i="8" l="1"/>
  <c r="Q289" i="8" s="1"/>
  <c r="M288" i="8"/>
  <c r="E169" i="8"/>
  <c r="B169" i="8" s="1"/>
  <c r="D290" i="8" l="1"/>
  <c r="Q290" i="8" s="1"/>
  <c r="M289" i="8"/>
  <c r="E170" i="8"/>
  <c r="B170" i="8" s="1"/>
  <c r="D291" i="8" l="1"/>
  <c r="Q291" i="8" s="1"/>
  <c r="M290" i="8"/>
  <c r="E171" i="8"/>
  <c r="B171" i="8" s="1"/>
  <c r="D292" i="8" l="1"/>
  <c r="Q292" i="8" s="1"/>
  <c r="M291" i="8"/>
  <c r="E172" i="8"/>
  <c r="B172" i="8" s="1"/>
  <c r="D293" i="8" l="1"/>
  <c r="Q293" i="8" s="1"/>
  <c r="M292" i="8"/>
  <c r="E173" i="8"/>
  <c r="B173" i="8" s="1"/>
  <c r="D294" i="8" l="1"/>
  <c r="Q294" i="8" s="1"/>
  <c r="M293" i="8"/>
  <c r="E174" i="8"/>
  <c r="B174" i="8" s="1"/>
  <c r="D295" i="8" l="1"/>
  <c r="Q295" i="8" s="1"/>
  <c r="M294" i="8"/>
  <c r="E175" i="8"/>
  <c r="B175" i="8" s="1"/>
  <c r="D296" i="8" l="1"/>
  <c r="Q296" i="8" s="1"/>
  <c r="M295" i="8"/>
  <c r="E176" i="8"/>
  <c r="B176" i="8" s="1"/>
  <c r="D297" i="8" l="1"/>
  <c r="Q297" i="8" s="1"/>
  <c r="M296" i="8"/>
  <c r="E177" i="8"/>
  <c r="B177" i="8" s="1"/>
  <c r="D298" i="8" l="1"/>
  <c r="Q298" i="8" s="1"/>
  <c r="M297" i="8"/>
  <c r="E178" i="8"/>
  <c r="B178" i="8" s="1"/>
  <c r="D299" i="8" l="1"/>
  <c r="Q299" i="8" s="1"/>
  <c r="M298" i="8"/>
  <c r="E179" i="8"/>
  <c r="B179" i="8" s="1"/>
  <c r="D300" i="8" l="1"/>
  <c r="Q300" i="8" s="1"/>
  <c r="M299" i="8"/>
  <c r="E180" i="8"/>
  <c r="B180" i="8" s="1"/>
  <c r="D301" i="8" l="1"/>
  <c r="Q301" i="8" s="1"/>
  <c r="M300" i="8"/>
  <c r="E181" i="8"/>
  <c r="B181" i="8" s="1"/>
  <c r="D302" i="8" l="1"/>
  <c r="Q302" i="8" s="1"/>
  <c r="M301" i="8"/>
  <c r="E182" i="8"/>
  <c r="B182" i="8" s="1"/>
  <c r="D303" i="8" l="1"/>
  <c r="Q303" i="8" s="1"/>
  <c r="M302" i="8"/>
  <c r="E183" i="8"/>
  <c r="B183" i="8" s="1"/>
  <c r="D304" i="8" l="1"/>
  <c r="Q304" i="8" s="1"/>
  <c r="M303" i="8"/>
  <c r="E184" i="8"/>
  <c r="B184" i="8" s="1"/>
  <c r="D305" i="8" l="1"/>
  <c r="Q305" i="8" s="1"/>
  <c r="M304" i="8"/>
  <c r="E185" i="8"/>
  <c r="B185" i="8" s="1"/>
  <c r="D306" i="8" l="1"/>
  <c r="Q306" i="8" s="1"/>
  <c r="M305" i="8"/>
  <c r="E186" i="8"/>
  <c r="B186" i="8" s="1"/>
  <c r="D307" i="8" l="1"/>
  <c r="Q307" i="8" s="1"/>
  <c r="M306" i="8"/>
  <c r="E187" i="8"/>
  <c r="B187" i="8" s="1"/>
  <c r="D308" i="8" l="1"/>
  <c r="Q308" i="8" s="1"/>
  <c r="M307" i="8"/>
  <c r="E188" i="8"/>
  <c r="B188" i="8" s="1"/>
  <c r="D309" i="8" l="1"/>
  <c r="Q309" i="8" s="1"/>
  <c r="M308" i="8"/>
  <c r="E189" i="8"/>
  <c r="B189" i="8" s="1"/>
  <c r="D310" i="8" l="1"/>
  <c r="Q310" i="8" s="1"/>
  <c r="M309" i="8"/>
  <c r="E190" i="8"/>
  <c r="B190" i="8" s="1"/>
  <c r="D311" i="8" l="1"/>
  <c r="Q311" i="8" s="1"/>
  <c r="M310" i="8"/>
  <c r="E191" i="8"/>
  <c r="B191" i="8" s="1"/>
  <c r="D312" i="8" l="1"/>
  <c r="Q312" i="8" s="1"/>
  <c r="M311" i="8"/>
  <c r="E192" i="8"/>
  <c r="B192" i="8" s="1"/>
  <c r="D313" i="8" l="1"/>
  <c r="Q313" i="8" s="1"/>
  <c r="M312" i="8"/>
  <c r="E193" i="8"/>
  <c r="B193" i="8" s="1"/>
  <c r="D314" i="8" l="1"/>
  <c r="Q314" i="8" s="1"/>
  <c r="M313" i="8"/>
  <c r="E194" i="8"/>
  <c r="B194" i="8" s="1"/>
  <c r="D315" i="8" l="1"/>
  <c r="Q315" i="8" s="1"/>
  <c r="M314" i="8"/>
  <c r="E195" i="8"/>
  <c r="B195" i="8" s="1"/>
  <c r="D316" i="8" l="1"/>
  <c r="Q316" i="8" s="1"/>
  <c r="M315" i="8"/>
  <c r="E196" i="8"/>
  <c r="B196" i="8" s="1"/>
  <c r="D317" i="8" l="1"/>
  <c r="Q317" i="8" s="1"/>
  <c r="M316" i="8"/>
  <c r="E197" i="8"/>
  <c r="B197" i="8" s="1"/>
  <c r="D318" i="8" l="1"/>
  <c r="Q318" i="8" s="1"/>
  <c r="M317" i="8"/>
  <c r="E198" i="8"/>
  <c r="B198" i="8" s="1"/>
  <c r="D319" i="8" l="1"/>
  <c r="Q319" i="8" s="1"/>
  <c r="M318" i="8"/>
  <c r="E199" i="8"/>
  <c r="B199" i="8" s="1"/>
  <c r="D320" i="8" l="1"/>
  <c r="Q320" i="8" s="1"/>
  <c r="M319" i="8"/>
  <c r="E200" i="8"/>
  <c r="B200" i="8" s="1"/>
  <c r="D321" i="8" l="1"/>
  <c r="Q321" i="8" s="1"/>
  <c r="M320" i="8"/>
  <c r="E201" i="8"/>
  <c r="B201" i="8" s="1"/>
  <c r="D322" i="8" l="1"/>
  <c r="Q322" i="8" s="1"/>
  <c r="M321" i="8"/>
  <c r="E202" i="8"/>
  <c r="B202" i="8" s="1"/>
  <c r="D323" i="8" l="1"/>
  <c r="Q323" i="8" s="1"/>
  <c r="M322" i="8"/>
  <c r="E203" i="8"/>
  <c r="B203" i="8" s="1"/>
  <c r="D324" i="8" l="1"/>
  <c r="Q324" i="8" s="1"/>
  <c r="M323" i="8"/>
  <c r="E204" i="8"/>
  <c r="B204" i="8" s="1"/>
  <c r="D325" i="8" l="1"/>
  <c r="Q325" i="8" s="1"/>
  <c r="M324" i="8"/>
  <c r="E205" i="8"/>
  <c r="B205" i="8" s="1"/>
  <c r="D326" i="8" l="1"/>
  <c r="Q326" i="8" s="1"/>
  <c r="M325" i="8"/>
  <c r="E206" i="8"/>
  <c r="B206" i="8" s="1"/>
  <c r="D327" i="8" l="1"/>
  <c r="Q327" i="8" s="1"/>
  <c r="M326" i="8"/>
  <c r="E207" i="8"/>
  <c r="B207" i="8" s="1"/>
  <c r="D328" i="8" l="1"/>
  <c r="Q328" i="8" s="1"/>
  <c r="M327" i="8"/>
  <c r="E208" i="8"/>
  <c r="B208" i="8" s="1"/>
  <c r="D329" i="8" l="1"/>
  <c r="Q329" i="8" s="1"/>
  <c r="M328" i="8"/>
  <c r="E209" i="8"/>
  <c r="B209" i="8" s="1"/>
  <c r="D330" i="8" l="1"/>
  <c r="Q330" i="8" s="1"/>
  <c r="M329" i="8"/>
  <c r="E210" i="8"/>
  <c r="B210" i="8" s="1"/>
  <c r="D331" i="8" l="1"/>
  <c r="Q331" i="8" s="1"/>
  <c r="M330" i="8"/>
  <c r="E211" i="8"/>
  <c r="B211" i="8" s="1"/>
  <c r="D332" i="8" l="1"/>
  <c r="Q332" i="8" s="1"/>
  <c r="M331" i="8"/>
  <c r="E212" i="8"/>
  <c r="B212" i="8" s="1"/>
  <c r="D333" i="8" l="1"/>
  <c r="Q333" i="8" s="1"/>
  <c r="M332" i="8"/>
  <c r="E213" i="8"/>
  <c r="B213" i="8" s="1"/>
  <c r="D334" i="8" l="1"/>
  <c r="Q334" i="8" s="1"/>
  <c r="M333" i="8"/>
  <c r="E214" i="8"/>
  <c r="B214" i="8" s="1"/>
  <c r="D335" i="8" l="1"/>
  <c r="Q335" i="8" s="1"/>
  <c r="M334" i="8"/>
  <c r="E215" i="8"/>
  <c r="B215" i="8" s="1"/>
  <c r="D336" i="8" l="1"/>
  <c r="Q336" i="8" s="1"/>
  <c r="M335" i="8"/>
  <c r="E216" i="8"/>
  <c r="B216" i="8" s="1"/>
  <c r="D337" i="8" l="1"/>
  <c r="Q337" i="8" s="1"/>
  <c r="M336" i="8"/>
  <c r="E217" i="8"/>
  <c r="B217" i="8" s="1"/>
  <c r="D338" i="8" l="1"/>
  <c r="Q338" i="8" s="1"/>
  <c r="M337" i="8"/>
  <c r="E218" i="8"/>
  <c r="B218" i="8" s="1"/>
  <c r="D339" i="8" l="1"/>
  <c r="Q339" i="8" s="1"/>
  <c r="M338" i="8"/>
  <c r="E219" i="8"/>
  <c r="B219" i="8" s="1"/>
  <c r="D340" i="8" l="1"/>
  <c r="Q340" i="8" s="1"/>
  <c r="M339" i="8"/>
  <c r="E220" i="8"/>
  <c r="B220" i="8" s="1"/>
  <c r="D341" i="8" l="1"/>
  <c r="Q341" i="8" s="1"/>
  <c r="M340" i="8"/>
  <c r="E221" i="8"/>
  <c r="B221" i="8" s="1"/>
  <c r="D342" i="8" l="1"/>
  <c r="Q342" i="8" s="1"/>
  <c r="M341" i="8"/>
  <c r="E222" i="8"/>
  <c r="B222" i="8" s="1"/>
  <c r="D343" i="8" l="1"/>
  <c r="Q343" i="8" s="1"/>
  <c r="M342" i="8"/>
  <c r="E223" i="8"/>
  <c r="B223" i="8" s="1"/>
  <c r="D344" i="8" l="1"/>
  <c r="Q344" i="8" s="1"/>
  <c r="M343" i="8"/>
  <c r="E224" i="8"/>
  <c r="B224" i="8" s="1"/>
  <c r="D345" i="8" l="1"/>
  <c r="Q345" i="8" s="1"/>
  <c r="M344" i="8"/>
  <c r="E225" i="8"/>
  <c r="B225" i="8" s="1"/>
  <c r="D346" i="8" l="1"/>
  <c r="Q346" i="8" s="1"/>
  <c r="M345" i="8"/>
  <c r="E226" i="8"/>
  <c r="B226" i="8" s="1"/>
  <c r="D347" i="8" l="1"/>
  <c r="Q347" i="8" s="1"/>
  <c r="M346" i="8"/>
  <c r="E227" i="8"/>
  <c r="B227" i="8" s="1"/>
  <c r="D348" i="8" l="1"/>
  <c r="Q348" i="8" s="1"/>
  <c r="M347" i="8"/>
  <c r="E228" i="8"/>
  <c r="B228" i="8" s="1"/>
  <c r="D349" i="8" l="1"/>
  <c r="Q349" i="8" s="1"/>
  <c r="M348" i="8"/>
  <c r="E229" i="8"/>
  <c r="B229" i="8" s="1"/>
  <c r="D350" i="8" l="1"/>
  <c r="Q350" i="8" s="1"/>
  <c r="M349" i="8"/>
  <c r="E230" i="8"/>
  <c r="B230" i="8" s="1"/>
  <c r="D351" i="8" l="1"/>
  <c r="Q351" i="8" s="1"/>
  <c r="M350" i="8"/>
  <c r="E231" i="8"/>
  <c r="B231" i="8" s="1"/>
  <c r="D352" i="8" l="1"/>
  <c r="Q352" i="8" s="1"/>
  <c r="M351" i="8"/>
  <c r="E232" i="8"/>
  <c r="B232" i="8" s="1"/>
  <c r="D353" i="8" l="1"/>
  <c r="Q353" i="8" s="1"/>
  <c r="M352" i="8"/>
  <c r="E233" i="8"/>
  <c r="B233" i="8" s="1"/>
  <c r="D354" i="8" l="1"/>
  <c r="Q354" i="8" s="1"/>
  <c r="M353" i="8"/>
  <c r="E234" i="8"/>
  <c r="B234" i="8" s="1"/>
  <c r="D355" i="8" l="1"/>
  <c r="Q355" i="8" s="1"/>
  <c r="M354" i="8"/>
  <c r="E235" i="8"/>
  <c r="B235" i="8" s="1"/>
  <c r="D356" i="8" l="1"/>
  <c r="Q356" i="8" s="1"/>
  <c r="M355" i="8"/>
  <c r="E236" i="8"/>
  <c r="B236" i="8" s="1"/>
  <c r="D357" i="8" l="1"/>
  <c r="Q357" i="8" s="1"/>
  <c r="M356" i="8"/>
  <c r="E237" i="8"/>
  <c r="B237" i="8" s="1"/>
  <c r="D358" i="8" l="1"/>
  <c r="Q358" i="8" s="1"/>
  <c r="M357" i="8"/>
  <c r="E238" i="8"/>
  <c r="B238" i="8" s="1"/>
  <c r="D359" i="8" l="1"/>
  <c r="Q359" i="8" s="1"/>
  <c r="M358" i="8"/>
  <c r="E239" i="8"/>
  <c r="B239" i="8" s="1"/>
  <c r="D360" i="8" l="1"/>
  <c r="Q360" i="8" s="1"/>
  <c r="M359" i="8"/>
  <c r="E240" i="8"/>
  <c r="B240" i="8" s="1"/>
  <c r="D361" i="8" l="1"/>
  <c r="Q361" i="8" s="1"/>
  <c r="M360" i="8"/>
  <c r="E241" i="8"/>
  <c r="B241" i="8" s="1"/>
  <c r="D362" i="8" l="1"/>
  <c r="Q362" i="8" s="1"/>
  <c r="M361" i="8"/>
  <c r="E242" i="8"/>
  <c r="B242" i="8" s="1"/>
  <c r="D363" i="8" l="1"/>
  <c r="Q363" i="8" s="1"/>
  <c r="M362" i="8"/>
  <c r="E243" i="8"/>
  <c r="B243" i="8" s="1"/>
  <c r="D364" i="8" l="1"/>
  <c r="Q364" i="8" s="1"/>
  <c r="M363" i="8"/>
  <c r="E244" i="8"/>
  <c r="B244" i="8" s="1"/>
  <c r="D365" i="8" l="1"/>
  <c r="Q365" i="8" s="1"/>
  <c r="M364" i="8"/>
  <c r="E245" i="8"/>
  <c r="B245" i="8" s="1"/>
  <c r="D366" i="8" l="1"/>
  <c r="Q366" i="8" s="1"/>
  <c r="M365" i="8"/>
  <c r="E246" i="8"/>
  <c r="B246" i="8" s="1"/>
  <c r="D367" i="8" l="1"/>
  <c r="Q367" i="8" s="1"/>
  <c r="M366" i="8"/>
  <c r="E247" i="8"/>
  <c r="B247" i="8" s="1"/>
  <c r="D368" i="8" l="1"/>
  <c r="Q368" i="8" s="1"/>
  <c r="M367" i="8"/>
  <c r="E248" i="8"/>
  <c r="B248" i="8" s="1"/>
  <c r="D369" i="8" l="1"/>
  <c r="Q369" i="8" s="1"/>
  <c r="M368" i="8"/>
  <c r="E249" i="8"/>
  <c r="B249" i="8" s="1"/>
  <c r="D370" i="8" l="1"/>
  <c r="Q370" i="8" s="1"/>
  <c r="M369" i="8"/>
  <c r="E250" i="8"/>
  <c r="B250" i="8" s="1"/>
  <c r="D371" i="8" l="1"/>
  <c r="Q371" i="8" s="1"/>
  <c r="M370" i="8"/>
  <c r="E251" i="8"/>
  <c r="B251" i="8" s="1"/>
  <c r="D372" i="8" l="1"/>
  <c r="Q372" i="8" s="1"/>
  <c r="M371" i="8"/>
  <c r="E252" i="8"/>
  <c r="B252" i="8" s="1"/>
  <c r="D373" i="8" l="1"/>
  <c r="Q373" i="8" s="1"/>
  <c r="M372" i="8"/>
  <c r="E253" i="8"/>
  <c r="B253" i="8" s="1"/>
  <c r="D374" i="8" l="1"/>
  <c r="Q374" i="8" s="1"/>
  <c r="M373" i="8"/>
  <c r="E254" i="8"/>
  <c r="B254" i="8" s="1"/>
  <c r="D375" i="8" l="1"/>
  <c r="Q375" i="8" s="1"/>
  <c r="M374" i="8"/>
  <c r="E255" i="8"/>
  <c r="B255" i="8" s="1"/>
  <c r="D376" i="8" l="1"/>
  <c r="Q376" i="8" s="1"/>
  <c r="M375" i="8"/>
  <c r="E256" i="8"/>
  <c r="B256" i="8" s="1"/>
  <c r="D377" i="8" l="1"/>
  <c r="Q377" i="8" s="1"/>
  <c r="M376" i="8"/>
  <c r="E257" i="8"/>
  <c r="B257" i="8" s="1"/>
  <c r="D378" i="8" l="1"/>
  <c r="Q378" i="8" s="1"/>
  <c r="M377" i="8"/>
  <c r="E258" i="8"/>
  <c r="B258" i="8" s="1"/>
  <c r="D379" i="8" l="1"/>
  <c r="Q379" i="8" s="1"/>
  <c r="M378" i="8"/>
  <c r="E259" i="8"/>
  <c r="B259" i="8" s="1"/>
  <c r="D380" i="8" l="1"/>
  <c r="Q380" i="8" s="1"/>
  <c r="M379" i="8"/>
  <c r="E260" i="8"/>
  <c r="B260" i="8" s="1"/>
  <c r="D381" i="8" l="1"/>
  <c r="Q381" i="8" s="1"/>
  <c r="M380" i="8"/>
  <c r="E261" i="8"/>
  <c r="B261" i="8" s="1"/>
  <c r="D382" i="8" l="1"/>
  <c r="Q382" i="8" s="1"/>
  <c r="M381" i="8"/>
  <c r="E262" i="8"/>
  <c r="B262" i="8" s="1"/>
  <c r="D383" i="8" l="1"/>
  <c r="Q383" i="8" s="1"/>
  <c r="M382" i="8"/>
  <c r="E263" i="8"/>
  <c r="B263" i="8" s="1"/>
  <c r="D384" i="8" l="1"/>
  <c r="Q384" i="8" s="1"/>
  <c r="M383" i="8"/>
  <c r="E264" i="8"/>
  <c r="B264" i="8" s="1"/>
  <c r="D385" i="8" l="1"/>
  <c r="Q385" i="8" s="1"/>
  <c r="M384" i="8"/>
  <c r="E265" i="8"/>
  <c r="B265" i="8" s="1"/>
  <c r="D386" i="8" l="1"/>
  <c r="Q386" i="8" s="1"/>
  <c r="M385" i="8"/>
  <c r="E266" i="8"/>
  <c r="B266" i="8" s="1"/>
  <c r="D387" i="8" l="1"/>
  <c r="Q387" i="8" s="1"/>
  <c r="M386" i="8"/>
  <c r="E267" i="8"/>
  <c r="B267" i="8" s="1"/>
  <c r="D388" i="8" l="1"/>
  <c r="Q388" i="8" s="1"/>
  <c r="M387" i="8"/>
  <c r="E268" i="8"/>
  <c r="B268" i="8" s="1"/>
  <c r="D389" i="8" l="1"/>
  <c r="Q389" i="8" s="1"/>
  <c r="M388" i="8"/>
  <c r="E269" i="8"/>
  <c r="B269" i="8" s="1"/>
  <c r="D390" i="8" l="1"/>
  <c r="Q390" i="8" s="1"/>
  <c r="M389" i="8"/>
  <c r="E270" i="8"/>
  <c r="B270" i="8" s="1"/>
  <c r="D391" i="8" l="1"/>
  <c r="Q391" i="8" s="1"/>
  <c r="M390" i="8"/>
  <c r="E271" i="8"/>
  <c r="B271" i="8" s="1"/>
  <c r="D392" i="8" l="1"/>
  <c r="Q392" i="8" s="1"/>
  <c r="M391" i="8"/>
  <c r="E272" i="8"/>
  <c r="B272" i="8" s="1"/>
  <c r="D393" i="8" l="1"/>
  <c r="Q393" i="8" s="1"/>
  <c r="M392" i="8"/>
  <c r="E273" i="8"/>
  <c r="B273" i="8" s="1"/>
  <c r="D394" i="8" l="1"/>
  <c r="Q394" i="8" s="1"/>
  <c r="M393" i="8"/>
  <c r="E274" i="8"/>
  <c r="B274" i="8" s="1"/>
  <c r="D395" i="8" l="1"/>
  <c r="Q395" i="8" s="1"/>
  <c r="M394" i="8"/>
  <c r="E275" i="8"/>
  <c r="B275" i="8" s="1"/>
  <c r="D396" i="8" l="1"/>
  <c r="Q396" i="8" s="1"/>
  <c r="M395" i="8"/>
  <c r="E276" i="8"/>
  <c r="B276" i="8" s="1"/>
  <c r="D397" i="8" l="1"/>
  <c r="Q397" i="8" s="1"/>
  <c r="M396" i="8"/>
  <c r="E277" i="8"/>
  <c r="B277" i="8" s="1"/>
  <c r="D398" i="8" l="1"/>
  <c r="Q398" i="8" s="1"/>
  <c r="M397" i="8"/>
  <c r="E278" i="8"/>
  <c r="B278" i="8" s="1"/>
  <c r="D399" i="8" l="1"/>
  <c r="Q399" i="8" s="1"/>
  <c r="M398" i="8"/>
  <c r="E279" i="8"/>
  <c r="B279" i="8" s="1"/>
  <c r="D400" i="8" l="1"/>
  <c r="Q400" i="8" s="1"/>
  <c r="M399" i="8"/>
  <c r="E280" i="8"/>
  <c r="B280" i="8" s="1"/>
  <c r="D401" i="8" l="1"/>
  <c r="Q401" i="8" s="1"/>
  <c r="M400" i="8"/>
  <c r="E281" i="8"/>
  <c r="B281" i="8" s="1"/>
  <c r="D402" i="8" l="1"/>
  <c r="Q402" i="8" s="1"/>
  <c r="M401" i="8"/>
  <c r="E282" i="8"/>
  <c r="B282" i="8" s="1"/>
  <c r="D403" i="8" l="1"/>
  <c r="Q403" i="8" s="1"/>
  <c r="M402" i="8"/>
  <c r="E283" i="8"/>
  <c r="B283" i="8" s="1"/>
  <c r="D404" i="8" l="1"/>
  <c r="Q404" i="8" s="1"/>
  <c r="M403" i="8"/>
  <c r="E284" i="8"/>
  <c r="B284" i="8" s="1"/>
  <c r="D405" i="8" l="1"/>
  <c r="Q405" i="8" s="1"/>
  <c r="M404" i="8"/>
  <c r="E285" i="8"/>
  <c r="B285" i="8" s="1"/>
  <c r="D406" i="8" l="1"/>
  <c r="Q406" i="8" s="1"/>
  <c r="M405" i="8"/>
  <c r="E286" i="8"/>
  <c r="B286" i="8" s="1"/>
  <c r="D407" i="8" l="1"/>
  <c r="Q407" i="8" s="1"/>
  <c r="M406" i="8"/>
  <c r="E287" i="8"/>
  <c r="B287" i="8" s="1"/>
  <c r="D408" i="8" l="1"/>
  <c r="Q408" i="8" s="1"/>
  <c r="M407" i="8"/>
  <c r="E288" i="8"/>
  <c r="B288" i="8" s="1"/>
  <c r="D409" i="8" l="1"/>
  <c r="Q409" i="8" s="1"/>
  <c r="M408" i="8"/>
  <c r="E289" i="8"/>
  <c r="B289" i="8" s="1"/>
  <c r="D410" i="8" l="1"/>
  <c r="Q410" i="8" s="1"/>
  <c r="M409" i="8"/>
  <c r="E290" i="8"/>
  <c r="B290" i="8" s="1"/>
  <c r="D411" i="8" l="1"/>
  <c r="Q411" i="8" s="1"/>
  <c r="M410" i="8"/>
  <c r="E291" i="8"/>
  <c r="B291" i="8" s="1"/>
  <c r="D412" i="8" l="1"/>
  <c r="Q412" i="8" s="1"/>
  <c r="M411" i="8"/>
  <c r="E292" i="8"/>
  <c r="B292" i="8" s="1"/>
  <c r="D413" i="8" l="1"/>
  <c r="Q413" i="8" s="1"/>
  <c r="M412" i="8"/>
  <c r="E293" i="8"/>
  <c r="B293" i="8" s="1"/>
  <c r="D414" i="8" l="1"/>
  <c r="Q414" i="8" s="1"/>
  <c r="M413" i="8"/>
  <c r="E294" i="8"/>
  <c r="B294" i="8" s="1"/>
  <c r="D415" i="8" l="1"/>
  <c r="Q415" i="8" s="1"/>
  <c r="M414" i="8"/>
  <c r="E295" i="8"/>
  <c r="B295" i="8" s="1"/>
  <c r="D416" i="8" l="1"/>
  <c r="Q416" i="8" s="1"/>
  <c r="M415" i="8"/>
  <c r="E296" i="8"/>
  <c r="B296" i="8" s="1"/>
  <c r="D417" i="8" l="1"/>
  <c r="Q417" i="8" s="1"/>
  <c r="M416" i="8"/>
  <c r="E297" i="8"/>
  <c r="B297" i="8" s="1"/>
  <c r="D418" i="8" l="1"/>
  <c r="Q418" i="8" s="1"/>
  <c r="M417" i="8"/>
  <c r="E298" i="8"/>
  <c r="B298" i="8" s="1"/>
  <c r="D419" i="8" l="1"/>
  <c r="Q419" i="8" s="1"/>
  <c r="M418" i="8"/>
  <c r="E299" i="8"/>
  <c r="B299" i="8" s="1"/>
  <c r="D420" i="8" l="1"/>
  <c r="Q420" i="8" s="1"/>
  <c r="M419" i="8"/>
  <c r="E300" i="8"/>
  <c r="B300" i="8" s="1"/>
  <c r="D421" i="8" l="1"/>
  <c r="Q421" i="8" s="1"/>
  <c r="M420" i="8"/>
  <c r="E301" i="8"/>
  <c r="B301" i="8" s="1"/>
  <c r="D422" i="8" l="1"/>
  <c r="Q422" i="8" s="1"/>
  <c r="M421" i="8"/>
  <c r="E302" i="8"/>
  <c r="B302" i="8" s="1"/>
  <c r="D423" i="8" l="1"/>
  <c r="Q423" i="8" s="1"/>
  <c r="M422" i="8"/>
  <c r="E303" i="8"/>
  <c r="B303" i="8" s="1"/>
  <c r="D424" i="8" l="1"/>
  <c r="Q424" i="8" s="1"/>
  <c r="M423" i="8"/>
  <c r="E304" i="8"/>
  <c r="B304" i="8" s="1"/>
  <c r="D425" i="8" l="1"/>
  <c r="Q425" i="8" s="1"/>
  <c r="M424" i="8"/>
  <c r="E305" i="8"/>
  <c r="B305" i="8" s="1"/>
  <c r="D426" i="8" l="1"/>
  <c r="Q426" i="8" s="1"/>
  <c r="M425" i="8"/>
  <c r="E306" i="8"/>
  <c r="B306" i="8" s="1"/>
  <c r="D427" i="8" l="1"/>
  <c r="Q427" i="8" s="1"/>
  <c r="M426" i="8"/>
  <c r="E307" i="8"/>
  <c r="B307" i="8" s="1"/>
  <c r="D428" i="8" l="1"/>
  <c r="Q428" i="8" s="1"/>
  <c r="M427" i="8"/>
  <c r="E308" i="8"/>
  <c r="B308" i="8" s="1"/>
  <c r="D429" i="8" l="1"/>
  <c r="Q429" i="8" s="1"/>
  <c r="M428" i="8"/>
  <c r="E309" i="8"/>
  <c r="B309" i="8" s="1"/>
  <c r="D430" i="8" l="1"/>
  <c r="Q430" i="8" s="1"/>
  <c r="M429" i="8"/>
  <c r="E310" i="8"/>
  <c r="B310" i="8" s="1"/>
  <c r="D431" i="8" l="1"/>
  <c r="Q431" i="8" s="1"/>
  <c r="M430" i="8"/>
  <c r="E311" i="8"/>
  <c r="B311" i="8" s="1"/>
  <c r="D432" i="8" l="1"/>
  <c r="Q432" i="8" s="1"/>
  <c r="M431" i="8"/>
  <c r="E312" i="8"/>
  <c r="B312" i="8" s="1"/>
  <c r="D433" i="8" l="1"/>
  <c r="Q433" i="8" s="1"/>
  <c r="M432" i="8"/>
  <c r="E313" i="8"/>
  <c r="B313" i="8" s="1"/>
  <c r="D434" i="8" l="1"/>
  <c r="Q434" i="8" s="1"/>
  <c r="M433" i="8"/>
  <c r="E314" i="8"/>
  <c r="B314" i="8" s="1"/>
  <c r="D435" i="8" l="1"/>
  <c r="Q435" i="8" s="1"/>
  <c r="M434" i="8"/>
  <c r="E315" i="8"/>
  <c r="B315" i="8" s="1"/>
  <c r="D436" i="8" l="1"/>
  <c r="Q436" i="8" s="1"/>
  <c r="M435" i="8"/>
  <c r="E316" i="8"/>
  <c r="B316" i="8" s="1"/>
  <c r="D437" i="8" l="1"/>
  <c r="Q437" i="8" s="1"/>
  <c r="M436" i="8"/>
  <c r="E317" i="8"/>
  <c r="B317" i="8" s="1"/>
  <c r="D438" i="8" l="1"/>
  <c r="Q438" i="8" s="1"/>
  <c r="M437" i="8"/>
  <c r="E318" i="8"/>
  <c r="B318" i="8" s="1"/>
  <c r="D439" i="8" l="1"/>
  <c r="Q439" i="8" s="1"/>
  <c r="M438" i="8"/>
  <c r="E319" i="8"/>
  <c r="B319" i="8" s="1"/>
  <c r="D440" i="8" l="1"/>
  <c r="Q440" i="8" s="1"/>
  <c r="M439" i="8"/>
  <c r="E320" i="8"/>
  <c r="B320" i="8" s="1"/>
  <c r="D441" i="8" l="1"/>
  <c r="Q441" i="8" s="1"/>
  <c r="M440" i="8"/>
  <c r="E321" i="8"/>
  <c r="B321" i="8" s="1"/>
  <c r="D442" i="8" l="1"/>
  <c r="Q442" i="8" s="1"/>
  <c r="M441" i="8"/>
  <c r="E322" i="8"/>
  <c r="B322" i="8" s="1"/>
  <c r="D443" i="8" l="1"/>
  <c r="Q443" i="8" s="1"/>
  <c r="M442" i="8"/>
  <c r="E323" i="8"/>
  <c r="B323" i="8" s="1"/>
  <c r="D444" i="8" l="1"/>
  <c r="Q444" i="8" s="1"/>
  <c r="M443" i="8"/>
  <c r="E324" i="8"/>
  <c r="B324" i="8" s="1"/>
  <c r="D445" i="8" l="1"/>
  <c r="Q445" i="8" s="1"/>
  <c r="M444" i="8"/>
  <c r="E325" i="8"/>
  <c r="B325" i="8" s="1"/>
  <c r="D446" i="8" l="1"/>
  <c r="Q446" i="8" s="1"/>
  <c r="M445" i="8"/>
  <c r="E326" i="8"/>
  <c r="B326" i="8" s="1"/>
  <c r="D447" i="8" l="1"/>
  <c r="Q447" i="8" s="1"/>
  <c r="M446" i="8"/>
  <c r="E327" i="8"/>
  <c r="B327" i="8" s="1"/>
  <c r="D448" i="8" l="1"/>
  <c r="Q448" i="8" s="1"/>
  <c r="M447" i="8"/>
  <c r="E328" i="8"/>
  <c r="B328" i="8" s="1"/>
  <c r="D449" i="8" l="1"/>
  <c r="Q449" i="8" s="1"/>
  <c r="M448" i="8"/>
  <c r="E329" i="8"/>
  <c r="B329" i="8" s="1"/>
  <c r="D450" i="8" l="1"/>
  <c r="Q450" i="8" s="1"/>
  <c r="M449" i="8"/>
  <c r="E330" i="8"/>
  <c r="B330" i="8" s="1"/>
  <c r="D451" i="8" l="1"/>
  <c r="Q451" i="8" s="1"/>
  <c r="M450" i="8"/>
  <c r="E331" i="8"/>
  <c r="B331" i="8" s="1"/>
  <c r="D452" i="8" l="1"/>
  <c r="Q452" i="8" s="1"/>
  <c r="M451" i="8"/>
  <c r="E332" i="8"/>
  <c r="B332" i="8" s="1"/>
  <c r="D453" i="8" l="1"/>
  <c r="Q453" i="8" s="1"/>
  <c r="M452" i="8"/>
  <c r="E333" i="8"/>
  <c r="B333" i="8" s="1"/>
  <c r="D454" i="8" l="1"/>
  <c r="Q454" i="8" s="1"/>
  <c r="M453" i="8"/>
  <c r="E334" i="8"/>
  <c r="B334" i="8" s="1"/>
  <c r="D455" i="8" l="1"/>
  <c r="Q455" i="8" s="1"/>
  <c r="M454" i="8"/>
  <c r="E335" i="8"/>
  <c r="B335" i="8" s="1"/>
  <c r="D456" i="8" l="1"/>
  <c r="Q456" i="8" s="1"/>
  <c r="M455" i="8"/>
  <c r="E336" i="8"/>
  <c r="B336" i="8" s="1"/>
  <c r="D457" i="8" l="1"/>
  <c r="Q457" i="8" s="1"/>
  <c r="M456" i="8"/>
  <c r="E337" i="8"/>
  <c r="B337" i="8" s="1"/>
  <c r="D458" i="8" l="1"/>
  <c r="Q458" i="8" s="1"/>
  <c r="M457" i="8"/>
  <c r="E338" i="8"/>
  <c r="B338" i="8" s="1"/>
  <c r="D459" i="8" l="1"/>
  <c r="Q459" i="8" s="1"/>
  <c r="M458" i="8"/>
  <c r="E339" i="8"/>
  <c r="B339" i="8" s="1"/>
  <c r="D460" i="8" l="1"/>
  <c r="Q460" i="8" s="1"/>
  <c r="M459" i="8"/>
  <c r="E340" i="8"/>
  <c r="B340" i="8" s="1"/>
  <c r="D461" i="8" l="1"/>
  <c r="Q461" i="8" s="1"/>
  <c r="M460" i="8"/>
  <c r="E341" i="8"/>
  <c r="B341" i="8" s="1"/>
  <c r="D462" i="8" l="1"/>
  <c r="Q462" i="8" s="1"/>
  <c r="M461" i="8"/>
  <c r="E342" i="8"/>
  <c r="B342" i="8" s="1"/>
  <c r="D463" i="8" l="1"/>
  <c r="Q463" i="8" s="1"/>
  <c r="M462" i="8"/>
  <c r="E343" i="8"/>
  <c r="B343" i="8" s="1"/>
  <c r="D464" i="8" l="1"/>
  <c r="Q464" i="8" s="1"/>
  <c r="M463" i="8"/>
  <c r="E344" i="8"/>
  <c r="B344" i="8" s="1"/>
  <c r="D465" i="8" l="1"/>
  <c r="Q465" i="8" s="1"/>
  <c r="M464" i="8"/>
  <c r="E345" i="8"/>
  <c r="B345" i="8" s="1"/>
  <c r="D466" i="8" l="1"/>
  <c r="Q466" i="8" s="1"/>
  <c r="M465" i="8"/>
  <c r="E346" i="8"/>
  <c r="B346" i="8" s="1"/>
  <c r="D467" i="8" l="1"/>
  <c r="Q467" i="8" s="1"/>
  <c r="M466" i="8"/>
  <c r="E347" i="8"/>
  <c r="B347" i="8" s="1"/>
  <c r="D468" i="8" l="1"/>
  <c r="Q468" i="8" s="1"/>
  <c r="M467" i="8"/>
  <c r="E348" i="8"/>
  <c r="B348" i="8" s="1"/>
  <c r="D469" i="8" l="1"/>
  <c r="Q469" i="8" s="1"/>
  <c r="M468" i="8"/>
  <c r="E349" i="8"/>
  <c r="B349" i="8" s="1"/>
  <c r="D470" i="8" l="1"/>
  <c r="Q470" i="8" s="1"/>
  <c r="M469" i="8"/>
  <c r="E350" i="8"/>
  <c r="B350" i="8" s="1"/>
  <c r="D471" i="8" l="1"/>
  <c r="Q471" i="8" s="1"/>
  <c r="M470" i="8"/>
  <c r="E351" i="8"/>
  <c r="B351" i="8" s="1"/>
  <c r="D472" i="8" l="1"/>
  <c r="Q472" i="8" s="1"/>
  <c r="M471" i="8"/>
  <c r="E352" i="8"/>
  <c r="B352" i="8" s="1"/>
  <c r="D473" i="8" l="1"/>
  <c r="Q473" i="8" s="1"/>
  <c r="M472" i="8"/>
  <c r="E353" i="8"/>
  <c r="B353" i="8" s="1"/>
  <c r="D474" i="8" l="1"/>
  <c r="Q474" i="8" s="1"/>
  <c r="M473" i="8"/>
  <c r="E354" i="8"/>
  <c r="B354" i="8" s="1"/>
  <c r="D475" i="8" l="1"/>
  <c r="Q475" i="8" s="1"/>
  <c r="M474" i="8"/>
  <c r="E355" i="8"/>
  <c r="B355" i="8" s="1"/>
  <c r="D476" i="8" l="1"/>
  <c r="Q476" i="8" s="1"/>
  <c r="M475" i="8"/>
  <c r="E356" i="8"/>
  <c r="B356" i="8" s="1"/>
  <c r="D477" i="8" l="1"/>
  <c r="Q477" i="8" s="1"/>
  <c r="M476" i="8"/>
  <c r="E357" i="8"/>
  <c r="B357" i="8" s="1"/>
  <c r="D478" i="8" l="1"/>
  <c r="Q478" i="8" s="1"/>
  <c r="M477" i="8"/>
  <c r="E358" i="8"/>
  <c r="B358" i="8" s="1"/>
  <c r="D479" i="8" l="1"/>
  <c r="Q479" i="8" s="1"/>
  <c r="M478" i="8"/>
  <c r="E359" i="8"/>
  <c r="B359" i="8" s="1"/>
  <c r="D480" i="8" l="1"/>
  <c r="Q480" i="8" s="1"/>
  <c r="M479" i="8"/>
  <c r="E360" i="8"/>
  <c r="B360" i="8" s="1"/>
  <c r="D481" i="8" l="1"/>
  <c r="Q481" i="8" s="1"/>
  <c r="M480" i="8"/>
  <c r="E361" i="8"/>
  <c r="B361" i="8" s="1"/>
  <c r="D482" i="8" l="1"/>
  <c r="Q482" i="8" s="1"/>
  <c r="M481" i="8"/>
  <c r="E362" i="8"/>
  <c r="B362" i="8" s="1"/>
  <c r="D483" i="8" l="1"/>
  <c r="Q483" i="8" s="1"/>
  <c r="M482" i="8"/>
  <c r="E363" i="8"/>
  <c r="B363" i="8" s="1"/>
  <c r="D484" i="8" l="1"/>
  <c r="Q484" i="8" s="1"/>
  <c r="M483" i="8"/>
  <c r="E364" i="8"/>
  <c r="B364" i="8" s="1"/>
  <c r="D485" i="8" l="1"/>
  <c r="Q485" i="8" s="1"/>
  <c r="M484" i="8"/>
  <c r="E365" i="8"/>
  <c r="B365" i="8" s="1"/>
  <c r="D486" i="8" l="1"/>
  <c r="Q486" i="8" s="1"/>
  <c r="M485" i="8"/>
  <c r="E366" i="8"/>
  <c r="B366" i="8" s="1"/>
  <c r="D487" i="8" l="1"/>
  <c r="Q487" i="8" s="1"/>
  <c r="M486" i="8"/>
  <c r="E367" i="8"/>
  <c r="B367" i="8" s="1"/>
  <c r="D488" i="8" l="1"/>
  <c r="Q488" i="8" s="1"/>
  <c r="M487" i="8"/>
  <c r="E368" i="8"/>
  <c r="B368" i="8" s="1"/>
  <c r="D489" i="8" l="1"/>
  <c r="Q489" i="8" s="1"/>
  <c r="M488" i="8"/>
  <c r="E369" i="8"/>
  <c r="B369" i="8" s="1"/>
  <c r="D490" i="8" l="1"/>
  <c r="Q490" i="8" s="1"/>
  <c r="M489" i="8"/>
  <c r="E370" i="8"/>
  <c r="B370" i="8" s="1"/>
  <c r="D491" i="8" l="1"/>
  <c r="Q491" i="8" s="1"/>
  <c r="M490" i="8"/>
  <c r="E371" i="8"/>
  <c r="B371" i="8" s="1"/>
  <c r="D492" i="8" l="1"/>
  <c r="Q492" i="8" s="1"/>
  <c r="M491" i="8"/>
  <c r="E372" i="8"/>
  <c r="B372" i="8" s="1"/>
  <c r="D493" i="8" l="1"/>
  <c r="Q493" i="8" s="1"/>
  <c r="M492" i="8"/>
  <c r="E373" i="8"/>
  <c r="B373" i="8" s="1"/>
  <c r="D494" i="8" l="1"/>
  <c r="Q494" i="8" s="1"/>
  <c r="M493" i="8"/>
  <c r="E374" i="8"/>
  <c r="B374" i="8" s="1"/>
  <c r="D495" i="8" l="1"/>
  <c r="Q495" i="8" s="1"/>
  <c r="M494" i="8"/>
  <c r="E375" i="8"/>
  <c r="B375" i="8" s="1"/>
  <c r="D496" i="8" l="1"/>
  <c r="Q496" i="8" s="1"/>
  <c r="M495" i="8"/>
  <c r="E376" i="8"/>
  <c r="B376" i="8" s="1"/>
  <c r="D497" i="8" l="1"/>
  <c r="Q497" i="8" s="1"/>
  <c r="M496" i="8"/>
  <c r="E377" i="8"/>
  <c r="B377" i="8" s="1"/>
  <c r="D498" i="8" l="1"/>
  <c r="Q498" i="8" s="1"/>
  <c r="M497" i="8"/>
  <c r="E378" i="8"/>
  <c r="B378" i="8" s="1"/>
  <c r="D499" i="8" l="1"/>
  <c r="Q499" i="8" s="1"/>
  <c r="M498" i="8"/>
  <c r="E379" i="8"/>
  <c r="B379" i="8" s="1"/>
  <c r="D500" i="8" l="1"/>
  <c r="Q500" i="8" s="1"/>
  <c r="M499" i="8"/>
  <c r="E380" i="8"/>
  <c r="B380" i="8" s="1"/>
  <c r="D501" i="8" l="1"/>
  <c r="Q501" i="8" s="1"/>
  <c r="M500" i="8"/>
  <c r="E381" i="8"/>
  <c r="B381" i="8" s="1"/>
  <c r="D502" i="8" l="1"/>
  <c r="Q502" i="8" s="1"/>
  <c r="M501" i="8"/>
  <c r="E382" i="8"/>
  <c r="B382" i="8" s="1"/>
  <c r="D503" i="8" l="1"/>
  <c r="Q503" i="8" s="1"/>
  <c r="M502" i="8"/>
  <c r="E383" i="8"/>
  <c r="B383" i="8" s="1"/>
  <c r="D504" i="8" l="1"/>
  <c r="Q504" i="8" s="1"/>
  <c r="M503" i="8"/>
  <c r="E384" i="8"/>
  <c r="B384" i="8" s="1"/>
  <c r="D505" i="8" l="1"/>
  <c r="Q505" i="8" s="1"/>
  <c r="M504" i="8"/>
  <c r="E385" i="8"/>
  <c r="B385" i="8" s="1"/>
  <c r="D506" i="8" l="1"/>
  <c r="Q506" i="8" s="1"/>
  <c r="M505" i="8"/>
  <c r="E386" i="8"/>
  <c r="B386" i="8" s="1"/>
  <c r="D507" i="8" l="1"/>
  <c r="Q507" i="8" s="1"/>
  <c r="M506" i="8"/>
  <c r="E387" i="8"/>
  <c r="B387" i="8" s="1"/>
  <c r="D508" i="8" l="1"/>
  <c r="Q508" i="8" s="1"/>
  <c r="M507" i="8"/>
  <c r="E388" i="8"/>
  <c r="B388" i="8" s="1"/>
  <c r="D509" i="8" l="1"/>
  <c r="Q509" i="8" s="1"/>
  <c r="M508" i="8"/>
  <c r="E389" i="8"/>
  <c r="B389" i="8" s="1"/>
  <c r="D510" i="8" l="1"/>
  <c r="Q510" i="8" s="1"/>
  <c r="M509" i="8"/>
  <c r="E390" i="8"/>
  <c r="B390" i="8" s="1"/>
  <c r="D511" i="8" l="1"/>
  <c r="Q511" i="8" s="1"/>
  <c r="M510" i="8"/>
  <c r="E391" i="8"/>
  <c r="B391" i="8" s="1"/>
  <c r="D512" i="8" l="1"/>
  <c r="Q512" i="8" s="1"/>
  <c r="M511" i="8"/>
  <c r="E392" i="8"/>
  <c r="B392" i="8" s="1"/>
  <c r="D513" i="8" l="1"/>
  <c r="Q513" i="8" s="1"/>
  <c r="M512" i="8"/>
  <c r="E393" i="8"/>
  <c r="B393" i="8" s="1"/>
  <c r="D514" i="8" l="1"/>
  <c r="Q514" i="8" s="1"/>
  <c r="M513" i="8"/>
  <c r="E394" i="8"/>
  <c r="B394" i="8" s="1"/>
  <c r="D515" i="8" l="1"/>
  <c r="Q515" i="8" s="1"/>
  <c r="M514" i="8"/>
  <c r="E395" i="8"/>
  <c r="B395" i="8" s="1"/>
  <c r="D516" i="8" l="1"/>
  <c r="Q516" i="8" s="1"/>
  <c r="M515" i="8"/>
  <c r="E396" i="8"/>
  <c r="B396" i="8" s="1"/>
  <c r="D517" i="8" l="1"/>
  <c r="Q517" i="8" s="1"/>
  <c r="M516" i="8"/>
  <c r="E397" i="8"/>
  <c r="B397" i="8" s="1"/>
  <c r="D518" i="8" l="1"/>
  <c r="Q518" i="8" s="1"/>
  <c r="M517" i="8"/>
  <c r="E398" i="8"/>
  <c r="B398" i="8" s="1"/>
  <c r="D519" i="8" l="1"/>
  <c r="Q519" i="8" s="1"/>
  <c r="M518" i="8"/>
  <c r="E399" i="8"/>
  <c r="B399" i="8" s="1"/>
  <c r="D520" i="8" l="1"/>
  <c r="Q520" i="8" s="1"/>
  <c r="M519" i="8"/>
  <c r="E400" i="8"/>
  <c r="B400" i="8" s="1"/>
  <c r="D521" i="8" l="1"/>
  <c r="Q521" i="8" s="1"/>
  <c r="M520" i="8"/>
  <c r="E401" i="8"/>
  <c r="B401" i="8" s="1"/>
  <c r="D522" i="8" l="1"/>
  <c r="Q522" i="8" s="1"/>
  <c r="M521" i="8"/>
  <c r="E402" i="8"/>
  <c r="B402" i="8" s="1"/>
  <c r="D523" i="8" l="1"/>
  <c r="Q523" i="8" s="1"/>
  <c r="M522" i="8"/>
  <c r="E403" i="8"/>
  <c r="B403" i="8" s="1"/>
  <c r="D524" i="8" l="1"/>
  <c r="Q524" i="8" s="1"/>
  <c r="M523" i="8"/>
  <c r="E404" i="8"/>
  <c r="B404" i="8" s="1"/>
  <c r="D525" i="8" l="1"/>
  <c r="Q525" i="8" s="1"/>
  <c r="M524" i="8"/>
  <c r="E405" i="8"/>
  <c r="B405" i="8" s="1"/>
  <c r="D526" i="8" l="1"/>
  <c r="Q526" i="8" s="1"/>
  <c r="M525" i="8"/>
  <c r="E406" i="8"/>
  <c r="B406" i="8" s="1"/>
  <c r="D527" i="8" l="1"/>
  <c r="Q527" i="8" s="1"/>
  <c r="M526" i="8"/>
  <c r="E407" i="8"/>
  <c r="B407" i="8" s="1"/>
  <c r="D528" i="8" l="1"/>
  <c r="Q528" i="8" s="1"/>
  <c r="M527" i="8"/>
  <c r="E408" i="8"/>
  <c r="B408" i="8" s="1"/>
  <c r="D529" i="8" l="1"/>
  <c r="Q529" i="8" s="1"/>
  <c r="M528" i="8"/>
  <c r="E409" i="8"/>
  <c r="B409" i="8" s="1"/>
  <c r="D530" i="8" l="1"/>
  <c r="Q530" i="8" s="1"/>
  <c r="M529" i="8"/>
  <c r="E410" i="8"/>
  <c r="B410" i="8" s="1"/>
  <c r="D531" i="8" l="1"/>
  <c r="Q531" i="8" s="1"/>
  <c r="M530" i="8"/>
  <c r="E411" i="8"/>
  <c r="B411" i="8" s="1"/>
  <c r="D532" i="8" l="1"/>
  <c r="Q532" i="8" s="1"/>
  <c r="M531" i="8"/>
  <c r="E412" i="8"/>
  <c r="B412" i="8" s="1"/>
  <c r="D533" i="8" l="1"/>
  <c r="Q533" i="8" s="1"/>
  <c r="M532" i="8"/>
  <c r="E413" i="8"/>
  <c r="B413" i="8" s="1"/>
  <c r="D534" i="8" l="1"/>
  <c r="Q534" i="8" s="1"/>
  <c r="M533" i="8"/>
  <c r="E414" i="8"/>
  <c r="B414" i="8" s="1"/>
  <c r="D535" i="8" l="1"/>
  <c r="Q535" i="8" s="1"/>
  <c r="M534" i="8"/>
  <c r="E415" i="8"/>
  <c r="B415" i="8" s="1"/>
  <c r="D536" i="8" l="1"/>
  <c r="Q536" i="8" s="1"/>
  <c r="M535" i="8"/>
  <c r="E416" i="8"/>
  <c r="B416" i="8" s="1"/>
  <c r="D537" i="8" l="1"/>
  <c r="Q537" i="8" s="1"/>
  <c r="M536" i="8"/>
  <c r="E417" i="8"/>
  <c r="B417" i="8" s="1"/>
  <c r="D538" i="8" l="1"/>
  <c r="Q538" i="8" s="1"/>
  <c r="M537" i="8"/>
  <c r="E418" i="8"/>
  <c r="B418" i="8" s="1"/>
  <c r="D539" i="8" l="1"/>
  <c r="Q539" i="8" s="1"/>
  <c r="M538" i="8"/>
  <c r="E419" i="8"/>
  <c r="B419" i="8" s="1"/>
  <c r="D540" i="8" l="1"/>
  <c r="Q540" i="8" s="1"/>
  <c r="M539" i="8"/>
  <c r="E420" i="8"/>
  <c r="B420" i="8" s="1"/>
  <c r="D541" i="8" l="1"/>
  <c r="Q541" i="8" s="1"/>
  <c r="M540" i="8"/>
  <c r="E421" i="8"/>
  <c r="B421" i="8" s="1"/>
  <c r="D542" i="8" l="1"/>
  <c r="Q542" i="8" s="1"/>
  <c r="M541" i="8"/>
  <c r="E422" i="8"/>
  <c r="B422" i="8" s="1"/>
  <c r="D543" i="8" l="1"/>
  <c r="Q543" i="8" s="1"/>
  <c r="M542" i="8"/>
  <c r="E423" i="8"/>
  <c r="B423" i="8" s="1"/>
  <c r="D544" i="8" l="1"/>
  <c r="Q544" i="8" s="1"/>
  <c r="M543" i="8"/>
  <c r="E424" i="8"/>
  <c r="B424" i="8" s="1"/>
  <c r="D545" i="8" l="1"/>
  <c r="Q545" i="8" s="1"/>
  <c r="M544" i="8"/>
  <c r="E425" i="8"/>
  <c r="B425" i="8" s="1"/>
  <c r="D546" i="8" l="1"/>
  <c r="Q546" i="8" s="1"/>
  <c r="M545" i="8"/>
  <c r="E426" i="8"/>
  <c r="B426" i="8" s="1"/>
  <c r="D547" i="8" l="1"/>
  <c r="Q547" i="8" s="1"/>
  <c r="M546" i="8"/>
  <c r="E427" i="8"/>
  <c r="B427" i="8" s="1"/>
  <c r="D548" i="8" l="1"/>
  <c r="Q548" i="8" s="1"/>
  <c r="M547" i="8"/>
  <c r="E428" i="8"/>
  <c r="B428" i="8" s="1"/>
  <c r="D549" i="8" l="1"/>
  <c r="Q549" i="8" s="1"/>
  <c r="M548" i="8"/>
  <c r="E429" i="8"/>
  <c r="B429" i="8" s="1"/>
  <c r="D550" i="8" l="1"/>
  <c r="Q550" i="8" s="1"/>
  <c r="M549" i="8"/>
  <c r="E430" i="8"/>
  <c r="B430" i="8" s="1"/>
  <c r="D551" i="8" l="1"/>
  <c r="Q551" i="8" s="1"/>
  <c r="M550" i="8"/>
  <c r="E431" i="8"/>
  <c r="B431" i="8" s="1"/>
  <c r="D552" i="8" l="1"/>
  <c r="Q552" i="8" s="1"/>
  <c r="M551" i="8"/>
  <c r="E432" i="8"/>
  <c r="B432" i="8" s="1"/>
  <c r="D553" i="8" l="1"/>
  <c r="Q553" i="8" s="1"/>
  <c r="M552" i="8"/>
  <c r="E433" i="8"/>
  <c r="B433" i="8" s="1"/>
  <c r="D554" i="8" l="1"/>
  <c r="Q554" i="8" s="1"/>
  <c r="M553" i="8"/>
  <c r="E434" i="8"/>
  <c r="B434" i="8" s="1"/>
  <c r="D555" i="8" l="1"/>
  <c r="Q555" i="8" s="1"/>
  <c r="M554" i="8"/>
  <c r="E435" i="8"/>
  <c r="B435" i="8" s="1"/>
  <c r="D556" i="8" l="1"/>
  <c r="Q556" i="8" s="1"/>
  <c r="M555" i="8"/>
  <c r="E436" i="8"/>
  <c r="B436" i="8" s="1"/>
  <c r="D557" i="8" l="1"/>
  <c r="Q557" i="8" s="1"/>
  <c r="M556" i="8"/>
  <c r="E437" i="8"/>
  <c r="B437" i="8" s="1"/>
  <c r="D558" i="8" l="1"/>
  <c r="Q558" i="8" s="1"/>
  <c r="M557" i="8"/>
  <c r="E438" i="8"/>
  <c r="B438" i="8" s="1"/>
  <c r="D559" i="8" l="1"/>
  <c r="Q559" i="8" s="1"/>
  <c r="M558" i="8"/>
  <c r="E439" i="8"/>
  <c r="B439" i="8" s="1"/>
  <c r="D560" i="8" l="1"/>
  <c r="Q560" i="8" s="1"/>
  <c r="M559" i="8"/>
  <c r="E440" i="8"/>
  <c r="B440" i="8" s="1"/>
  <c r="D561" i="8" l="1"/>
  <c r="Q561" i="8" s="1"/>
  <c r="M560" i="8"/>
  <c r="E441" i="8"/>
  <c r="B441" i="8" s="1"/>
  <c r="D562" i="8" l="1"/>
  <c r="Q562" i="8" s="1"/>
  <c r="M561" i="8"/>
  <c r="E442" i="8"/>
  <c r="B442" i="8" s="1"/>
  <c r="D563" i="8" l="1"/>
  <c r="Q563" i="8" s="1"/>
  <c r="M562" i="8"/>
  <c r="E443" i="8"/>
  <c r="B443" i="8" s="1"/>
  <c r="D564" i="8" l="1"/>
  <c r="Q564" i="8" s="1"/>
  <c r="M563" i="8"/>
  <c r="E444" i="8"/>
  <c r="B444" i="8" s="1"/>
  <c r="D565" i="8" l="1"/>
  <c r="Q565" i="8" s="1"/>
  <c r="M564" i="8"/>
  <c r="E445" i="8"/>
  <c r="B445" i="8" s="1"/>
  <c r="D566" i="8" l="1"/>
  <c r="Q566" i="8" s="1"/>
  <c r="M565" i="8"/>
  <c r="E446" i="8"/>
  <c r="B446" i="8" s="1"/>
  <c r="D567" i="8" l="1"/>
  <c r="Q567" i="8" s="1"/>
  <c r="M566" i="8"/>
  <c r="E447" i="8"/>
  <c r="B447" i="8" s="1"/>
  <c r="D568" i="8" l="1"/>
  <c r="Q568" i="8" s="1"/>
  <c r="M567" i="8"/>
  <c r="E448" i="8"/>
  <c r="B448" i="8" s="1"/>
  <c r="D569" i="8" l="1"/>
  <c r="Q569" i="8" s="1"/>
  <c r="M568" i="8"/>
  <c r="E449" i="8"/>
  <c r="B449" i="8" s="1"/>
  <c r="D570" i="8" l="1"/>
  <c r="Q570" i="8" s="1"/>
  <c r="M569" i="8"/>
  <c r="E450" i="8"/>
  <c r="B450" i="8" s="1"/>
  <c r="D571" i="8" l="1"/>
  <c r="Q571" i="8" s="1"/>
  <c r="M570" i="8"/>
  <c r="E451" i="8"/>
  <c r="B451" i="8" s="1"/>
  <c r="D572" i="8" l="1"/>
  <c r="Q572" i="8" s="1"/>
  <c r="M571" i="8"/>
  <c r="E452" i="8"/>
  <c r="B452" i="8" s="1"/>
  <c r="D573" i="8" l="1"/>
  <c r="Q573" i="8" s="1"/>
  <c r="M572" i="8"/>
  <c r="E453" i="8"/>
  <c r="B453" i="8" s="1"/>
  <c r="D574" i="8" l="1"/>
  <c r="Q574" i="8" s="1"/>
  <c r="M573" i="8"/>
  <c r="E454" i="8"/>
  <c r="B454" i="8" s="1"/>
  <c r="D575" i="8" l="1"/>
  <c r="Q575" i="8" s="1"/>
  <c r="M574" i="8"/>
  <c r="E455" i="8"/>
  <c r="B455" i="8" s="1"/>
  <c r="D576" i="8" l="1"/>
  <c r="Q576" i="8" s="1"/>
  <c r="M575" i="8"/>
  <c r="E456" i="8"/>
  <c r="B456" i="8" s="1"/>
  <c r="D577" i="8" l="1"/>
  <c r="Q577" i="8" s="1"/>
  <c r="M576" i="8"/>
  <c r="E457" i="8"/>
  <c r="B457" i="8" s="1"/>
  <c r="D578" i="8" l="1"/>
  <c r="Q578" i="8" s="1"/>
  <c r="M577" i="8"/>
  <c r="E458" i="8"/>
  <c r="B458" i="8" s="1"/>
  <c r="D579" i="8" l="1"/>
  <c r="Q579" i="8" s="1"/>
  <c r="M578" i="8"/>
  <c r="E459" i="8"/>
  <c r="B459" i="8" s="1"/>
  <c r="D580" i="8" l="1"/>
  <c r="Q580" i="8" s="1"/>
  <c r="M579" i="8"/>
  <c r="E460" i="8"/>
  <c r="B460" i="8" s="1"/>
  <c r="D581" i="8" l="1"/>
  <c r="Q581" i="8" s="1"/>
  <c r="M580" i="8"/>
  <c r="E461" i="8"/>
  <c r="B461" i="8" s="1"/>
  <c r="D582" i="8" l="1"/>
  <c r="Q582" i="8" s="1"/>
  <c r="M581" i="8"/>
  <c r="E462" i="8"/>
  <c r="B462" i="8" s="1"/>
  <c r="D583" i="8" l="1"/>
  <c r="Q583" i="8" s="1"/>
  <c r="M582" i="8"/>
  <c r="E463" i="8"/>
  <c r="B463" i="8" s="1"/>
  <c r="D584" i="8" l="1"/>
  <c r="Q584" i="8" s="1"/>
  <c r="M583" i="8"/>
  <c r="E464" i="8"/>
  <c r="B464" i="8" s="1"/>
  <c r="D585" i="8" l="1"/>
  <c r="Q585" i="8" s="1"/>
  <c r="M584" i="8"/>
  <c r="E465" i="8"/>
  <c r="B465" i="8" s="1"/>
  <c r="D586" i="8" l="1"/>
  <c r="Q586" i="8" s="1"/>
  <c r="M585" i="8"/>
  <c r="E466" i="8"/>
  <c r="B466" i="8" s="1"/>
  <c r="D587" i="8" l="1"/>
  <c r="Q587" i="8" s="1"/>
  <c r="M586" i="8"/>
  <c r="E467" i="8"/>
  <c r="B467" i="8" s="1"/>
  <c r="D588" i="8" l="1"/>
  <c r="Q588" i="8" s="1"/>
  <c r="M587" i="8"/>
  <c r="E468" i="8"/>
  <c r="B468" i="8" s="1"/>
  <c r="D589" i="8" l="1"/>
  <c r="Q589" i="8" s="1"/>
  <c r="M588" i="8"/>
  <c r="E469" i="8"/>
  <c r="B469" i="8" s="1"/>
  <c r="D590" i="8" l="1"/>
  <c r="Q590" i="8" s="1"/>
  <c r="M589" i="8"/>
  <c r="E470" i="8"/>
  <c r="B470" i="8" s="1"/>
  <c r="D591" i="8" l="1"/>
  <c r="Q591" i="8" s="1"/>
  <c r="M590" i="8"/>
  <c r="E471" i="8"/>
  <c r="B471" i="8" s="1"/>
  <c r="D592" i="8" l="1"/>
  <c r="Q592" i="8" s="1"/>
  <c r="M591" i="8"/>
  <c r="E472" i="8"/>
  <c r="B472" i="8" s="1"/>
  <c r="D593" i="8" l="1"/>
  <c r="Q593" i="8" s="1"/>
  <c r="M592" i="8"/>
  <c r="E473" i="8"/>
  <c r="B473" i="8" s="1"/>
  <c r="D594" i="8" l="1"/>
  <c r="Q594" i="8" s="1"/>
  <c r="M593" i="8"/>
  <c r="E474" i="8"/>
  <c r="B474" i="8" s="1"/>
  <c r="D595" i="8" l="1"/>
  <c r="Q595" i="8" s="1"/>
  <c r="M594" i="8"/>
  <c r="E475" i="8"/>
  <c r="B475" i="8" s="1"/>
  <c r="D596" i="8" l="1"/>
  <c r="Q596" i="8" s="1"/>
  <c r="M595" i="8"/>
  <c r="E476" i="8"/>
  <c r="B476" i="8" s="1"/>
  <c r="D597" i="8" l="1"/>
  <c r="Q597" i="8" s="1"/>
  <c r="M596" i="8"/>
  <c r="E477" i="8"/>
  <c r="B477" i="8" s="1"/>
  <c r="D598" i="8" l="1"/>
  <c r="Q598" i="8" s="1"/>
  <c r="M597" i="8"/>
  <c r="E478" i="8"/>
  <c r="B478" i="8" s="1"/>
  <c r="D599" i="8" l="1"/>
  <c r="Q599" i="8" s="1"/>
  <c r="M598" i="8"/>
  <c r="E479" i="8"/>
  <c r="B479" i="8" s="1"/>
  <c r="D600" i="8" l="1"/>
  <c r="Q600" i="8" s="1"/>
  <c r="M599" i="8"/>
  <c r="E480" i="8"/>
  <c r="B480" i="8" s="1"/>
  <c r="D601" i="8" l="1"/>
  <c r="Q601" i="8" s="1"/>
  <c r="M600" i="8"/>
  <c r="E481" i="8"/>
  <c r="B481" i="8" s="1"/>
  <c r="D602" i="8" l="1"/>
  <c r="Q602" i="8" s="1"/>
  <c r="M601" i="8"/>
  <c r="E482" i="8"/>
  <c r="B482" i="8" s="1"/>
  <c r="D603" i="8" l="1"/>
  <c r="Q603" i="8" s="1"/>
  <c r="M602" i="8"/>
  <c r="E483" i="8"/>
  <c r="B483" i="8" s="1"/>
  <c r="D604" i="8" l="1"/>
  <c r="Q604" i="8" s="1"/>
  <c r="M603" i="8"/>
  <c r="E484" i="8"/>
  <c r="B484" i="8" s="1"/>
  <c r="D605" i="8" l="1"/>
  <c r="Q605" i="8" s="1"/>
  <c r="M604" i="8"/>
  <c r="E485" i="8"/>
  <c r="B485" i="8" s="1"/>
  <c r="D606" i="8" l="1"/>
  <c r="Q606" i="8" s="1"/>
  <c r="M605" i="8"/>
  <c r="E486" i="8"/>
  <c r="B486" i="8" s="1"/>
  <c r="D607" i="8" l="1"/>
  <c r="Q607" i="8" s="1"/>
  <c r="M606" i="8"/>
  <c r="E487" i="8"/>
  <c r="B487" i="8" s="1"/>
  <c r="D608" i="8" l="1"/>
  <c r="Q608" i="8" s="1"/>
  <c r="M607" i="8"/>
  <c r="E488" i="8"/>
  <c r="B488" i="8" s="1"/>
  <c r="D609" i="8" l="1"/>
  <c r="Q609" i="8" s="1"/>
  <c r="M608" i="8"/>
  <c r="E489" i="8"/>
  <c r="B489" i="8" s="1"/>
  <c r="D610" i="8" l="1"/>
  <c r="Q610" i="8" s="1"/>
  <c r="M609" i="8"/>
  <c r="E490" i="8"/>
  <c r="B490" i="8" s="1"/>
  <c r="D611" i="8" l="1"/>
  <c r="Q611" i="8" s="1"/>
  <c r="M610" i="8"/>
  <c r="E491" i="8"/>
  <c r="B491" i="8" s="1"/>
  <c r="D612" i="8" l="1"/>
  <c r="Q612" i="8" s="1"/>
  <c r="M611" i="8"/>
  <c r="E492" i="8"/>
  <c r="B492" i="8" s="1"/>
  <c r="D613" i="8" l="1"/>
  <c r="Q613" i="8" s="1"/>
  <c r="M612" i="8"/>
  <c r="E493" i="8"/>
  <c r="B493" i="8" s="1"/>
  <c r="D614" i="8" l="1"/>
  <c r="Q614" i="8" s="1"/>
  <c r="M613" i="8"/>
  <c r="E494" i="8"/>
  <c r="B494" i="8" s="1"/>
  <c r="D615" i="8" l="1"/>
  <c r="Q615" i="8" s="1"/>
  <c r="M614" i="8"/>
  <c r="E495" i="8"/>
  <c r="B495" i="8" s="1"/>
  <c r="D616" i="8" l="1"/>
  <c r="Q616" i="8" s="1"/>
  <c r="M615" i="8"/>
  <c r="E496" i="8"/>
  <c r="B496" i="8" s="1"/>
  <c r="D617" i="8" l="1"/>
  <c r="Q617" i="8" s="1"/>
  <c r="M616" i="8"/>
  <c r="E497" i="8"/>
  <c r="B497" i="8" s="1"/>
  <c r="D618" i="8" l="1"/>
  <c r="Q618" i="8" s="1"/>
  <c r="M617" i="8"/>
  <c r="E498" i="8"/>
  <c r="B498" i="8" s="1"/>
  <c r="D619" i="8" l="1"/>
  <c r="Q619" i="8" s="1"/>
  <c r="M618" i="8"/>
  <c r="E499" i="8"/>
  <c r="B499" i="8" s="1"/>
  <c r="D620" i="8" l="1"/>
  <c r="Q620" i="8" s="1"/>
  <c r="M619" i="8"/>
  <c r="E500" i="8"/>
  <c r="B500" i="8" s="1"/>
  <c r="D621" i="8" l="1"/>
  <c r="Q621" i="8" s="1"/>
  <c r="M620" i="8"/>
  <c r="E501" i="8"/>
  <c r="B501" i="8" s="1"/>
  <c r="D622" i="8" l="1"/>
  <c r="Q622" i="8" s="1"/>
  <c r="M621" i="8"/>
  <c r="E502" i="8"/>
  <c r="B502" i="8" s="1"/>
  <c r="D623" i="8" l="1"/>
  <c r="Q623" i="8" s="1"/>
  <c r="M622" i="8"/>
  <c r="E503" i="8"/>
  <c r="B503" i="8" s="1"/>
  <c r="D624" i="8" l="1"/>
  <c r="Q624" i="8" s="1"/>
  <c r="M623" i="8"/>
  <c r="E504" i="8"/>
  <c r="B504" i="8" s="1"/>
  <c r="D625" i="8" l="1"/>
  <c r="Q625" i="8" s="1"/>
  <c r="M624" i="8"/>
  <c r="E505" i="8"/>
  <c r="B505" i="8" s="1"/>
  <c r="D626" i="8" l="1"/>
  <c r="Q626" i="8" s="1"/>
  <c r="M625" i="8"/>
  <c r="E506" i="8"/>
  <c r="B506" i="8" s="1"/>
  <c r="D627" i="8" l="1"/>
  <c r="Q627" i="8" s="1"/>
  <c r="M626" i="8"/>
  <c r="E507" i="8"/>
  <c r="B507" i="8" s="1"/>
  <c r="D628" i="8" l="1"/>
  <c r="Q628" i="8" s="1"/>
  <c r="M627" i="8"/>
  <c r="E508" i="8"/>
  <c r="B508" i="8" s="1"/>
  <c r="D629" i="8" l="1"/>
  <c r="Q629" i="8" s="1"/>
  <c r="M628" i="8"/>
  <c r="E509" i="8"/>
  <c r="B509" i="8" s="1"/>
  <c r="D630" i="8" l="1"/>
  <c r="Q630" i="8" s="1"/>
  <c r="M629" i="8"/>
  <c r="E510" i="8"/>
  <c r="B510" i="8" s="1"/>
  <c r="D631" i="8" l="1"/>
  <c r="Q631" i="8" s="1"/>
  <c r="M630" i="8"/>
  <c r="E511" i="8"/>
  <c r="B511" i="8" s="1"/>
  <c r="D632" i="8" l="1"/>
  <c r="Q632" i="8" s="1"/>
  <c r="M631" i="8"/>
  <c r="E512" i="8"/>
  <c r="B512" i="8" s="1"/>
  <c r="D633" i="8" l="1"/>
  <c r="Q633" i="8" s="1"/>
  <c r="M632" i="8"/>
  <c r="E513" i="8"/>
  <c r="B513" i="8" s="1"/>
  <c r="D634" i="8" l="1"/>
  <c r="Q634" i="8" s="1"/>
  <c r="M633" i="8"/>
  <c r="E514" i="8"/>
  <c r="B514" i="8" s="1"/>
  <c r="D635" i="8" l="1"/>
  <c r="Q635" i="8" s="1"/>
  <c r="M634" i="8"/>
  <c r="E515" i="8"/>
  <c r="B515" i="8" s="1"/>
  <c r="D636" i="8" l="1"/>
  <c r="Q636" i="8" s="1"/>
  <c r="M635" i="8"/>
  <c r="E516" i="8"/>
  <c r="B516" i="8" s="1"/>
  <c r="D637" i="8" l="1"/>
  <c r="Q637" i="8" s="1"/>
  <c r="M636" i="8"/>
  <c r="E517" i="8"/>
  <c r="B517" i="8" s="1"/>
  <c r="D638" i="8" l="1"/>
  <c r="Q638" i="8" s="1"/>
  <c r="M637" i="8"/>
  <c r="E518" i="8"/>
  <c r="B518" i="8" s="1"/>
  <c r="D639" i="8" l="1"/>
  <c r="Q639" i="8" s="1"/>
  <c r="M638" i="8"/>
  <c r="E519" i="8"/>
  <c r="B519" i="8" s="1"/>
  <c r="D640" i="8" l="1"/>
  <c r="Q640" i="8" s="1"/>
  <c r="M639" i="8"/>
  <c r="E520" i="8"/>
  <c r="B520" i="8" s="1"/>
  <c r="D641" i="8" l="1"/>
  <c r="Q641" i="8" s="1"/>
  <c r="M640" i="8"/>
  <c r="E521" i="8"/>
  <c r="B521" i="8" s="1"/>
  <c r="D642" i="8" l="1"/>
  <c r="Q642" i="8" s="1"/>
  <c r="M641" i="8"/>
  <c r="E522" i="8"/>
  <c r="B522" i="8" s="1"/>
  <c r="D643" i="8" l="1"/>
  <c r="Q643" i="8" s="1"/>
  <c r="M642" i="8"/>
  <c r="E523" i="8"/>
  <c r="B523" i="8" s="1"/>
  <c r="D644" i="8" l="1"/>
  <c r="Q644" i="8" s="1"/>
  <c r="M643" i="8"/>
  <c r="E524" i="8"/>
  <c r="B524" i="8" s="1"/>
  <c r="D645" i="8" l="1"/>
  <c r="Q645" i="8" s="1"/>
  <c r="M644" i="8"/>
  <c r="E525" i="8"/>
  <c r="B525" i="8" s="1"/>
  <c r="D646" i="8" l="1"/>
  <c r="Q646" i="8" s="1"/>
  <c r="M645" i="8"/>
  <c r="E526" i="8"/>
  <c r="B526" i="8" s="1"/>
  <c r="D647" i="8" l="1"/>
  <c r="Q647" i="8" s="1"/>
  <c r="M646" i="8"/>
  <c r="E527" i="8"/>
  <c r="B527" i="8" s="1"/>
  <c r="D648" i="8" l="1"/>
  <c r="Q648" i="8" s="1"/>
  <c r="M647" i="8"/>
  <c r="E528" i="8"/>
  <c r="B528" i="8" s="1"/>
  <c r="D649" i="8" l="1"/>
  <c r="Q649" i="8" s="1"/>
  <c r="M648" i="8"/>
  <c r="E529" i="8"/>
  <c r="B529" i="8" s="1"/>
  <c r="D650" i="8" l="1"/>
  <c r="Q650" i="8" s="1"/>
  <c r="M649" i="8"/>
  <c r="E530" i="8"/>
  <c r="B530" i="8" s="1"/>
  <c r="D651" i="8" l="1"/>
  <c r="Q651" i="8" s="1"/>
  <c r="M650" i="8"/>
  <c r="E531" i="8"/>
  <c r="B531" i="8" s="1"/>
  <c r="D652" i="8" l="1"/>
  <c r="Q652" i="8" s="1"/>
  <c r="M651" i="8"/>
  <c r="E532" i="8"/>
  <c r="B532" i="8" s="1"/>
  <c r="D653" i="8" l="1"/>
  <c r="Q653" i="8" s="1"/>
  <c r="M652" i="8"/>
  <c r="E533" i="8"/>
  <c r="B533" i="8" s="1"/>
  <c r="D654" i="8" l="1"/>
  <c r="Q654" i="8" s="1"/>
  <c r="M653" i="8"/>
  <c r="E534" i="8"/>
  <c r="B534" i="8" s="1"/>
  <c r="D655" i="8" l="1"/>
  <c r="Q655" i="8" s="1"/>
  <c r="M654" i="8"/>
  <c r="E535" i="8"/>
  <c r="B535" i="8" s="1"/>
  <c r="D656" i="8" l="1"/>
  <c r="Q656" i="8" s="1"/>
  <c r="M655" i="8"/>
  <c r="E536" i="8"/>
  <c r="B536" i="8" s="1"/>
  <c r="D657" i="8" l="1"/>
  <c r="Q657" i="8" s="1"/>
  <c r="M656" i="8"/>
  <c r="E537" i="8"/>
  <c r="B537" i="8" s="1"/>
  <c r="D658" i="8" l="1"/>
  <c r="Q658" i="8" s="1"/>
  <c r="M657" i="8"/>
  <c r="E538" i="8"/>
  <c r="B538" i="8" s="1"/>
  <c r="D659" i="8" l="1"/>
  <c r="Q659" i="8" s="1"/>
  <c r="M658" i="8"/>
  <c r="E539" i="8"/>
  <c r="B539" i="8" s="1"/>
  <c r="D660" i="8" l="1"/>
  <c r="Q660" i="8" s="1"/>
  <c r="M659" i="8"/>
  <c r="E540" i="8"/>
  <c r="B540" i="8" s="1"/>
  <c r="D661" i="8" l="1"/>
  <c r="Q661" i="8" s="1"/>
  <c r="M660" i="8"/>
  <c r="E541" i="8"/>
  <c r="B541" i="8" s="1"/>
  <c r="D662" i="8" l="1"/>
  <c r="Q662" i="8" s="1"/>
  <c r="M661" i="8"/>
  <c r="E542" i="8"/>
  <c r="B542" i="8" s="1"/>
  <c r="D663" i="8" l="1"/>
  <c r="Q663" i="8" s="1"/>
  <c r="M662" i="8"/>
  <c r="E543" i="8"/>
  <c r="B543" i="8" s="1"/>
  <c r="D664" i="8" l="1"/>
  <c r="Q664" i="8" s="1"/>
  <c r="M663" i="8"/>
  <c r="E544" i="8"/>
  <c r="B544" i="8" s="1"/>
  <c r="D665" i="8" l="1"/>
  <c r="Q665" i="8" s="1"/>
  <c r="M664" i="8"/>
  <c r="E545" i="8"/>
  <c r="B545" i="8" s="1"/>
  <c r="D666" i="8" l="1"/>
  <c r="Q666" i="8" s="1"/>
  <c r="M665" i="8"/>
  <c r="E546" i="8"/>
  <c r="B546" i="8" s="1"/>
  <c r="D667" i="8" l="1"/>
  <c r="Q667" i="8" s="1"/>
  <c r="M666" i="8"/>
  <c r="E547" i="8"/>
  <c r="B547" i="8" s="1"/>
  <c r="D668" i="8" l="1"/>
  <c r="Q668" i="8" s="1"/>
  <c r="M667" i="8"/>
  <c r="E548" i="8"/>
  <c r="B548" i="8" s="1"/>
  <c r="D669" i="8" l="1"/>
  <c r="Q669" i="8" s="1"/>
  <c r="M668" i="8"/>
  <c r="E549" i="8"/>
  <c r="B549" i="8" s="1"/>
  <c r="D670" i="8" l="1"/>
  <c r="Q670" i="8" s="1"/>
  <c r="M669" i="8"/>
  <c r="E550" i="8"/>
  <c r="B550" i="8" s="1"/>
  <c r="D671" i="8" l="1"/>
  <c r="Q671" i="8" s="1"/>
  <c r="M670" i="8"/>
  <c r="E551" i="8"/>
  <c r="B551" i="8" s="1"/>
  <c r="D672" i="8" l="1"/>
  <c r="Q672" i="8" s="1"/>
  <c r="M671" i="8"/>
  <c r="E552" i="8"/>
  <c r="B552" i="8" s="1"/>
  <c r="D673" i="8" l="1"/>
  <c r="Q673" i="8" s="1"/>
  <c r="M672" i="8"/>
  <c r="E553" i="8"/>
  <c r="B553" i="8" s="1"/>
  <c r="D674" i="8" l="1"/>
  <c r="Q674" i="8" s="1"/>
  <c r="M673" i="8"/>
  <c r="E554" i="8"/>
  <c r="B554" i="8" s="1"/>
  <c r="D675" i="8" l="1"/>
  <c r="Q675" i="8" s="1"/>
  <c r="M674" i="8"/>
  <c r="E555" i="8"/>
  <c r="B555" i="8" s="1"/>
  <c r="D676" i="8" l="1"/>
  <c r="Q676" i="8" s="1"/>
  <c r="M675" i="8"/>
  <c r="E556" i="8"/>
  <c r="B556" i="8" s="1"/>
  <c r="D677" i="8" l="1"/>
  <c r="Q677" i="8" s="1"/>
  <c r="M676" i="8"/>
  <c r="E557" i="8"/>
  <c r="B557" i="8" s="1"/>
  <c r="D678" i="8" l="1"/>
  <c r="Q678" i="8" s="1"/>
  <c r="M677" i="8"/>
  <c r="E558" i="8"/>
  <c r="B558" i="8" s="1"/>
  <c r="D679" i="8" l="1"/>
  <c r="Q679" i="8" s="1"/>
  <c r="M678" i="8"/>
  <c r="E559" i="8"/>
  <c r="B559" i="8" s="1"/>
  <c r="D680" i="8" l="1"/>
  <c r="Q680" i="8" s="1"/>
  <c r="M679" i="8"/>
  <c r="E560" i="8"/>
  <c r="B560" i="8" s="1"/>
  <c r="D681" i="8" l="1"/>
  <c r="Q681" i="8" s="1"/>
  <c r="M680" i="8"/>
  <c r="E561" i="8"/>
  <c r="B561" i="8" s="1"/>
  <c r="D682" i="8" l="1"/>
  <c r="Q682" i="8" s="1"/>
  <c r="M681" i="8"/>
  <c r="E562" i="8"/>
  <c r="B562" i="8" s="1"/>
  <c r="D683" i="8" l="1"/>
  <c r="Q683" i="8" s="1"/>
  <c r="M682" i="8"/>
  <c r="E563" i="8"/>
  <c r="B563" i="8" s="1"/>
  <c r="D684" i="8" l="1"/>
  <c r="Q684" i="8" s="1"/>
  <c r="M683" i="8"/>
  <c r="E564" i="8"/>
  <c r="B564" i="8" s="1"/>
  <c r="D685" i="8" l="1"/>
  <c r="Q685" i="8" s="1"/>
  <c r="M684" i="8"/>
  <c r="E565" i="8"/>
  <c r="B565" i="8" s="1"/>
  <c r="D686" i="8" l="1"/>
  <c r="Q686" i="8" s="1"/>
  <c r="M685" i="8"/>
  <c r="E566" i="8"/>
  <c r="B566" i="8" s="1"/>
  <c r="D687" i="8" l="1"/>
  <c r="Q687" i="8" s="1"/>
  <c r="M686" i="8"/>
  <c r="E567" i="8"/>
  <c r="B567" i="8" s="1"/>
  <c r="D688" i="8" l="1"/>
  <c r="Q688" i="8" s="1"/>
  <c r="M687" i="8"/>
  <c r="E568" i="8"/>
  <c r="B568" i="8" s="1"/>
  <c r="D689" i="8" l="1"/>
  <c r="Q689" i="8" s="1"/>
  <c r="M688" i="8"/>
  <c r="E569" i="8"/>
  <c r="B569" i="8" s="1"/>
  <c r="D690" i="8" l="1"/>
  <c r="Q690" i="8" s="1"/>
  <c r="M689" i="8"/>
  <c r="E570" i="8"/>
  <c r="B570" i="8" s="1"/>
  <c r="D691" i="8" l="1"/>
  <c r="Q691" i="8" s="1"/>
  <c r="M690" i="8"/>
  <c r="E571" i="8"/>
  <c r="B571" i="8" s="1"/>
  <c r="D692" i="8" l="1"/>
  <c r="Q692" i="8" s="1"/>
  <c r="M691" i="8"/>
  <c r="E572" i="8"/>
  <c r="B572" i="8" s="1"/>
  <c r="D693" i="8" l="1"/>
  <c r="Q693" i="8" s="1"/>
  <c r="M692" i="8"/>
  <c r="E573" i="8"/>
  <c r="B573" i="8" s="1"/>
  <c r="D694" i="8" l="1"/>
  <c r="Q694" i="8" s="1"/>
  <c r="M693" i="8"/>
  <c r="E574" i="8"/>
  <c r="B574" i="8" s="1"/>
  <c r="D695" i="8" l="1"/>
  <c r="Q695" i="8" s="1"/>
  <c r="M694" i="8"/>
  <c r="E575" i="8"/>
  <c r="B575" i="8" s="1"/>
  <c r="D696" i="8" l="1"/>
  <c r="Q696" i="8" s="1"/>
  <c r="M695" i="8"/>
  <c r="E576" i="8"/>
  <c r="B576" i="8" s="1"/>
  <c r="D697" i="8" l="1"/>
  <c r="Q697" i="8" s="1"/>
  <c r="M696" i="8"/>
  <c r="E577" i="8"/>
  <c r="B577" i="8" s="1"/>
  <c r="D698" i="8" l="1"/>
  <c r="Q698" i="8" s="1"/>
  <c r="M697" i="8"/>
  <c r="E578" i="8"/>
  <c r="B578" i="8" s="1"/>
  <c r="D699" i="8" l="1"/>
  <c r="Q699" i="8" s="1"/>
  <c r="M698" i="8"/>
  <c r="E579" i="8"/>
  <c r="B579" i="8" s="1"/>
  <c r="D700" i="8" l="1"/>
  <c r="Q700" i="8" s="1"/>
  <c r="M699" i="8"/>
  <c r="E580" i="8"/>
  <c r="B580" i="8" s="1"/>
  <c r="D701" i="8" l="1"/>
  <c r="Q701" i="8" s="1"/>
  <c r="M700" i="8"/>
  <c r="E581" i="8"/>
  <c r="B581" i="8" s="1"/>
  <c r="D702" i="8" l="1"/>
  <c r="Q702" i="8" s="1"/>
  <c r="M701" i="8"/>
  <c r="E582" i="8"/>
  <c r="B582" i="8" s="1"/>
  <c r="D703" i="8" l="1"/>
  <c r="Q703" i="8" s="1"/>
  <c r="M702" i="8"/>
  <c r="E583" i="8"/>
  <c r="B583" i="8" s="1"/>
  <c r="D704" i="8" l="1"/>
  <c r="Q704" i="8" s="1"/>
  <c r="M703" i="8"/>
  <c r="E584" i="8"/>
  <c r="B584" i="8" s="1"/>
  <c r="D705" i="8" l="1"/>
  <c r="Q705" i="8" s="1"/>
  <c r="M704" i="8"/>
  <c r="E585" i="8"/>
  <c r="B585" i="8" s="1"/>
  <c r="D706" i="8" l="1"/>
  <c r="Q706" i="8" s="1"/>
  <c r="M705" i="8"/>
  <c r="E586" i="8"/>
  <c r="B586" i="8" s="1"/>
  <c r="D707" i="8" l="1"/>
  <c r="Q707" i="8" s="1"/>
  <c r="M706" i="8"/>
  <c r="E587" i="8"/>
  <c r="B587" i="8" s="1"/>
  <c r="D708" i="8" l="1"/>
  <c r="Q708" i="8" s="1"/>
  <c r="M707" i="8"/>
  <c r="E588" i="8"/>
  <c r="B588" i="8" s="1"/>
  <c r="D709" i="8" l="1"/>
  <c r="Q709" i="8" s="1"/>
  <c r="M708" i="8"/>
  <c r="E589" i="8"/>
  <c r="B589" i="8" s="1"/>
  <c r="D710" i="8" l="1"/>
  <c r="Q710" i="8" s="1"/>
  <c r="M709" i="8"/>
  <c r="E590" i="8"/>
  <c r="B590" i="8" s="1"/>
  <c r="D711" i="8" l="1"/>
  <c r="Q711" i="8" s="1"/>
  <c r="M710" i="8"/>
  <c r="E591" i="8"/>
  <c r="B591" i="8" s="1"/>
  <c r="D712" i="8" l="1"/>
  <c r="Q712" i="8" s="1"/>
  <c r="M711" i="8"/>
  <c r="E592" i="8"/>
  <c r="B592" i="8" s="1"/>
  <c r="D713" i="8" l="1"/>
  <c r="Q713" i="8" s="1"/>
  <c r="M712" i="8"/>
  <c r="E593" i="8"/>
  <c r="B593" i="8" s="1"/>
  <c r="D714" i="8" l="1"/>
  <c r="Q714" i="8" s="1"/>
  <c r="M713" i="8"/>
  <c r="E594" i="8"/>
  <c r="B594" i="8" s="1"/>
  <c r="D715" i="8" l="1"/>
  <c r="Q715" i="8" s="1"/>
  <c r="M714" i="8"/>
  <c r="E595" i="8"/>
  <c r="B595" i="8" s="1"/>
  <c r="D716" i="8" l="1"/>
  <c r="Q716" i="8" s="1"/>
  <c r="M715" i="8"/>
  <c r="E596" i="8"/>
  <c r="B596" i="8" s="1"/>
  <c r="D717" i="8" l="1"/>
  <c r="Q717" i="8" s="1"/>
  <c r="M716" i="8"/>
  <c r="E597" i="8"/>
  <c r="B597" i="8" s="1"/>
  <c r="D718" i="8" l="1"/>
  <c r="Q718" i="8" s="1"/>
  <c r="M717" i="8"/>
  <c r="E598" i="8"/>
  <c r="B598" i="8" s="1"/>
  <c r="D719" i="8" l="1"/>
  <c r="Q719" i="8" s="1"/>
  <c r="M718" i="8"/>
  <c r="E599" i="8"/>
  <c r="B599" i="8" s="1"/>
  <c r="D720" i="8" l="1"/>
  <c r="Q720" i="8" s="1"/>
  <c r="M719" i="8"/>
  <c r="E600" i="8"/>
  <c r="B600" i="8" s="1"/>
  <c r="D721" i="8" l="1"/>
  <c r="Q721" i="8" s="1"/>
  <c r="M720" i="8"/>
  <c r="E601" i="8"/>
  <c r="B601" i="8" s="1"/>
  <c r="D722" i="8" l="1"/>
  <c r="Q722" i="8" s="1"/>
  <c r="M721" i="8"/>
  <c r="E602" i="8"/>
  <c r="B602" i="8" s="1"/>
  <c r="D723" i="8" l="1"/>
  <c r="Q723" i="8" s="1"/>
  <c r="M722" i="8"/>
  <c r="E603" i="8"/>
  <c r="B603" i="8" s="1"/>
  <c r="D724" i="8" l="1"/>
  <c r="Q724" i="8" s="1"/>
  <c r="M723" i="8"/>
  <c r="E604" i="8"/>
  <c r="B604" i="8" s="1"/>
  <c r="D725" i="8" l="1"/>
  <c r="Q725" i="8" s="1"/>
  <c r="M724" i="8"/>
  <c r="E605" i="8"/>
  <c r="B605" i="8" s="1"/>
  <c r="D726" i="8" l="1"/>
  <c r="Q726" i="8" s="1"/>
  <c r="M725" i="8"/>
  <c r="E606" i="8"/>
  <c r="B606" i="8" s="1"/>
  <c r="D727" i="8" l="1"/>
  <c r="Q727" i="8" s="1"/>
  <c r="M726" i="8"/>
  <c r="E607" i="8"/>
  <c r="B607" i="8" s="1"/>
  <c r="D728" i="8" l="1"/>
  <c r="Q728" i="8" s="1"/>
  <c r="M727" i="8"/>
  <c r="E608" i="8"/>
  <c r="B608" i="8" s="1"/>
  <c r="D729" i="8" l="1"/>
  <c r="Q729" i="8" s="1"/>
  <c r="M728" i="8"/>
  <c r="E609" i="8"/>
  <c r="B609" i="8" s="1"/>
  <c r="D730" i="8" l="1"/>
  <c r="Q730" i="8" s="1"/>
  <c r="M729" i="8"/>
  <c r="E610" i="8"/>
  <c r="B610" i="8" s="1"/>
  <c r="D731" i="8" l="1"/>
  <c r="Q731" i="8" s="1"/>
  <c r="M730" i="8"/>
  <c r="E611" i="8"/>
  <c r="B611" i="8" s="1"/>
  <c r="D732" i="8" l="1"/>
  <c r="Q732" i="8" s="1"/>
  <c r="M731" i="8"/>
  <c r="E612" i="8"/>
  <c r="B612" i="8" s="1"/>
  <c r="D733" i="8" l="1"/>
  <c r="Q733" i="8" s="1"/>
  <c r="M732" i="8"/>
  <c r="E613" i="8"/>
  <c r="B613" i="8" s="1"/>
  <c r="D734" i="8" l="1"/>
  <c r="Q734" i="8" s="1"/>
  <c r="M733" i="8"/>
  <c r="E614" i="8"/>
  <c r="B614" i="8" s="1"/>
  <c r="D735" i="8" l="1"/>
  <c r="Q735" i="8" s="1"/>
  <c r="M734" i="8"/>
  <c r="E615" i="8"/>
  <c r="B615" i="8" s="1"/>
  <c r="D736" i="8" l="1"/>
  <c r="Q736" i="8" s="1"/>
  <c r="M735" i="8"/>
  <c r="E616" i="8"/>
  <c r="B616" i="8" s="1"/>
  <c r="D737" i="8" l="1"/>
  <c r="Q737" i="8" s="1"/>
  <c r="M736" i="8"/>
  <c r="E617" i="8"/>
  <c r="B617" i="8" s="1"/>
  <c r="D738" i="8" l="1"/>
  <c r="Q738" i="8" s="1"/>
  <c r="M737" i="8"/>
  <c r="E618" i="8"/>
  <c r="B618" i="8" s="1"/>
  <c r="D739" i="8" l="1"/>
  <c r="Q739" i="8" s="1"/>
  <c r="M738" i="8"/>
  <c r="E619" i="8"/>
  <c r="B619" i="8" s="1"/>
  <c r="D740" i="8" l="1"/>
  <c r="Q740" i="8" s="1"/>
  <c r="M739" i="8"/>
  <c r="E620" i="8"/>
  <c r="B620" i="8" s="1"/>
  <c r="D741" i="8" l="1"/>
  <c r="Q741" i="8" s="1"/>
  <c r="M740" i="8"/>
  <c r="E621" i="8"/>
  <c r="B621" i="8" s="1"/>
  <c r="D742" i="8" l="1"/>
  <c r="Q742" i="8" s="1"/>
  <c r="M741" i="8"/>
  <c r="E622" i="8"/>
  <c r="B622" i="8" s="1"/>
  <c r="D743" i="8" l="1"/>
  <c r="Q743" i="8" s="1"/>
  <c r="M742" i="8"/>
  <c r="E623" i="8"/>
  <c r="B623" i="8" s="1"/>
  <c r="D744" i="8" l="1"/>
  <c r="Q744" i="8" s="1"/>
  <c r="M743" i="8"/>
  <c r="E624" i="8"/>
  <c r="B624" i="8" s="1"/>
  <c r="D745" i="8" l="1"/>
  <c r="Q745" i="8" s="1"/>
  <c r="M744" i="8"/>
  <c r="E625" i="8"/>
  <c r="B625" i="8" s="1"/>
  <c r="D746" i="8" l="1"/>
  <c r="Q746" i="8" s="1"/>
  <c r="M745" i="8"/>
  <c r="E626" i="8"/>
  <c r="B626" i="8" s="1"/>
  <c r="D747" i="8" l="1"/>
  <c r="Q747" i="8" s="1"/>
  <c r="M746" i="8"/>
  <c r="E627" i="8"/>
  <c r="B627" i="8" s="1"/>
  <c r="D748" i="8" l="1"/>
  <c r="Q748" i="8" s="1"/>
  <c r="M747" i="8"/>
  <c r="E628" i="8"/>
  <c r="B628" i="8" s="1"/>
  <c r="D749" i="8" l="1"/>
  <c r="Q749" i="8" s="1"/>
  <c r="M748" i="8"/>
  <c r="E629" i="8"/>
  <c r="B629" i="8" s="1"/>
  <c r="D750" i="8" l="1"/>
  <c r="Q750" i="8" s="1"/>
  <c r="M749" i="8"/>
  <c r="E630" i="8"/>
  <c r="B630" i="8" s="1"/>
  <c r="M750" i="8" l="1"/>
  <c r="E631" i="8"/>
  <c r="B631" i="8" s="1"/>
  <c r="E632" i="8" l="1"/>
  <c r="B632" i="8" s="1"/>
  <c r="E633" i="8" l="1"/>
  <c r="B633" i="8" s="1"/>
  <c r="E634" i="8" l="1"/>
  <c r="B634" i="8" s="1"/>
  <c r="E635" i="8" l="1"/>
  <c r="B635" i="8" s="1"/>
  <c r="E636" i="8" l="1"/>
  <c r="B636" i="8" s="1"/>
  <c r="E637" i="8" l="1"/>
  <c r="B637" i="8" s="1"/>
  <c r="E638" i="8" l="1"/>
  <c r="B638" i="8" s="1"/>
  <c r="E639" i="8" l="1"/>
  <c r="B639" i="8" s="1"/>
  <c r="E640" i="8" l="1"/>
  <c r="B640" i="8" s="1"/>
  <c r="E641" i="8" l="1"/>
  <c r="B641" i="8" s="1"/>
  <c r="E642" i="8" l="1"/>
  <c r="B642" i="8" s="1"/>
  <c r="E643" i="8" l="1"/>
  <c r="B643" i="8" s="1"/>
  <c r="E644" i="8" l="1"/>
  <c r="B644" i="8" s="1"/>
  <c r="E645" i="8" l="1"/>
  <c r="B645" i="8" s="1"/>
  <c r="E646" i="8" l="1"/>
  <c r="B646" i="8" s="1"/>
  <c r="E647" i="8" l="1"/>
  <c r="B647" i="8" s="1"/>
  <c r="E648" i="8" l="1"/>
  <c r="B648" i="8" s="1"/>
  <c r="E649" i="8" l="1"/>
  <c r="B649" i="8" s="1"/>
  <c r="E650" i="8" l="1"/>
  <c r="B650" i="8" s="1"/>
  <c r="E651" i="8" l="1"/>
  <c r="B651" i="8" s="1"/>
  <c r="E652" i="8" l="1"/>
  <c r="B652" i="8" s="1"/>
  <c r="E653" i="8" l="1"/>
  <c r="B653" i="8" s="1"/>
  <c r="E654" i="8" l="1"/>
  <c r="B654" i="8" s="1"/>
  <c r="E655" i="8" l="1"/>
  <c r="B655" i="8" s="1"/>
  <c r="E656" i="8" l="1"/>
  <c r="B656" i="8" s="1"/>
  <c r="E657" i="8" l="1"/>
  <c r="B657" i="8" s="1"/>
  <c r="E658" i="8" l="1"/>
  <c r="B658" i="8" s="1"/>
  <c r="E659" i="8" l="1"/>
  <c r="B659" i="8" l="1"/>
  <c r="E660" i="8"/>
  <c r="B660" i="8" s="1"/>
  <c r="E661" i="8" l="1"/>
  <c r="B661" i="8" s="1"/>
  <c r="E662" i="8" l="1"/>
  <c r="B662" i="8" s="1"/>
  <c r="E663" i="8" l="1"/>
  <c r="B663" i="8" s="1"/>
  <c r="E664" i="8" l="1"/>
  <c r="B664" i="8" s="1"/>
  <c r="E665" i="8" l="1"/>
  <c r="B665" i="8" s="1"/>
  <c r="E666" i="8" l="1"/>
  <c r="B666" i="8" s="1"/>
  <c r="E667" i="8" l="1"/>
  <c r="B667" i="8" s="1"/>
  <c r="E668" i="8" l="1"/>
  <c r="B668" i="8" s="1"/>
  <c r="E669" i="8" l="1"/>
  <c r="B669" i="8" s="1"/>
  <c r="E670" i="8" l="1"/>
  <c r="B670" i="8" s="1"/>
  <c r="E671" i="8" l="1"/>
  <c r="B671" i="8" s="1"/>
  <c r="E672" i="8" l="1"/>
  <c r="B672" i="8" s="1"/>
  <c r="E673" i="8" l="1"/>
  <c r="B673" i="8" s="1"/>
  <c r="E674" i="8" l="1"/>
  <c r="B674" i="8" s="1"/>
  <c r="E675" i="8" l="1"/>
  <c r="B675" i="8" s="1"/>
  <c r="E676" i="8" l="1"/>
  <c r="B676" i="8" s="1"/>
  <c r="E677" i="8" l="1"/>
  <c r="B677" i="8" s="1"/>
  <c r="E678" i="8" l="1"/>
  <c r="B678" i="8" s="1"/>
  <c r="E679" i="8" l="1"/>
  <c r="B679" i="8" s="1"/>
  <c r="E680" i="8" l="1"/>
  <c r="B680" i="8" s="1"/>
  <c r="E681" i="8" l="1"/>
  <c r="B681" i="8" s="1"/>
  <c r="E682" i="8" l="1"/>
  <c r="B682" i="8" s="1"/>
  <c r="E683" i="8" l="1"/>
  <c r="B683" i="8" s="1"/>
  <c r="E684" i="8" l="1"/>
  <c r="B684" i="8" s="1"/>
  <c r="E685" i="8" l="1"/>
  <c r="B685" i="8" s="1"/>
  <c r="E686" i="8" l="1"/>
  <c r="B686" i="8" s="1"/>
  <c r="E687" i="8" l="1"/>
  <c r="B687" i="8" s="1"/>
  <c r="E688" i="8" l="1"/>
  <c r="B688" i="8" s="1"/>
  <c r="E689" i="8" l="1"/>
  <c r="B689" i="8" s="1"/>
  <c r="E690" i="8" l="1"/>
  <c r="B690" i="8" s="1"/>
  <c r="E691" i="8" l="1"/>
  <c r="B691" i="8" s="1"/>
  <c r="E692" i="8" l="1"/>
  <c r="B692" i="8" s="1"/>
  <c r="E693" i="8" l="1"/>
  <c r="B693" i="8" s="1"/>
  <c r="E694" i="8" l="1"/>
  <c r="B694" i="8" s="1"/>
  <c r="E695" i="8" l="1"/>
  <c r="B695" i="8" s="1"/>
  <c r="E696" i="8" l="1"/>
  <c r="B696" i="8" s="1"/>
  <c r="E697" i="8" l="1"/>
  <c r="B697" i="8" s="1"/>
  <c r="E698" i="8" l="1"/>
  <c r="B698" i="8" s="1"/>
  <c r="E699" i="8" l="1"/>
  <c r="B699" i="8" s="1"/>
  <c r="E700" i="8" l="1"/>
  <c r="B700" i="8" s="1"/>
  <c r="E701" i="8" l="1"/>
  <c r="B701" i="8" s="1"/>
  <c r="E702" i="8" l="1"/>
  <c r="B702" i="8" s="1"/>
  <c r="E703" i="8" l="1"/>
  <c r="B703" i="8" s="1"/>
  <c r="E704" i="8" l="1"/>
  <c r="B704" i="8" s="1"/>
  <c r="E705" i="8" l="1"/>
  <c r="B705" i="8" l="1"/>
  <c r="E706" i="8"/>
  <c r="B706" i="8" s="1"/>
  <c r="E707" i="8" l="1"/>
  <c r="B707" i="8" s="1"/>
  <c r="E708" i="8" l="1"/>
  <c r="B708" i="8" s="1"/>
  <c r="E709" i="8" l="1"/>
  <c r="B709" i="8" s="1"/>
  <c r="E710" i="8" l="1"/>
  <c r="B710" i="8" s="1"/>
  <c r="E711" i="8" l="1"/>
  <c r="B711" i="8" s="1"/>
  <c r="E712" i="8" l="1"/>
  <c r="B712" i="8" s="1"/>
  <c r="E713" i="8" l="1"/>
  <c r="B713" i="8" s="1"/>
  <c r="E714" i="8" l="1"/>
  <c r="B714" i="8" s="1"/>
  <c r="E715" i="8" l="1"/>
  <c r="B715" i="8" s="1"/>
  <c r="E716" i="8" l="1"/>
  <c r="B716" i="8" s="1"/>
  <c r="E717" i="8" l="1"/>
  <c r="B717" i="8" s="1"/>
  <c r="E718" i="8" l="1"/>
  <c r="B718" i="8" s="1"/>
  <c r="E719" i="8" l="1"/>
  <c r="B719" i="8" s="1"/>
  <c r="E720" i="8" l="1"/>
  <c r="B720" i="8" s="1"/>
  <c r="E721" i="8" l="1"/>
  <c r="B721" i="8" s="1"/>
  <c r="E722" i="8" l="1"/>
  <c r="B722" i="8" s="1"/>
  <c r="E723" i="8" l="1"/>
  <c r="B723" i="8" s="1"/>
  <c r="E724" i="8" l="1"/>
  <c r="B724" i="8" s="1"/>
  <c r="E725" i="8" l="1"/>
  <c r="B725" i="8" s="1"/>
  <c r="E726" i="8" l="1"/>
  <c r="B726" i="8" s="1"/>
  <c r="E727" i="8" l="1"/>
  <c r="B727" i="8" s="1"/>
  <c r="E728" i="8" l="1"/>
  <c r="B728" i="8" l="1"/>
  <c r="E729" i="8"/>
  <c r="B729" i="8" s="1"/>
  <c r="E730" i="8" l="1"/>
  <c r="B730" i="8" s="1"/>
  <c r="E731" i="8" l="1"/>
  <c r="B731" i="8" s="1"/>
  <c r="E732" i="8" l="1"/>
  <c r="B732" i="8" s="1"/>
  <c r="E733" i="8" l="1"/>
  <c r="B733" i="8" s="1"/>
  <c r="E734" i="8" l="1"/>
  <c r="B734" i="8" s="1"/>
  <c r="E735" i="8" l="1"/>
  <c r="B735" i="8" s="1"/>
  <c r="E736" i="8" l="1"/>
  <c r="B736" i="8" s="1"/>
  <c r="E737" i="8" l="1"/>
  <c r="B737" i="8" s="1"/>
  <c r="E738" i="8" l="1"/>
  <c r="B738" i="8" s="1"/>
  <c r="E739" i="8" l="1"/>
  <c r="B739" i="8" l="1"/>
  <c r="E740" i="8"/>
  <c r="B740" i="8" s="1"/>
  <c r="E741" i="8" l="1"/>
  <c r="B741" i="8" s="1"/>
  <c r="E742" i="8" l="1"/>
  <c r="B742" i="8" s="1"/>
  <c r="E743" i="8" l="1"/>
  <c r="B743" i="8" s="1"/>
  <c r="E744" i="8" l="1"/>
  <c r="B744" i="8" s="1"/>
  <c r="E745" i="8" l="1"/>
  <c r="B745" i="8" l="1"/>
  <c r="E746" i="8"/>
  <c r="B746" i="8" s="1"/>
  <c r="E747" i="8" l="1"/>
  <c r="B747" i="8" s="1"/>
  <c r="E748" i="8" l="1"/>
  <c r="B748" i="8" s="1"/>
  <c r="E749" i="8" l="1"/>
  <c r="B749" i="8" s="1"/>
  <c r="E750" i="8" l="1"/>
  <c r="B750" i="8" s="1"/>
  <c r="M16" i="4" l="1"/>
  <c r="E1" i="4"/>
  <c r="E8" i="4"/>
  <c r="J4" i="8"/>
  <c r="H40" i="4" l="1"/>
  <c r="H39" i="4"/>
  <c r="H38" i="4"/>
  <c r="H37" i="4"/>
  <c r="H36" i="4"/>
  <c r="H35" i="4"/>
  <c r="H34" i="4"/>
  <c r="H33" i="4"/>
  <c r="H32" i="4"/>
  <c r="C17" i="4"/>
  <c r="C18" i="4" l="1"/>
  <c r="C19" i="4" s="1"/>
  <c r="C20" i="4" l="1"/>
  <c r="C21" i="4" l="1"/>
  <c r="C22" i="4" l="1"/>
  <c r="C23" i="4" l="1"/>
  <c r="C24" i="4" l="1"/>
  <c r="C25" i="4" l="1"/>
  <c r="C26" i="4" l="1"/>
  <c r="C27" i="4" l="1"/>
  <c r="C28" i="4" l="1"/>
  <c r="K1" i="4" l="1"/>
  <c r="C29" i="4"/>
  <c r="C30" i="4" l="1"/>
  <c r="H16" i="4" l="1"/>
  <c r="I16" i="4" s="1"/>
  <c r="J17" i="4" s="1"/>
  <c r="C31" i="4"/>
  <c r="C32" i="4" l="1"/>
  <c r="C33" i="4" l="1"/>
  <c r="C34" i="4" l="1"/>
  <c r="C35" i="4" l="1"/>
  <c r="C36" i="4" l="1"/>
  <c r="C37" i="4" l="1"/>
  <c r="C38" i="4" l="1"/>
  <c r="C39" i="4" l="1"/>
  <c r="C40" i="4" l="1"/>
  <c r="G19" i="4" l="1"/>
  <c r="G18" i="4"/>
  <c r="H17" i="4" l="1"/>
  <c r="I17" i="4" s="1"/>
  <c r="J18" i="4" s="1"/>
  <c r="H30" i="4" l="1"/>
  <c r="I30" i="4" s="1"/>
  <c r="H29" i="4"/>
  <c r="I29" i="4" s="1"/>
  <c r="H28" i="4"/>
  <c r="I28" i="4" s="1"/>
  <c r="H27" i="4"/>
  <c r="I27" i="4" s="1"/>
  <c r="H26" i="4"/>
  <c r="I26" i="4" s="1"/>
  <c r="H25" i="4"/>
  <c r="I25" i="4" s="1"/>
  <c r="H24" i="4"/>
  <c r="I24" i="4" s="1"/>
  <c r="H23" i="4"/>
  <c r="I23" i="4" s="1"/>
  <c r="H22" i="4"/>
  <c r="I22" i="4" s="1"/>
  <c r="H19" i="4"/>
  <c r="I19" i="4" s="1"/>
  <c r="H18" i="4"/>
  <c r="I18" i="4" s="1"/>
  <c r="J19" i="4" s="1"/>
  <c r="H31" i="4" l="1"/>
  <c r="I31" i="4" s="1"/>
  <c r="K18" i="4" l="1"/>
  <c r="K17" i="4"/>
  <c r="K16" i="4"/>
  <c r="I2" i="8" l="1"/>
  <c r="R18" i="8"/>
  <c r="R19" i="8"/>
  <c r="R20" i="8"/>
  <c r="R21" i="8"/>
  <c r="R22" i="8"/>
  <c r="R23" i="8"/>
  <c r="R24" i="8"/>
  <c r="R25" i="8"/>
  <c r="R26" i="8"/>
  <c r="R27" i="8"/>
  <c r="R28" i="8"/>
  <c r="R29" i="8"/>
  <c r="R30" i="8"/>
  <c r="R31" i="8"/>
  <c r="R32" i="8"/>
  <c r="R33" i="8"/>
  <c r="R34" i="8"/>
  <c r="R35" i="8"/>
  <c r="R36" i="8"/>
  <c r="R37" i="8"/>
  <c r="R38" i="8"/>
  <c r="R39" i="8"/>
  <c r="R40" i="8"/>
  <c r="R41" i="8"/>
  <c r="R42" i="8"/>
  <c r="R43" i="8"/>
  <c r="R44" i="8"/>
  <c r="R45" i="8"/>
  <c r="R46" i="8"/>
  <c r="R47" i="8"/>
  <c r="R48" i="8"/>
  <c r="R49" i="8"/>
  <c r="R50" i="8"/>
  <c r="R51" i="8"/>
  <c r="R52" i="8"/>
  <c r="R53" i="8"/>
  <c r="R54" i="8"/>
  <c r="R55" i="8"/>
  <c r="R56" i="8"/>
  <c r="R57" i="8"/>
  <c r="R58" i="8"/>
  <c r="R59" i="8"/>
  <c r="R60" i="8"/>
  <c r="R61" i="8"/>
  <c r="R62" i="8"/>
  <c r="R63" i="8"/>
  <c r="R64" i="8"/>
  <c r="R65" i="8"/>
  <c r="R66" i="8"/>
  <c r="R67" i="8"/>
  <c r="R68" i="8"/>
  <c r="R69" i="8"/>
  <c r="R70" i="8"/>
  <c r="R71" i="8"/>
  <c r="R72" i="8"/>
  <c r="R73" i="8"/>
  <c r="R74" i="8"/>
  <c r="R75" i="8"/>
  <c r="R76" i="8"/>
  <c r="R77" i="8"/>
  <c r="R78" i="8"/>
  <c r="R79" i="8"/>
  <c r="R80" i="8"/>
  <c r="R81" i="8"/>
  <c r="R82" i="8"/>
  <c r="R83" i="8"/>
  <c r="R84" i="8"/>
  <c r="R85" i="8"/>
  <c r="R86" i="8"/>
  <c r="R87" i="8"/>
  <c r="R88" i="8"/>
  <c r="R89" i="8"/>
  <c r="R90" i="8"/>
  <c r="R91" i="8"/>
  <c r="R92" i="8"/>
  <c r="R93" i="8"/>
  <c r="R94" i="8"/>
  <c r="R95" i="8"/>
  <c r="R96" i="8"/>
  <c r="R97" i="8"/>
  <c r="R98" i="8"/>
  <c r="R99" i="8"/>
  <c r="R100" i="8"/>
  <c r="R101" i="8"/>
  <c r="R102" i="8"/>
  <c r="R103" i="8"/>
  <c r="R104" i="8"/>
  <c r="R105" i="8"/>
  <c r="R106" i="8"/>
  <c r="R107" i="8"/>
  <c r="R108" i="8"/>
  <c r="R109" i="8"/>
  <c r="R110" i="8"/>
  <c r="R111" i="8"/>
  <c r="R112" i="8"/>
  <c r="R113" i="8"/>
  <c r="R114" i="8"/>
  <c r="R115" i="8"/>
  <c r="R116" i="8"/>
  <c r="R117" i="8"/>
  <c r="R118" i="8"/>
  <c r="R119" i="8"/>
  <c r="R120" i="8"/>
  <c r="R121" i="8"/>
  <c r="R122" i="8"/>
  <c r="R123" i="8"/>
  <c r="R124" i="8"/>
  <c r="R125" i="8"/>
  <c r="R126" i="8"/>
  <c r="R127" i="8"/>
  <c r="R128" i="8"/>
  <c r="R129" i="8"/>
  <c r="R130" i="8"/>
  <c r="R131" i="8"/>
  <c r="R132" i="8"/>
  <c r="R133" i="8"/>
  <c r="R134" i="8"/>
  <c r="R135" i="8"/>
  <c r="R136" i="8"/>
  <c r="R137" i="8"/>
  <c r="R138" i="8"/>
  <c r="R139" i="8"/>
  <c r="R140" i="8"/>
  <c r="R141" i="8"/>
  <c r="R142" i="8"/>
  <c r="R143" i="8"/>
  <c r="R144" i="8"/>
  <c r="R145" i="8"/>
  <c r="R146" i="8"/>
  <c r="R147" i="8"/>
  <c r="R148" i="8"/>
  <c r="R149" i="8"/>
  <c r="R150" i="8"/>
  <c r="R151" i="8"/>
  <c r="R152" i="8"/>
  <c r="R153" i="8"/>
  <c r="R154" i="8"/>
  <c r="R155" i="8"/>
  <c r="R156" i="8"/>
  <c r="R157" i="8"/>
  <c r="R158" i="8"/>
  <c r="R159" i="8"/>
  <c r="R160" i="8"/>
  <c r="R161" i="8"/>
  <c r="R162" i="8"/>
  <c r="R163" i="8"/>
  <c r="R164" i="8"/>
  <c r="R165" i="8"/>
  <c r="R166" i="8"/>
  <c r="R167" i="8"/>
  <c r="R168" i="8"/>
  <c r="R169" i="8"/>
  <c r="R170" i="8"/>
  <c r="R171" i="8"/>
  <c r="R172" i="8"/>
  <c r="R173" i="8"/>
  <c r="R174" i="8"/>
  <c r="R175" i="8"/>
  <c r="R176" i="8"/>
  <c r="R177" i="8"/>
  <c r="R178" i="8"/>
  <c r="R179" i="8"/>
  <c r="R180" i="8"/>
  <c r="R181" i="8"/>
  <c r="R182" i="8"/>
  <c r="R183" i="8"/>
  <c r="R184" i="8"/>
  <c r="R185" i="8"/>
  <c r="R186" i="8"/>
  <c r="R187" i="8"/>
  <c r="R188" i="8"/>
  <c r="R189" i="8"/>
  <c r="R190" i="8"/>
  <c r="R191" i="8"/>
  <c r="R192" i="8"/>
  <c r="R193" i="8"/>
  <c r="R194" i="8"/>
  <c r="R195" i="8"/>
  <c r="R196" i="8"/>
  <c r="R197" i="8"/>
  <c r="R198" i="8"/>
  <c r="R199" i="8"/>
  <c r="R200" i="8"/>
  <c r="R201" i="8"/>
  <c r="R202" i="8"/>
  <c r="R203" i="8"/>
  <c r="R204" i="8"/>
  <c r="R205" i="8"/>
  <c r="R206" i="8"/>
  <c r="R207" i="8"/>
  <c r="R208" i="8"/>
  <c r="R209" i="8"/>
  <c r="R210" i="8"/>
  <c r="R211" i="8"/>
  <c r="R212" i="8"/>
  <c r="R213" i="8"/>
  <c r="R214" i="8"/>
  <c r="R215" i="8"/>
  <c r="R216" i="8"/>
  <c r="R217" i="8"/>
  <c r="R218" i="8"/>
  <c r="R219" i="8"/>
  <c r="R220" i="8"/>
  <c r="R221" i="8"/>
  <c r="R222" i="8"/>
  <c r="R223" i="8"/>
  <c r="R224" i="8"/>
  <c r="R225" i="8"/>
  <c r="R226" i="8"/>
  <c r="R227" i="8"/>
  <c r="R228" i="8"/>
  <c r="R229" i="8"/>
  <c r="R230" i="8"/>
  <c r="R231" i="8"/>
  <c r="R232" i="8"/>
  <c r="R233" i="8"/>
  <c r="R234" i="8"/>
  <c r="R235" i="8"/>
  <c r="R236" i="8"/>
  <c r="R237" i="8"/>
  <c r="R238" i="8"/>
  <c r="R239" i="8"/>
  <c r="R240" i="8"/>
  <c r="R241" i="8"/>
  <c r="R242" i="8"/>
  <c r="R243" i="8"/>
  <c r="R244" i="8"/>
  <c r="R245" i="8"/>
  <c r="R246" i="8"/>
  <c r="R247" i="8"/>
  <c r="R248" i="8"/>
  <c r="R249" i="8"/>
  <c r="R250" i="8"/>
  <c r="R251" i="8"/>
  <c r="R252" i="8"/>
  <c r="R253" i="8"/>
  <c r="R254" i="8"/>
  <c r="R255" i="8"/>
  <c r="R256" i="8"/>
  <c r="R257" i="8"/>
  <c r="R258" i="8"/>
  <c r="R259" i="8"/>
  <c r="R260" i="8"/>
  <c r="R261" i="8"/>
  <c r="R262" i="8"/>
  <c r="R263" i="8"/>
  <c r="R264" i="8"/>
  <c r="R265" i="8"/>
  <c r="R266" i="8"/>
  <c r="R267" i="8"/>
  <c r="R268" i="8"/>
  <c r="R269" i="8"/>
  <c r="R270" i="8"/>
  <c r="R271" i="8"/>
  <c r="R272" i="8"/>
  <c r="R273" i="8"/>
  <c r="R274" i="8"/>
  <c r="R275" i="8"/>
  <c r="R276" i="8"/>
  <c r="R277" i="8"/>
  <c r="R278" i="8"/>
  <c r="R279" i="8"/>
  <c r="R280" i="8"/>
  <c r="R281" i="8"/>
  <c r="R282" i="8"/>
  <c r="R283" i="8"/>
  <c r="R284" i="8"/>
  <c r="R285" i="8"/>
  <c r="R286" i="8"/>
  <c r="R287" i="8"/>
  <c r="R288" i="8"/>
  <c r="R289" i="8"/>
  <c r="R290" i="8"/>
  <c r="R291" i="8"/>
  <c r="R292" i="8"/>
  <c r="R293" i="8"/>
  <c r="R294" i="8"/>
  <c r="R295" i="8"/>
  <c r="R296" i="8"/>
  <c r="R297" i="8"/>
  <c r="R298" i="8"/>
  <c r="R299" i="8"/>
  <c r="R300" i="8"/>
  <c r="R301" i="8"/>
  <c r="R302" i="8"/>
  <c r="R303" i="8"/>
  <c r="R304" i="8"/>
  <c r="R305" i="8"/>
  <c r="R306" i="8"/>
  <c r="R307" i="8"/>
  <c r="R308" i="8"/>
  <c r="R309" i="8"/>
  <c r="R310" i="8"/>
  <c r="R311" i="8"/>
  <c r="R312" i="8"/>
  <c r="R313" i="8"/>
  <c r="R314" i="8"/>
  <c r="R315" i="8"/>
  <c r="R316" i="8"/>
  <c r="R317" i="8"/>
  <c r="R318" i="8"/>
  <c r="R319" i="8"/>
  <c r="R320" i="8"/>
  <c r="R321" i="8"/>
  <c r="R322" i="8"/>
  <c r="R323" i="8"/>
  <c r="R324" i="8"/>
  <c r="R325" i="8"/>
  <c r="R326" i="8"/>
  <c r="R327" i="8"/>
  <c r="R328" i="8"/>
  <c r="R329" i="8"/>
  <c r="R330" i="8"/>
  <c r="R331" i="8"/>
  <c r="R332" i="8"/>
  <c r="R333" i="8"/>
  <c r="R334" i="8"/>
  <c r="R335" i="8"/>
  <c r="R336" i="8"/>
  <c r="R337" i="8"/>
  <c r="R338" i="8"/>
  <c r="R339" i="8"/>
  <c r="R340" i="8"/>
  <c r="R341" i="8"/>
  <c r="R342" i="8"/>
  <c r="R343" i="8"/>
  <c r="R344" i="8"/>
  <c r="R345" i="8"/>
  <c r="R346" i="8"/>
  <c r="R347" i="8"/>
  <c r="R348" i="8"/>
  <c r="R349" i="8"/>
  <c r="R350" i="8"/>
  <c r="R351" i="8"/>
  <c r="R352" i="8"/>
  <c r="R353" i="8"/>
  <c r="R354" i="8"/>
  <c r="R355" i="8"/>
  <c r="R356" i="8"/>
  <c r="R357" i="8"/>
  <c r="R358" i="8"/>
  <c r="R359" i="8"/>
  <c r="R360" i="8"/>
  <c r="R361" i="8"/>
  <c r="R362" i="8"/>
  <c r="R363" i="8"/>
  <c r="R364" i="8"/>
  <c r="R365" i="8"/>
  <c r="R366" i="8"/>
  <c r="R367" i="8"/>
  <c r="R368" i="8"/>
  <c r="R369" i="8"/>
  <c r="R370" i="8"/>
  <c r="R371" i="8"/>
  <c r="R372" i="8"/>
  <c r="R373" i="8"/>
  <c r="R374" i="8"/>
  <c r="R375" i="8"/>
  <c r="R376" i="8"/>
  <c r="R377" i="8"/>
  <c r="R378" i="8"/>
  <c r="R379" i="8"/>
  <c r="R380" i="8"/>
  <c r="R381" i="8"/>
  <c r="R382" i="8"/>
  <c r="R383" i="8"/>
  <c r="R384" i="8"/>
  <c r="R385" i="8"/>
  <c r="R386" i="8"/>
  <c r="R387" i="8"/>
  <c r="R388" i="8"/>
  <c r="R389" i="8"/>
  <c r="R390" i="8"/>
  <c r="R391" i="8"/>
  <c r="R392" i="8"/>
  <c r="R393" i="8"/>
  <c r="R394" i="8"/>
  <c r="R395" i="8"/>
  <c r="R396" i="8"/>
  <c r="R397" i="8"/>
  <c r="R398" i="8"/>
  <c r="R399" i="8"/>
  <c r="R400" i="8"/>
  <c r="R401" i="8"/>
  <c r="R402" i="8"/>
  <c r="R403" i="8"/>
  <c r="R404" i="8"/>
  <c r="R405" i="8"/>
  <c r="R406" i="8"/>
  <c r="R407" i="8"/>
  <c r="R408" i="8"/>
  <c r="R409" i="8"/>
  <c r="R410" i="8"/>
  <c r="R411" i="8"/>
  <c r="R412" i="8"/>
  <c r="R413" i="8"/>
  <c r="R414" i="8"/>
  <c r="R415" i="8"/>
  <c r="R416" i="8"/>
  <c r="R417" i="8"/>
  <c r="R418" i="8"/>
  <c r="R419" i="8"/>
  <c r="R420" i="8"/>
  <c r="R421" i="8"/>
  <c r="R422" i="8"/>
  <c r="R423" i="8"/>
  <c r="R424" i="8"/>
  <c r="R425" i="8"/>
  <c r="R426" i="8"/>
  <c r="R427" i="8"/>
  <c r="R428" i="8"/>
  <c r="R429" i="8"/>
  <c r="R430" i="8"/>
  <c r="R431" i="8"/>
  <c r="R432" i="8"/>
  <c r="R433" i="8"/>
  <c r="R434" i="8"/>
  <c r="R435" i="8"/>
  <c r="R436" i="8"/>
  <c r="R437" i="8"/>
  <c r="R438" i="8"/>
  <c r="R439" i="8"/>
  <c r="R440" i="8"/>
  <c r="R441" i="8"/>
  <c r="R442" i="8"/>
  <c r="R443" i="8"/>
  <c r="R444" i="8"/>
  <c r="R445" i="8"/>
  <c r="R446" i="8"/>
  <c r="R447" i="8"/>
  <c r="R448" i="8"/>
  <c r="R449" i="8"/>
  <c r="R450" i="8"/>
  <c r="R451" i="8"/>
  <c r="R452" i="8"/>
  <c r="R453" i="8"/>
  <c r="R454" i="8"/>
  <c r="R455" i="8"/>
  <c r="R456" i="8"/>
  <c r="R457" i="8"/>
  <c r="R458" i="8"/>
  <c r="R459" i="8"/>
  <c r="R460" i="8"/>
  <c r="R461" i="8"/>
  <c r="R462" i="8"/>
  <c r="R463" i="8"/>
  <c r="R464" i="8"/>
  <c r="R465" i="8"/>
  <c r="R466" i="8"/>
  <c r="R467" i="8"/>
  <c r="R468" i="8"/>
  <c r="R469" i="8"/>
  <c r="R470" i="8"/>
  <c r="R471" i="8"/>
  <c r="R472" i="8"/>
  <c r="R473" i="8"/>
  <c r="R474" i="8"/>
  <c r="R475" i="8"/>
  <c r="R476" i="8"/>
  <c r="R477" i="8"/>
  <c r="R478" i="8"/>
  <c r="R479" i="8"/>
  <c r="R480" i="8"/>
  <c r="R481" i="8"/>
  <c r="R482" i="8"/>
  <c r="R483" i="8"/>
  <c r="R484" i="8"/>
  <c r="R485" i="8"/>
  <c r="R486" i="8"/>
  <c r="R487" i="8"/>
  <c r="R488" i="8"/>
  <c r="R489" i="8"/>
  <c r="R490" i="8"/>
  <c r="R491" i="8"/>
  <c r="R492" i="8"/>
  <c r="R493" i="8"/>
  <c r="R494" i="8"/>
  <c r="R495" i="8"/>
  <c r="R496" i="8"/>
  <c r="R497" i="8"/>
  <c r="R498" i="8"/>
  <c r="R499" i="8"/>
  <c r="R500" i="8"/>
  <c r="R501" i="8"/>
  <c r="R502" i="8"/>
  <c r="R503" i="8"/>
  <c r="R504" i="8"/>
  <c r="R505" i="8"/>
  <c r="R506" i="8"/>
  <c r="R507" i="8"/>
  <c r="R508" i="8"/>
  <c r="R509" i="8"/>
  <c r="R510" i="8"/>
  <c r="R511" i="8"/>
  <c r="R512" i="8"/>
  <c r="R513" i="8"/>
  <c r="R514" i="8"/>
  <c r="R515" i="8"/>
  <c r="R516" i="8"/>
  <c r="R517" i="8"/>
  <c r="R518" i="8"/>
  <c r="R519" i="8"/>
  <c r="R520" i="8"/>
  <c r="R521" i="8"/>
  <c r="R522" i="8"/>
  <c r="R523" i="8"/>
  <c r="R524" i="8"/>
  <c r="R525" i="8"/>
  <c r="R526" i="8"/>
  <c r="R527" i="8"/>
  <c r="R528" i="8"/>
  <c r="R529" i="8"/>
  <c r="R530" i="8"/>
  <c r="R531" i="8"/>
  <c r="R532" i="8"/>
  <c r="R533" i="8"/>
  <c r="R534" i="8"/>
  <c r="R535" i="8"/>
  <c r="R536" i="8"/>
  <c r="R537" i="8"/>
  <c r="R538" i="8"/>
  <c r="R539" i="8"/>
  <c r="R540" i="8"/>
  <c r="R541" i="8"/>
  <c r="R542" i="8"/>
  <c r="R543" i="8"/>
  <c r="R544" i="8"/>
  <c r="R545" i="8"/>
  <c r="R546" i="8"/>
  <c r="R547" i="8"/>
  <c r="R548" i="8"/>
  <c r="R549" i="8"/>
  <c r="R550" i="8"/>
  <c r="R551" i="8"/>
  <c r="R552" i="8"/>
  <c r="R553" i="8"/>
  <c r="R554" i="8"/>
  <c r="R555" i="8"/>
  <c r="R556" i="8"/>
  <c r="R557" i="8"/>
  <c r="R558" i="8"/>
  <c r="R559" i="8"/>
  <c r="R560" i="8"/>
  <c r="R561" i="8"/>
  <c r="R562" i="8"/>
  <c r="R563" i="8"/>
  <c r="R564" i="8"/>
  <c r="R565" i="8"/>
  <c r="R566" i="8"/>
  <c r="R567" i="8"/>
  <c r="R568" i="8"/>
  <c r="R569" i="8"/>
  <c r="R570" i="8"/>
  <c r="R571" i="8"/>
  <c r="R572" i="8"/>
  <c r="R573" i="8"/>
  <c r="R574" i="8"/>
  <c r="R575" i="8"/>
  <c r="R576" i="8"/>
  <c r="R577" i="8"/>
  <c r="R578" i="8"/>
  <c r="R579" i="8"/>
  <c r="R580" i="8"/>
  <c r="R581" i="8"/>
  <c r="R582" i="8"/>
  <c r="R583" i="8"/>
  <c r="R584" i="8"/>
  <c r="R585" i="8"/>
  <c r="R586" i="8"/>
  <c r="R587" i="8"/>
  <c r="R588" i="8"/>
  <c r="R589" i="8"/>
  <c r="R590" i="8"/>
  <c r="R591" i="8"/>
  <c r="R592" i="8"/>
  <c r="R593" i="8"/>
  <c r="R594" i="8"/>
  <c r="R595" i="8"/>
  <c r="R596" i="8"/>
  <c r="R597" i="8"/>
  <c r="R598" i="8"/>
  <c r="R599" i="8"/>
  <c r="R600" i="8"/>
  <c r="R601" i="8"/>
  <c r="R602" i="8"/>
  <c r="R603" i="8"/>
  <c r="R604" i="8"/>
  <c r="R605" i="8"/>
  <c r="R606" i="8"/>
  <c r="R607" i="8"/>
  <c r="R608" i="8"/>
  <c r="R609" i="8"/>
  <c r="R610" i="8"/>
  <c r="R611" i="8"/>
  <c r="R612" i="8"/>
  <c r="R613" i="8"/>
  <c r="R614" i="8"/>
  <c r="R615" i="8"/>
  <c r="R616" i="8"/>
  <c r="R617" i="8"/>
  <c r="R618" i="8"/>
  <c r="R619" i="8"/>
  <c r="R620" i="8"/>
  <c r="R621" i="8"/>
  <c r="R622" i="8"/>
  <c r="R623" i="8"/>
  <c r="R624" i="8"/>
  <c r="R625" i="8"/>
  <c r="R626" i="8"/>
  <c r="R627" i="8"/>
  <c r="R628" i="8"/>
  <c r="R629" i="8"/>
  <c r="R630" i="8"/>
  <c r="R631" i="8"/>
  <c r="R632" i="8"/>
  <c r="R633" i="8"/>
  <c r="R634" i="8"/>
  <c r="R635" i="8"/>
  <c r="R636" i="8"/>
  <c r="R637" i="8"/>
  <c r="R638" i="8"/>
  <c r="R639" i="8"/>
  <c r="R640" i="8"/>
  <c r="R641" i="8"/>
  <c r="R642" i="8"/>
  <c r="R643" i="8"/>
  <c r="R644" i="8"/>
  <c r="R645" i="8"/>
  <c r="R646" i="8"/>
  <c r="R647" i="8"/>
  <c r="R648" i="8"/>
  <c r="R649" i="8"/>
  <c r="R650" i="8"/>
  <c r="R651" i="8"/>
  <c r="R652" i="8"/>
  <c r="R653" i="8"/>
  <c r="R654" i="8"/>
  <c r="R655" i="8"/>
  <c r="R656" i="8"/>
  <c r="R657" i="8"/>
  <c r="R658" i="8"/>
  <c r="R659" i="8"/>
  <c r="R660" i="8"/>
  <c r="R661" i="8"/>
  <c r="R662" i="8"/>
  <c r="R663" i="8"/>
  <c r="R664" i="8"/>
  <c r="R665" i="8"/>
  <c r="R666" i="8"/>
  <c r="R667" i="8"/>
  <c r="R668" i="8"/>
  <c r="R669" i="8"/>
  <c r="R670" i="8"/>
  <c r="R671" i="8"/>
  <c r="R672" i="8"/>
  <c r="R673" i="8"/>
  <c r="R674" i="8"/>
  <c r="R675" i="8"/>
  <c r="R676" i="8"/>
  <c r="R677" i="8"/>
  <c r="R678" i="8"/>
  <c r="R679" i="8"/>
  <c r="R680" i="8"/>
  <c r="R681" i="8"/>
  <c r="R682" i="8"/>
  <c r="R683" i="8"/>
  <c r="R684" i="8"/>
  <c r="R685" i="8"/>
  <c r="R686" i="8"/>
  <c r="R687" i="8"/>
  <c r="R688" i="8"/>
  <c r="R689" i="8"/>
  <c r="R690" i="8"/>
  <c r="R691" i="8"/>
  <c r="R692" i="8"/>
  <c r="R693" i="8"/>
  <c r="R694" i="8"/>
  <c r="R695" i="8"/>
  <c r="R696" i="8"/>
  <c r="R697" i="8"/>
  <c r="R698" i="8"/>
  <c r="R699" i="8"/>
  <c r="R700" i="8"/>
  <c r="R701" i="8"/>
  <c r="R702" i="8"/>
  <c r="R703" i="8"/>
  <c r="R704" i="8"/>
  <c r="R705" i="8"/>
  <c r="R706" i="8"/>
  <c r="R707" i="8"/>
  <c r="R708" i="8"/>
  <c r="R709" i="8"/>
  <c r="R710" i="8"/>
  <c r="R711" i="8"/>
  <c r="R712" i="8"/>
  <c r="R713" i="8"/>
  <c r="R714" i="8"/>
  <c r="R715" i="8"/>
  <c r="R716" i="8"/>
  <c r="R717" i="8"/>
  <c r="R718" i="8"/>
  <c r="R719" i="8"/>
  <c r="R720" i="8"/>
  <c r="R721" i="8"/>
  <c r="R722" i="8"/>
  <c r="R723" i="8"/>
  <c r="R724" i="8"/>
  <c r="R725" i="8"/>
  <c r="R726" i="8"/>
  <c r="R727" i="8"/>
  <c r="R728" i="8"/>
  <c r="R729" i="8"/>
  <c r="R730" i="8"/>
  <c r="R731" i="8"/>
  <c r="R732" i="8"/>
  <c r="R733" i="8"/>
  <c r="R734" i="8"/>
  <c r="R735" i="8"/>
  <c r="R736" i="8"/>
  <c r="R737" i="8"/>
  <c r="R738" i="8"/>
  <c r="R739" i="8"/>
  <c r="R740" i="8"/>
  <c r="R741" i="8"/>
  <c r="R742" i="8"/>
  <c r="R743" i="8"/>
  <c r="R744" i="8"/>
  <c r="R745" i="8"/>
  <c r="R746" i="8"/>
  <c r="R747" i="8"/>
  <c r="R748" i="8"/>
  <c r="R749" i="8"/>
  <c r="R750" i="8"/>
  <c r="K1" i="8"/>
  <c r="G2" i="8"/>
  <c r="J8" i="4"/>
  <c r="J5" i="8" l="1"/>
  <c r="O674" i="8" s="1"/>
  <c r="O18" i="8"/>
  <c r="O26" i="8"/>
  <c r="O76" i="8"/>
  <c r="O24" i="8"/>
  <c r="O69" i="8"/>
  <c r="O44" i="8"/>
  <c r="O37" i="8"/>
  <c r="O74" i="8"/>
  <c r="O63" i="8"/>
  <c r="O42" i="8"/>
  <c r="O56" i="8"/>
  <c r="O49" i="8"/>
  <c r="O31" i="8"/>
  <c r="O58" i="8"/>
  <c r="O47" i="8"/>
  <c r="O52" i="8"/>
  <c r="O45" i="8"/>
  <c r="O78" i="8"/>
  <c r="O46" i="8"/>
  <c r="O64" i="8"/>
  <c r="O19" i="8"/>
  <c r="O68" i="8"/>
  <c r="O36" i="8"/>
  <c r="O61" i="8"/>
  <c r="O29" i="8"/>
  <c r="O70" i="8"/>
  <c r="O54" i="8"/>
  <c r="O38" i="8"/>
  <c r="O22" i="8"/>
  <c r="O48" i="8"/>
  <c r="O73" i="8"/>
  <c r="O41" i="8"/>
  <c r="O75" i="8"/>
  <c r="O59" i="8"/>
  <c r="O43" i="8"/>
  <c r="O27" i="8"/>
  <c r="O20" i="8"/>
  <c r="O77" i="8"/>
  <c r="O62" i="8"/>
  <c r="O30" i="8"/>
  <c r="O32" i="8"/>
  <c r="O57" i="8"/>
  <c r="O21" i="8"/>
  <c r="O67" i="8"/>
  <c r="O51" i="8"/>
  <c r="O35" i="8"/>
  <c r="O60" i="8"/>
  <c r="O28" i="8"/>
  <c r="O53" i="8"/>
  <c r="O25" i="8"/>
  <c r="O66" i="8"/>
  <c r="O50" i="8"/>
  <c r="O34" i="8"/>
  <c r="O72" i="8"/>
  <c r="O40" i="8"/>
  <c r="O65" i="8"/>
  <c r="O33" i="8"/>
  <c r="O71" i="8"/>
  <c r="O55" i="8"/>
  <c r="O39" i="8"/>
  <c r="O23" i="8"/>
  <c r="O558" i="8"/>
  <c r="O710" i="8"/>
  <c r="O678" i="8"/>
  <c r="O630" i="8"/>
  <c r="O582" i="8"/>
  <c r="O742" i="8"/>
  <c r="O726" i="8"/>
  <c r="O694" i="8"/>
  <c r="O662" i="8"/>
  <c r="O646" i="8"/>
  <c r="O614" i="8"/>
  <c r="O598" i="8"/>
  <c r="O566" i="8"/>
  <c r="O746" i="8"/>
  <c r="O730" i="8"/>
  <c r="O714" i="8"/>
  <c r="O698" i="8"/>
  <c r="O682" i="8"/>
  <c r="O666" i="8"/>
  <c r="O650" i="8"/>
  <c r="O634" i="8"/>
  <c r="O618" i="8"/>
  <c r="O602" i="8"/>
  <c r="O586" i="8"/>
  <c r="O570" i="8"/>
  <c r="O739" i="8"/>
  <c r="O731" i="8"/>
  <c r="O723" i="8"/>
  <c r="O715" i="8"/>
  <c r="O707" i="8"/>
  <c r="O699" i="8"/>
  <c r="O691" i="8"/>
  <c r="O683" i="8"/>
  <c r="O675" i="8"/>
  <c r="O667" i="8"/>
  <c r="O659" i="8"/>
  <c r="O651" i="8"/>
  <c r="O643" i="8"/>
  <c r="O635" i="8"/>
  <c r="O627" i="8"/>
  <c r="O619" i="8"/>
  <c r="O611" i="8"/>
  <c r="O603" i="8"/>
  <c r="O595" i="8"/>
  <c r="O587" i="8"/>
  <c r="O579" i="8"/>
  <c r="O571" i="8"/>
  <c r="O563" i="8"/>
  <c r="O749" i="8"/>
  <c r="O745" i="8"/>
  <c r="O741" i="8"/>
  <c r="O737" i="8"/>
  <c r="O733" i="8"/>
  <c r="O729" i="8"/>
  <c r="O725" i="8"/>
  <c r="O721" i="8"/>
  <c r="O717" i="8"/>
  <c r="O713" i="8"/>
  <c r="O709" i="8"/>
  <c r="O705" i="8"/>
  <c r="O701" i="8"/>
  <c r="O697" i="8"/>
  <c r="O693" i="8"/>
  <c r="O689" i="8"/>
  <c r="O685" i="8"/>
  <c r="O681" i="8"/>
  <c r="O677" i="8"/>
  <c r="O673" i="8"/>
  <c r="O669" i="8"/>
  <c r="O665" i="8"/>
  <c r="O661" i="8"/>
  <c r="O657" i="8"/>
  <c r="O653" i="8"/>
  <c r="O649" i="8"/>
  <c r="O645" i="8"/>
  <c r="O641" i="8"/>
  <c r="O637" i="8"/>
  <c r="O633" i="8"/>
  <c r="O629" i="8"/>
  <c r="O625" i="8"/>
  <c r="O621" i="8"/>
  <c r="O617" i="8"/>
  <c r="O613" i="8"/>
  <c r="O609" i="8"/>
  <c r="O605" i="8"/>
  <c r="O601" i="8"/>
  <c r="O597" i="8"/>
  <c r="O593" i="8"/>
  <c r="O589" i="8"/>
  <c r="O585" i="8"/>
  <c r="O581" i="8"/>
  <c r="O577" i="8"/>
  <c r="O573" i="8"/>
  <c r="O569" i="8"/>
  <c r="O565" i="8"/>
  <c r="O561" i="8"/>
  <c r="O557" i="8"/>
  <c r="O747" i="8"/>
  <c r="O743" i="8"/>
  <c r="O735" i="8"/>
  <c r="O727" i="8"/>
  <c r="O719" i="8"/>
  <c r="O711" i="8"/>
  <c r="O703" i="8"/>
  <c r="O695" i="8"/>
  <c r="O687" i="8"/>
  <c r="O679" i="8"/>
  <c r="O671" i="8"/>
  <c r="O663" i="8"/>
  <c r="O655" i="8"/>
  <c r="O647" i="8"/>
  <c r="O639" i="8"/>
  <c r="O631" i="8"/>
  <c r="O623" i="8"/>
  <c r="O615" i="8"/>
  <c r="O607" i="8"/>
  <c r="O599" i="8"/>
  <c r="O591" i="8"/>
  <c r="O583" i="8"/>
  <c r="O575" i="8"/>
  <c r="O567" i="8"/>
  <c r="O559" i="8"/>
  <c r="O748" i="8"/>
  <c r="O744" i="8"/>
  <c r="O740" i="8"/>
  <c r="O736" i="8"/>
  <c r="O732" i="8"/>
  <c r="O728" i="8"/>
  <c r="O724" i="8"/>
  <c r="O720" i="8"/>
  <c r="O716" i="8"/>
  <c r="O712" i="8"/>
  <c r="O708" i="8"/>
  <c r="O704" i="8"/>
  <c r="O700" i="8"/>
  <c r="O696" i="8"/>
  <c r="O692" i="8"/>
  <c r="O688" i="8"/>
  <c r="O684" i="8"/>
  <c r="O680" i="8"/>
  <c r="O676" i="8"/>
  <c r="O672" i="8"/>
  <c r="O668" i="8"/>
  <c r="O664" i="8"/>
  <c r="O660" i="8"/>
  <c r="O656" i="8"/>
  <c r="O652" i="8"/>
  <c r="O648" i="8"/>
  <c r="O644" i="8"/>
  <c r="O640" i="8"/>
  <c r="O636" i="8"/>
  <c r="O632" i="8"/>
  <c r="O628" i="8"/>
  <c r="O624" i="8"/>
  <c r="O620" i="8"/>
  <c r="O616" i="8"/>
  <c r="O612" i="8"/>
  <c r="O608" i="8"/>
  <c r="O604" i="8"/>
  <c r="O600" i="8"/>
  <c r="O596" i="8"/>
  <c r="O592" i="8"/>
  <c r="O588" i="8"/>
  <c r="O584" i="8"/>
  <c r="O580" i="8"/>
  <c r="O576" i="8"/>
  <c r="O572" i="8"/>
  <c r="O568" i="8"/>
  <c r="O564" i="8"/>
  <c r="O451" i="8"/>
  <c r="O315" i="8"/>
  <c r="O323" i="8"/>
  <c r="O499" i="8"/>
  <c r="O435" i="8"/>
  <c r="O307" i="8"/>
  <c r="O371" i="8"/>
  <c r="O515" i="8"/>
  <c r="O387" i="8"/>
  <c r="O531" i="8"/>
  <c r="O467" i="8"/>
  <c r="O403" i="8"/>
  <c r="O339" i="8"/>
  <c r="O547" i="8"/>
  <c r="O483" i="8"/>
  <c r="O419" i="8"/>
  <c r="O355" i="8"/>
  <c r="O551" i="8"/>
  <c r="O519" i="8"/>
  <c r="O487" i="8"/>
  <c r="O455" i="8"/>
  <c r="O423" i="8"/>
  <c r="O391" i="8"/>
  <c r="O359" i="8"/>
  <c r="O327" i="8"/>
  <c r="O543" i="8"/>
  <c r="O527" i="8"/>
  <c r="O511" i="8"/>
  <c r="O495" i="8"/>
  <c r="O479" i="8"/>
  <c r="O463" i="8"/>
  <c r="O447" i="8"/>
  <c r="O431" i="8"/>
  <c r="O415" i="8"/>
  <c r="O399" i="8"/>
  <c r="O383" i="8"/>
  <c r="O367" i="8"/>
  <c r="O351" i="8"/>
  <c r="O335" i="8"/>
  <c r="O319" i="8"/>
  <c r="O303" i="8"/>
  <c r="O535" i="8"/>
  <c r="O503" i="8"/>
  <c r="O471" i="8"/>
  <c r="O439" i="8"/>
  <c r="O407" i="8"/>
  <c r="O375" i="8"/>
  <c r="O343" i="8"/>
  <c r="O311" i="8"/>
  <c r="O555" i="8"/>
  <c r="O539" i="8"/>
  <c r="O523" i="8"/>
  <c r="O507" i="8"/>
  <c r="O491" i="8"/>
  <c r="O475" i="8"/>
  <c r="O459" i="8"/>
  <c r="O443" i="8"/>
  <c r="O427" i="8"/>
  <c r="O411" i="8"/>
  <c r="O395" i="8"/>
  <c r="O379" i="8"/>
  <c r="O363" i="8"/>
  <c r="O347" i="8"/>
  <c r="O331" i="8"/>
  <c r="O552" i="8"/>
  <c r="O544" i="8"/>
  <c r="O536" i="8"/>
  <c r="O528" i="8"/>
  <c r="O520" i="8"/>
  <c r="O512" i="8"/>
  <c r="O504" i="8"/>
  <c r="O496" i="8"/>
  <c r="O488" i="8"/>
  <c r="O480" i="8"/>
  <c r="O472" i="8"/>
  <c r="O464" i="8"/>
  <c r="O456" i="8"/>
  <c r="O448" i="8"/>
  <c r="O440" i="8"/>
  <c r="O432" i="8"/>
  <c r="O424" i="8"/>
  <c r="O416" i="8"/>
  <c r="O408" i="8"/>
  <c r="O400" i="8"/>
  <c r="O392" i="8"/>
  <c r="O384" i="8"/>
  <c r="O376" i="8"/>
  <c r="O368" i="8"/>
  <c r="O360" i="8"/>
  <c r="O352" i="8"/>
  <c r="O344" i="8"/>
  <c r="O336" i="8"/>
  <c r="O328" i="8"/>
  <c r="O320" i="8"/>
  <c r="O312" i="8"/>
  <c r="O304" i="8"/>
  <c r="O554" i="8"/>
  <c r="O550" i="8"/>
  <c r="O546" i="8"/>
  <c r="O542" i="8"/>
  <c r="O538" i="8"/>
  <c r="O534" i="8"/>
  <c r="O530" i="8"/>
  <c r="O526" i="8"/>
  <c r="O522" i="8"/>
  <c r="O518" i="8"/>
  <c r="O514" i="8"/>
  <c r="O510" i="8"/>
  <c r="O506" i="8"/>
  <c r="O502" i="8"/>
  <c r="O498" i="8"/>
  <c r="O494" i="8"/>
  <c r="O490" i="8"/>
  <c r="O486" i="8"/>
  <c r="O482" i="8"/>
  <c r="O478" i="8"/>
  <c r="O474" i="8"/>
  <c r="O470" i="8"/>
  <c r="O466" i="8"/>
  <c r="O462" i="8"/>
  <c r="O458" i="8"/>
  <c r="O454" i="8"/>
  <c r="O450" i="8"/>
  <c r="O446" i="8"/>
  <c r="O442" i="8"/>
  <c r="O438" i="8"/>
  <c r="O434" i="8"/>
  <c r="O430" i="8"/>
  <c r="O426" i="8"/>
  <c r="O422" i="8"/>
  <c r="O418" i="8"/>
  <c r="O414" i="8"/>
  <c r="O410" i="8"/>
  <c r="O406" i="8"/>
  <c r="O402" i="8"/>
  <c r="O398" i="8"/>
  <c r="O394" i="8"/>
  <c r="O390" i="8"/>
  <c r="O386" i="8"/>
  <c r="O382" i="8"/>
  <c r="O378" i="8"/>
  <c r="O374" i="8"/>
  <c r="O370" i="8"/>
  <c r="O366" i="8"/>
  <c r="O362" i="8"/>
  <c r="O358" i="8"/>
  <c r="O354" i="8"/>
  <c r="O350" i="8"/>
  <c r="O346" i="8"/>
  <c r="O342" i="8"/>
  <c r="O338" i="8"/>
  <c r="O334" i="8"/>
  <c r="O330" i="8"/>
  <c r="O326" i="8"/>
  <c r="O322" i="8"/>
  <c r="O318" i="8"/>
  <c r="O314" i="8"/>
  <c r="O310" i="8"/>
  <c r="O306" i="8"/>
  <c r="O302" i="8"/>
  <c r="O556" i="8"/>
  <c r="O548" i="8"/>
  <c r="O540" i="8"/>
  <c r="O532" i="8"/>
  <c r="O524" i="8"/>
  <c r="O516" i="8"/>
  <c r="O508" i="8"/>
  <c r="O500" i="8"/>
  <c r="O492" i="8"/>
  <c r="O484" i="8"/>
  <c r="O476" i="8"/>
  <c r="O468" i="8"/>
  <c r="O460" i="8"/>
  <c r="O452" i="8"/>
  <c r="O444" i="8"/>
  <c r="O436" i="8"/>
  <c r="O428" i="8"/>
  <c r="O420" i="8"/>
  <c r="O412" i="8"/>
  <c r="O404" i="8"/>
  <c r="O396" i="8"/>
  <c r="O388" i="8"/>
  <c r="O380" i="8"/>
  <c r="O372" i="8"/>
  <c r="O364" i="8"/>
  <c r="O356" i="8"/>
  <c r="O348" i="8"/>
  <c r="O340" i="8"/>
  <c r="O332" i="8"/>
  <c r="O324" i="8"/>
  <c r="O316" i="8"/>
  <c r="O308" i="8"/>
  <c r="O553" i="8"/>
  <c r="O549" i="8"/>
  <c r="O545" i="8"/>
  <c r="O541" i="8"/>
  <c r="O537" i="8"/>
  <c r="O533" i="8"/>
  <c r="O529" i="8"/>
  <c r="O525" i="8"/>
  <c r="O521" i="8"/>
  <c r="O517" i="8"/>
  <c r="O513" i="8"/>
  <c r="O509" i="8"/>
  <c r="O505" i="8"/>
  <c r="O501" i="8"/>
  <c r="O497" i="8"/>
  <c r="O493" i="8"/>
  <c r="O489" i="8"/>
  <c r="O485" i="8"/>
  <c r="O481" i="8"/>
  <c r="O477" i="8"/>
  <c r="O473" i="8"/>
  <c r="O469" i="8"/>
  <c r="O465" i="8"/>
  <c r="O461" i="8"/>
  <c r="O457" i="8"/>
  <c r="O453" i="8"/>
  <c r="O449" i="8"/>
  <c r="O445" i="8"/>
  <c r="O441" i="8"/>
  <c r="O437" i="8"/>
  <c r="O433" i="8"/>
  <c r="O429" i="8"/>
  <c r="O425" i="8"/>
  <c r="O421" i="8"/>
  <c r="O417" i="8"/>
  <c r="O413" i="8"/>
  <c r="O409" i="8"/>
  <c r="O405" i="8"/>
  <c r="O401" i="8"/>
  <c r="O397" i="8"/>
  <c r="O393" i="8"/>
  <c r="O389" i="8"/>
  <c r="O385" i="8"/>
  <c r="O381" i="8"/>
  <c r="O377" i="8"/>
  <c r="O373" i="8"/>
  <c r="O369" i="8"/>
  <c r="O365" i="8"/>
  <c r="O361" i="8"/>
  <c r="O357" i="8"/>
  <c r="O353" i="8"/>
  <c r="O349" i="8"/>
  <c r="O345" i="8"/>
  <c r="O341" i="8"/>
  <c r="O337" i="8"/>
  <c r="O333" i="8"/>
  <c r="O329" i="8"/>
  <c r="O325" i="8"/>
  <c r="O321" i="8"/>
  <c r="O317" i="8"/>
  <c r="O313" i="8"/>
  <c r="O309" i="8"/>
  <c r="O305" i="8"/>
  <c r="E5" i="4"/>
  <c r="J9" i="4"/>
  <c r="O560" i="8" l="1"/>
  <c r="O626" i="8"/>
  <c r="O658" i="8"/>
  <c r="O670" i="8"/>
  <c r="O654" i="8"/>
  <c r="O702" i="8"/>
  <c r="O718" i="8"/>
  <c r="O606" i="8"/>
  <c r="O562" i="8"/>
  <c r="O690" i="8"/>
  <c r="O578" i="8"/>
  <c r="O638" i="8"/>
  <c r="O594" i="8"/>
  <c r="O590" i="8"/>
  <c r="O610" i="8"/>
  <c r="O738" i="8"/>
  <c r="O722" i="8"/>
  <c r="O642" i="8"/>
  <c r="O622" i="8"/>
  <c r="O686" i="8"/>
  <c r="O706" i="8"/>
  <c r="O734" i="8"/>
  <c r="F126" i="8"/>
  <c r="O750" i="8"/>
  <c r="K6" i="8" s="1"/>
  <c r="O292" i="8"/>
  <c r="O268" i="8"/>
  <c r="O289" i="8"/>
  <c r="O273" i="8"/>
  <c r="O298" i="8"/>
  <c r="O294" i="8"/>
  <c r="O296" i="8"/>
  <c r="O287" i="8"/>
  <c r="O280" i="8"/>
  <c r="O285" i="8"/>
  <c r="O288" i="8"/>
  <c r="O290" i="8"/>
  <c r="O271" i="8"/>
  <c r="O281" i="8"/>
  <c r="O297" i="8"/>
  <c r="O284" i="8"/>
  <c r="O282" i="8"/>
  <c r="O283" i="8"/>
  <c r="O295" i="8"/>
  <c r="O279" i="8"/>
  <c r="O267" i="8"/>
  <c r="O269" i="8"/>
  <c r="O301" i="8"/>
  <c r="O278" i="8"/>
  <c r="O291" i="8"/>
  <c r="O300" i="8"/>
  <c r="O277" i="8"/>
  <c r="O293" i="8"/>
  <c r="O276" i="8"/>
  <c r="O266" i="8"/>
  <c r="O286" i="8"/>
  <c r="O270" i="8"/>
  <c r="O299" i="8"/>
  <c r="O272" i="8"/>
  <c r="O274" i="8"/>
  <c r="O275" i="8"/>
  <c r="O245" i="8"/>
  <c r="O258" i="8"/>
  <c r="O213" i="8"/>
  <c r="O220" i="8"/>
  <c r="O231" i="8"/>
  <c r="O216" i="8"/>
  <c r="O214" i="8"/>
  <c r="O237" i="8"/>
  <c r="O260" i="8"/>
  <c r="O251" i="8"/>
  <c r="O255" i="8"/>
  <c r="O252" i="8"/>
  <c r="O229" i="8"/>
  <c r="O261" i="8"/>
  <c r="O248" i="8"/>
  <c r="O226" i="8"/>
  <c r="O235" i="8"/>
  <c r="O242" i="8"/>
  <c r="O211" i="8"/>
  <c r="O232" i="8"/>
  <c r="O221" i="8"/>
  <c r="O253" i="8"/>
  <c r="O236" i="8"/>
  <c r="O210" i="8"/>
  <c r="O254" i="8"/>
  <c r="O239" i="8"/>
  <c r="O238" i="8"/>
  <c r="O224" i="8"/>
  <c r="O264" i="8"/>
  <c r="O217" i="8"/>
  <c r="O233" i="8"/>
  <c r="O249" i="8"/>
  <c r="O265" i="8"/>
  <c r="O228" i="8"/>
  <c r="O256" i="8"/>
  <c r="O218" i="8"/>
  <c r="O250" i="8"/>
  <c r="O230" i="8"/>
  <c r="O243" i="8"/>
  <c r="O262" i="8"/>
  <c r="O215" i="8"/>
  <c r="O227" i="8"/>
  <c r="O223" i="8"/>
  <c r="O247" i="8"/>
  <c r="O244" i="8"/>
  <c r="O209" i="8"/>
  <c r="O225" i="8"/>
  <c r="O241" i="8"/>
  <c r="O257" i="8"/>
  <c r="O212" i="8"/>
  <c r="O240" i="8"/>
  <c r="O234" i="8"/>
  <c r="O222" i="8"/>
  <c r="O263" i="8"/>
  <c r="O219" i="8"/>
  <c r="O259" i="8"/>
  <c r="O246" i="8"/>
  <c r="O117" i="8"/>
  <c r="O92" i="8"/>
  <c r="O148" i="8"/>
  <c r="O160" i="8"/>
  <c r="O205" i="8"/>
  <c r="O138" i="8"/>
  <c r="O112" i="8"/>
  <c r="O189" i="8"/>
  <c r="O187" i="8"/>
  <c r="O87" i="8"/>
  <c r="O98" i="8"/>
  <c r="O164" i="8"/>
  <c r="O123" i="8"/>
  <c r="O173" i="8"/>
  <c r="O144" i="8"/>
  <c r="O184" i="8"/>
  <c r="O85" i="8"/>
  <c r="O149" i="8"/>
  <c r="O131" i="8"/>
  <c r="O105" i="8"/>
  <c r="O154" i="8"/>
  <c r="O208" i="8"/>
  <c r="O128" i="8"/>
  <c r="O178" i="8"/>
  <c r="O199" i="8"/>
  <c r="O135" i="8"/>
  <c r="O136" i="8"/>
  <c r="O145" i="8"/>
  <c r="O176" i="8"/>
  <c r="O89" i="8"/>
  <c r="O107" i="8"/>
  <c r="O129" i="8"/>
  <c r="O150" i="8"/>
  <c r="O185" i="8"/>
  <c r="O116" i="8"/>
  <c r="O140" i="8"/>
  <c r="O202" i="8"/>
  <c r="O108" i="8"/>
  <c r="O120" i="8"/>
  <c r="O207" i="8"/>
  <c r="O90" i="8"/>
  <c r="O151" i="8"/>
  <c r="O190" i="8"/>
  <c r="O166" i="8"/>
  <c r="O79" i="8"/>
  <c r="O195" i="8"/>
  <c r="O206" i="8"/>
  <c r="O143" i="8"/>
  <c r="O163" i="8"/>
  <c r="O119" i="8"/>
  <c r="O97" i="8"/>
  <c r="O104" i="8"/>
  <c r="O141" i="8"/>
  <c r="O157" i="8"/>
  <c r="O172" i="8"/>
  <c r="O196" i="8"/>
  <c r="O99" i="8"/>
  <c r="O96" i="8"/>
  <c r="O134" i="8"/>
  <c r="O91" i="8"/>
  <c r="O102" i="8"/>
  <c r="O93" i="8"/>
  <c r="O100" i="8"/>
  <c r="O146" i="8"/>
  <c r="O165" i="8"/>
  <c r="O181" i="8"/>
  <c r="O197" i="8"/>
  <c r="O192" i="8"/>
  <c r="O81" i="8"/>
  <c r="O137" i="8"/>
  <c r="O162" i="8"/>
  <c r="O194" i="8"/>
  <c r="O101" i="8"/>
  <c r="O109" i="8"/>
  <c r="O175" i="8"/>
  <c r="O139" i="8"/>
  <c r="O179" i="8"/>
  <c r="O159" i="8"/>
  <c r="O174" i="8"/>
  <c r="O203" i="8"/>
  <c r="O183" i="8"/>
  <c r="O182" i="8"/>
  <c r="O191" i="8"/>
  <c r="O125" i="8"/>
  <c r="O82" i="8"/>
  <c r="O161" i="8"/>
  <c r="O204" i="8"/>
  <c r="O115" i="8"/>
  <c r="O80" i="8"/>
  <c r="O118" i="8"/>
  <c r="O132" i="8"/>
  <c r="O169" i="8"/>
  <c r="O201" i="8"/>
  <c r="O200" i="8"/>
  <c r="O110" i="8"/>
  <c r="O88" i="8"/>
  <c r="O170" i="8"/>
  <c r="O130" i="8"/>
  <c r="O103" i="8"/>
  <c r="O114" i="8"/>
  <c r="O121" i="8"/>
  <c r="O124" i="8"/>
  <c r="O153" i="8"/>
  <c r="O168" i="8"/>
  <c r="O188" i="8"/>
  <c r="O83" i="8"/>
  <c r="O94" i="8"/>
  <c r="O84" i="8"/>
  <c r="O122" i="8"/>
  <c r="O133" i="8"/>
  <c r="O86" i="8"/>
  <c r="O142" i="8"/>
  <c r="O158" i="8"/>
  <c r="O177" i="8"/>
  <c r="O193" i="8"/>
  <c r="O180" i="8"/>
  <c r="O113" i="8"/>
  <c r="O111" i="8"/>
  <c r="O126" i="8"/>
  <c r="O156" i="8"/>
  <c r="O186" i="8"/>
  <c r="O95" i="8"/>
  <c r="O106" i="8"/>
  <c r="O127" i="8"/>
  <c r="O147" i="8"/>
  <c r="O167" i="8"/>
  <c r="O198" i="8"/>
  <c r="O155" i="8"/>
  <c r="O171" i="8"/>
  <c r="O152" i="8"/>
  <c r="F653" i="8"/>
  <c r="F83" i="8"/>
  <c r="F168" i="8"/>
  <c r="F685" i="8"/>
  <c r="F339" i="8"/>
  <c r="F717" i="8"/>
  <c r="F573" i="8"/>
  <c r="F65" i="8"/>
  <c r="F190" i="8"/>
  <c r="F557" i="8"/>
  <c r="F749" i="8"/>
  <c r="F621" i="8"/>
  <c r="F196" i="8"/>
  <c r="F446" i="8"/>
  <c r="F725" i="8"/>
  <c r="F693" i="8"/>
  <c r="F629" i="8"/>
  <c r="F324" i="8"/>
  <c r="F444" i="8"/>
  <c r="F403" i="8"/>
  <c r="F510" i="8"/>
  <c r="F733" i="8"/>
  <c r="F701" i="8"/>
  <c r="F669" i="8"/>
  <c r="F637" i="8"/>
  <c r="F602" i="8"/>
  <c r="F24" i="8"/>
  <c r="F424" i="8"/>
  <c r="F233" i="8"/>
  <c r="F253" i="8"/>
  <c r="F467" i="8"/>
  <c r="F211" i="8"/>
  <c r="F29" i="8"/>
  <c r="F318" i="8"/>
  <c r="F62" i="8"/>
  <c r="F661" i="8"/>
  <c r="F589" i="8"/>
  <c r="F296" i="8"/>
  <c r="F96" i="8"/>
  <c r="F147" i="8"/>
  <c r="F254" i="8"/>
  <c r="F741" i="8"/>
  <c r="F709" i="8"/>
  <c r="F677" i="8"/>
  <c r="F645" i="8"/>
  <c r="F613" i="8"/>
  <c r="F337" i="8"/>
  <c r="F552" i="8"/>
  <c r="F489" i="8"/>
  <c r="F381" i="8"/>
  <c r="F531" i="8"/>
  <c r="F275" i="8"/>
  <c r="F20" i="8"/>
  <c r="F382" i="8"/>
  <c r="O574" i="8"/>
  <c r="F26" i="8"/>
  <c r="F42" i="8"/>
  <c r="F58" i="8"/>
  <c r="F74" i="8"/>
  <c r="F90" i="8"/>
  <c r="F106" i="8"/>
  <c r="F122" i="8"/>
  <c r="F138" i="8"/>
  <c r="F154" i="8"/>
  <c r="F170" i="8"/>
  <c r="F186" i="8"/>
  <c r="F202" i="8"/>
  <c r="F218" i="8"/>
  <c r="F234" i="8"/>
  <c r="F250" i="8"/>
  <c r="F266" i="8"/>
  <c r="F282" i="8"/>
  <c r="F298" i="8"/>
  <c r="F314" i="8"/>
  <c r="F330" i="8"/>
  <c r="F346" i="8"/>
  <c r="F362" i="8"/>
  <c r="F378" i="8"/>
  <c r="F394" i="8"/>
  <c r="F410" i="8"/>
  <c r="F426" i="8"/>
  <c r="F442" i="8"/>
  <c r="F458" i="8"/>
  <c r="F474" i="8"/>
  <c r="F490" i="8"/>
  <c r="F506" i="8"/>
  <c r="F522" i="8"/>
  <c r="F538" i="8"/>
  <c r="F554" i="8"/>
  <c r="F19" i="8"/>
  <c r="G19" i="8" s="1"/>
  <c r="F53" i="8"/>
  <c r="F85" i="8"/>
  <c r="F121" i="8"/>
  <c r="F153" i="8"/>
  <c r="F31" i="8"/>
  <c r="F47" i="8"/>
  <c r="F63" i="8"/>
  <c r="F79" i="8"/>
  <c r="F95" i="8"/>
  <c r="F111" i="8"/>
  <c r="F127" i="8"/>
  <c r="F143" i="8"/>
  <c r="F159" i="8"/>
  <c r="F175" i="8"/>
  <c r="F191" i="8"/>
  <c r="F207" i="8"/>
  <c r="F223" i="8"/>
  <c r="F239" i="8"/>
  <c r="F255" i="8"/>
  <c r="F271" i="8"/>
  <c r="F287" i="8"/>
  <c r="F303" i="8"/>
  <c r="F319" i="8"/>
  <c r="F335" i="8"/>
  <c r="F351" i="8"/>
  <c r="F367" i="8"/>
  <c r="F383" i="8"/>
  <c r="F399" i="8"/>
  <c r="F415" i="8"/>
  <c r="F431" i="8"/>
  <c r="F447" i="8"/>
  <c r="F463" i="8"/>
  <c r="F479" i="8"/>
  <c r="F495" i="8"/>
  <c r="F511" i="8"/>
  <c r="F527" i="8"/>
  <c r="F543" i="8"/>
  <c r="F559" i="8"/>
  <c r="F25" i="8"/>
  <c r="F57" i="8"/>
  <c r="F89" i="8"/>
  <c r="F117" i="8"/>
  <c r="F149" i="8"/>
  <c r="F80" i="8"/>
  <c r="F144" i="8"/>
  <c r="F181" i="8"/>
  <c r="F213" i="8"/>
  <c r="F245" i="8"/>
  <c r="F277" i="8"/>
  <c r="F309" i="8"/>
  <c r="F341" i="8"/>
  <c r="F373" i="8"/>
  <c r="F405" i="8"/>
  <c r="F493" i="8"/>
  <c r="F92" i="8"/>
  <c r="F188" i="8"/>
  <c r="F236" i="8"/>
  <c r="F300" i="8"/>
  <c r="F364" i="8"/>
  <c r="F428" i="8"/>
  <c r="F500" i="8"/>
  <c r="F564" i="8"/>
  <c r="F136" i="8"/>
  <c r="F209" i="8"/>
  <c r="F281" i="8"/>
  <c r="F345" i="8"/>
  <c r="F409" i="8"/>
  <c r="F473" i="8"/>
  <c r="F529" i="8"/>
  <c r="F36" i="8"/>
  <c r="F100" i="8"/>
  <c r="F160" i="8"/>
  <c r="F192" i="8"/>
  <c r="F224" i="8"/>
  <c r="F256" i="8"/>
  <c r="F288" i="8"/>
  <c r="F320" i="8"/>
  <c r="F352" i="8"/>
  <c r="F384" i="8"/>
  <c r="F416" i="8"/>
  <c r="F448" i="8"/>
  <c r="F480" i="8"/>
  <c r="F512" i="8"/>
  <c r="F544" i="8"/>
  <c r="F421" i="8"/>
  <c r="F469" i="8"/>
  <c r="F509" i="8"/>
  <c r="F549" i="8"/>
  <c r="F44" i="8"/>
  <c r="F164" i="8"/>
  <c r="F244" i="8"/>
  <c r="F308" i="8"/>
  <c r="F372" i="8"/>
  <c r="F436" i="8"/>
  <c r="F492" i="8"/>
  <c r="F556" i="8"/>
  <c r="F120" i="8"/>
  <c r="F201" i="8"/>
  <c r="F257" i="8"/>
  <c r="F321" i="8"/>
  <c r="F385" i="8"/>
  <c r="F449" i="8"/>
  <c r="F513" i="8"/>
  <c r="F572" i="8"/>
  <c r="F576" i="8"/>
  <c r="F580" i="8"/>
  <c r="F584" i="8"/>
  <c r="F588" i="8"/>
  <c r="F592" i="8"/>
  <c r="F596" i="8"/>
  <c r="F600" i="8"/>
  <c r="F604" i="8"/>
  <c r="F608" i="8"/>
  <c r="F612" i="8"/>
  <c r="F616" i="8"/>
  <c r="F620" i="8"/>
  <c r="F624" i="8"/>
  <c r="F628" i="8"/>
  <c r="F632" i="8"/>
  <c r="F636" i="8"/>
  <c r="F640" i="8"/>
  <c r="F644" i="8"/>
  <c r="F648" i="8"/>
  <c r="F652" i="8"/>
  <c r="F656" i="8"/>
  <c r="F660" i="8"/>
  <c r="F664" i="8"/>
  <c r="F668" i="8"/>
  <c r="F672" i="8"/>
  <c r="F676" i="8"/>
  <c r="F680" i="8"/>
  <c r="F684" i="8"/>
  <c r="F688" i="8"/>
  <c r="F692" i="8"/>
  <c r="F696" i="8"/>
  <c r="F700" i="8"/>
  <c r="F704" i="8"/>
  <c r="F708" i="8"/>
  <c r="F712" i="8"/>
  <c r="F716" i="8"/>
  <c r="F720" i="8"/>
  <c r="F724" i="8"/>
  <c r="F728" i="8"/>
  <c r="F732" i="8"/>
  <c r="F736" i="8"/>
  <c r="F740" i="8"/>
  <c r="F744" i="8"/>
  <c r="F748" i="8"/>
  <c r="F34" i="8"/>
  <c r="F66" i="8"/>
  <c r="F98" i="8"/>
  <c r="F114" i="8"/>
  <c r="F146" i="8"/>
  <c r="F178" i="8"/>
  <c r="F210" i="8"/>
  <c r="F242" i="8"/>
  <c r="F274" i="8"/>
  <c r="F306" i="8"/>
  <c r="F338" i="8"/>
  <c r="F370" i="8"/>
  <c r="F402" i="8"/>
  <c r="F434" i="8"/>
  <c r="F466" i="8"/>
  <c r="F498" i="8"/>
  <c r="F530" i="8"/>
  <c r="F562" i="8"/>
  <c r="F69" i="8"/>
  <c r="F137" i="8"/>
  <c r="F39" i="8"/>
  <c r="F71" i="8"/>
  <c r="F103" i="8"/>
  <c r="F135" i="8"/>
  <c r="F167" i="8"/>
  <c r="F199" i="8"/>
  <c r="F231" i="8"/>
  <c r="F263" i="8"/>
  <c r="F295" i="8"/>
  <c r="F327" i="8"/>
  <c r="F343" i="8"/>
  <c r="F375" i="8"/>
  <c r="F407" i="8"/>
  <c r="F439" i="8"/>
  <c r="F471" i="8"/>
  <c r="F503" i="8"/>
  <c r="F535" i="8"/>
  <c r="F567" i="8"/>
  <c r="F73" i="8"/>
  <c r="F133" i="8"/>
  <c r="F112" i="8"/>
  <c r="F197" i="8"/>
  <c r="F261" i="8"/>
  <c r="F325" i="8"/>
  <c r="F389" i="8"/>
  <c r="F28" i="8"/>
  <c r="F212" i="8"/>
  <c r="F332" i="8"/>
  <c r="F468" i="8"/>
  <c r="F72" i="8"/>
  <c r="F249" i="8"/>
  <c r="F377" i="8"/>
  <c r="F505" i="8"/>
  <c r="F68" i="8"/>
  <c r="F176" i="8"/>
  <c r="F240" i="8"/>
  <c r="F304" i="8"/>
  <c r="F368" i="8"/>
  <c r="F432" i="8"/>
  <c r="F496" i="8"/>
  <c r="F560" i="8"/>
  <c r="F485" i="8"/>
  <c r="F565" i="8"/>
  <c r="F276" i="8"/>
  <c r="F404" i="8"/>
  <c r="F524" i="8"/>
  <c r="F169" i="8"/>
  <c r="F289" i="8"/>
  <c r="F417" i="8"/>
  <c r="F553" i="8"/>
  <c r="F578" i="8"/>
  <c r="F586" i="8"/>
  <c r="F594" i="8"/>
  <c r="F21" i="8"/>
  <c r="F38" i="8"/>
  <c r="F54" i="8"/>
  <c r="F70" i="8"/>
  <c r="F86" i="8"/>
  <c r="F102" i="8"/>
  <c r="F118" i="8"/>
  <c r="F134" i="8"/>
  <c r="F150" i="8"/>
  <c r="F166" i="8"/>
  <c r="F182" i="8"/>
  <c r="F198" i="8"/>
  <c r="F214" i="8"/>
  <c r="F230" i="8"/>
  <c r="F246" i="8"/>
  <c r="F262" i="8"/>
  <c r="F278" i="8"/>
  <c r="F294" i="8"/>
  <c r="F310" i="8"/>
  <c r="F326" i="8"/>
  <c r="F342" i="8"/>
  <c r="F358" i="8"/>
  <c r="F374" i="8"/>
  <c r="F390" i="8"/>
  <c r="F406" i="8"/>
  <c r="F422" i="8"/>
  <c r="F438" i="8"/>
  <c r="F454" i="8"/>
  <c r="F470" i="8"/>
  <c r="F486" i="8"/>
  <c r="F502" i="8"/>
  <c r="F518" i="8"/>
  <c r="F534" i="8"/>
  <c r="F550" i="8"/>
  <c r="F566" i="8"/>
  <c r="F45" i="8"/>
  <c r="F77" i="8"/>
  <c r="F113" i="8"/>
  <c r="F145" i="8"/>
  <c r="F27" i="8"/>
  <c r="F43" i="8"/>
  <c r="F59" i="8"/>
  <c r="F75" i="8"/>
  <c r="F91" i="8"/>
  <c r="F107" i="8"/>
  <c r="F123" i="8"/>
  <c r="F139" i="8"/>
  <c r="F155" i="8"/>
  <c r="F171" i="8"/>
  <c r="F187" i="8"/>
  <c r="F203" i="8"/>
  <c r="F219" i="8"/>
  <c r="F235" i="8"/>
  <c r="F251" i="8"/>
  <c r="F267" i="8"/>
  <c r="F283" i="8"/>
  <c r="F299" i="8"/>
  <c r="F315" i="8"/>
  <c r="F331" i="8"/>
  <c r="F347" i="8"/>
  <c r="F363" i="8"/>
  <c r="F379" i="8"/>
  <c r="F395" i="8"/>
  <c r="F411" i="8"/>
  <c r="F427" i="8"/>
  <c r="F443" i="8"/>
  <c r="F459" i="8"/>
  <c r="F475" i="8"/>
  <c r="F491" i="8"/>
  <c r="F507" i="8"/>
  <c r="F523" i="8"/>
  <c r="F539" i="8"/>
  <c r="F555" i="8"/>
  <c r="F569" i="8"/>
  <c r="F49" i="8"/>
  <c r="F81" i="8"/>
  <c r="F109" i="8"/>
  <c r="F141" i="8"/>
  <c r="F64" i="8"/>
  <c r="F128" i="8"/>
  <c r="F173" i="8"/>
  <c r="F205" i="8"/>
  <c r="F237" i="8"/>
  <c r="F269" i="8"/>
  <c r="F301" i="8"/>
  <c r="F333" i="8"/>
  <c r="F365" i="8"/>
  <c r="F397" i="8"/>
  <c r="F453" i="8"/>
  <c r="F60" i="8"/>
  <c r="F172" i="8"/>
  <c r="F228" i="8"/>
  <c r="F284" i="8"/>
  <c r="F348" i="8"/>
  <c r="F412" i="8"/>
  <c r="F484" i="8"/>
  <c r="F548" i="8"/>
  <c r="F104" i="8"/>
  <c r="F193" i="8"/>
  <c r="F265" i="8"/>
  <c r="F329" i="8"/>
  <c r="F393" i="8"/>
  <c r="F457" i="8"/>
  <c r="F521" i="8"/>
  <c r="F22" i="8"/>
  <c r="F84" i="8"/>
  <c r="F148" i="8"/>
  <c r="F184" i="8"/>
  <c r="F216" i="8"/>
  <c r="F248" i="8"/>
  <c r="F280" i="8"/>
  <c r="F312" i="8"/>
  <c r="F344" i="8"/>
  <c r="F376" i="8"/>
  <c r="F408" i="8"/>
  <c r="F440" i="8"/>
  <c r="F472" i="8"/>
  <c r="F504" i="8"/>
  <c r="F536" i="8"/>
  <c r="F568" i="8"/>
  <c r="F461" i="8"/>
  <c r="F501" i="8"/>
  <c r="F533" i="8"/>
  <c r="F570" i="8"/>
  <c r="F140" i="8"/>
  <c r="F220" i="8"/>
  <c r="F292" i="8"/>
  <c r="F356" i="8"/>
  <c r="F420" i="8"/>
  <c r="F476" i="8"/>
  <c r="F540" i="8"/>
  <c r="F88" i="8"/>
  <c r="F185" i="8"/>
  <c r="F241" i="8"/>
  <c r="F305" i="8"/>
  <c r="F369" i="8"/>
  <c r="F433" i="8"/>
  <c r="F497" i="8"/>
  <c r="F571" i="8"/>
  <c r="F575" i="8"/>
  <c r="F579" i="8"/>
  <c r="F583" i="8"/>
  <c r="F587" i="8"/>
  <c r="F591" i="8"/>
  <c r="F595" i="8"/>
  <c r="F599" i="8"/>
  <c r="F603" i="8"/>
  <c r="F607" i="8"/>
  <c r="F611" i="8"/>
  <c r="F615" i="8"/>
  <c r="F619" i="8"/>
  <c r="F623" i="8"/>
  <c r="F627" i="8"/>
  <c r="F631" i="8"/>
  <c r="F635" i="8"/>
  <c r="F639" i="8"/>
  <c r="F643" i="8"/>
  <c r="F647" i="8"/>
  <c r="F651" i="8"/>
  <c r="F655" i="8"/>
  <c r="F659" i="8"/>
  <c r="F663" i="8"/>
  <c r="F667" i="8"/>
  <c r="F671" i="8"/>
  <c r="F675" i="8"/>
  <c r="F679" i="8"/>
  <c r="F683" i="8"/>
  <c r="F687" i="8"/>
  <c r="F691" i="8"/>
  <c r="F695" i="8"/>
  <c r="F699" i="8"/>
  <c r="F703" i="8"/>
  <c r="F707" i="8"/>
  <c r="F711" i="8"/>
  <c r="F715" i="8"/>
  <c r="F719" i="8"/>
  <c r="F723" i="8"/>
  <c r="F727" i="8"/>
  <c r="F731" i="8"/>
  <c r="F735" i="8"/>
  <c r="F739" i="8"/>
  <c r="F743" i="8"/>
  <c r="F747" i="8"/>
  <c r="F50" i="8"/>
  <c r="F82" i="8"/>
  <c r="F130" i="8"/>
  <c r="F162" i="8"/>
  <c r="F194" i="8"/>
  <c r="F226" i="8"/>
  <c r="F258" i="8"/>
  <c r="F290" i="8"/>
  <c r="F322" i="8"/>
  <c r="F354" i="8"/>
  <c r="F386" i="8"/>
  <c r="F418" i="8"/>
  <c r="F450" i="8"/>
  <c r="F482" i="8"/>
  <c r="F514" i="8"/>
  <c r="F546" i="8"/>
  <c r="F37" i="8"/>
  <c r="F101" i="8"/>
  <c r="F23" i="8"/>
  <c r="F55" i="8"/>
  <c r="F87" i="8"/>
  <c r="F119" i="8"/>
  <c r="F151" i="8"/>
  <c r="F183" i="8"/>
  <c r="F215" i="8"/>
  <c r="F247" i="8"/>
  <c r="F279" i="8"/>
  <c r="F311" i="8"/>
  <c r="F359" i="8"/>
  <c r="F391" i="8"/>
  <c r="F423" i="8"/>
  <c r="F455" i="8"/>
  <c r="F487" i="8"/>
  <c r="F519" i="8"/>
  <c r="F551" i="8"/>
  <c r="F41" i="8"/>
  <c r="F105" i="8"/>
  <c r="F48" i="8"/>
  <c r="F165" i="8"/>
  <c r="F229" i="8"/>
  <c r="F293" i="8"/>
  <c r="F357" i="8"/>
  <c r="F429" i="8"/>
  <c r="F156" i="8"/>
  <c r="F268" i="8"/>
  <c r="F396" i="8"/>
  <c r="F532" i="8"/>
  <c r="F177" i="8"/>
  <c r="F313" i="8"/>
  <c r="F441" i="8"/>
  <c r="F561" i="8"/>
  <c r="F132" i="8"/>
  <c r="F208" i="8"/>
  <c r="F272" i="8"/>
  <c r="F336" i="8"/>
  <c r="F400" i="8"/>
  <c r="F464" i="8"/>
  <c r="F528" i="8"/>
  <c r="F445" i="8"/>
  <c r="F525" i="8"/>
  <c r="F108" i="8"/>
  <c r="F204" i="8"/>
  <c r="F340" i="8"/>
  <c r="F460" i="8"/>
  <c r="F56" i="8"/>
  <c r="F225" i="8"/>
  <c r="F353" i="8"/>
  <c r="F481" i="8"/>
  <c r="F574" i="8"/>
  <c r="F582" i="8"/>
  <c r="F590" i="8"/>
  <c r="F598" i="8"/>
  <c r="F606" i="8"/>
  <c r="F750" i="8"/>
  <c r="F742" i="8"/>
  <c r="F734" i="8"/>
  <c r="F726" i="8"/>
  <c r="F718" i="8"/>
  <c r="F710" i="8"/>
  <c r="F702" i="8"/>
  <c r="F694" i="8"/>
  <c r="F686" i="8"/>
  <c r="F678" i="8"/>
  <c r="F670" i="8"/>
  <c r="F662" i="8"/>
  <c r="F654" i="8"/>
  <c r="F646" i="8"/>
  <c r="F638" i="8"/>
  <c r="F630" i="8"/>
  <c r="F622" i="8"/>
  <c r="F614" i="8"/>
  <c r="F605" i="8"/>
  <c r="F593" i="8"/>
  <c r="F577" i="8"/>
  <c r="F401" i="8"/>
  <c r="F152" i="8"/>
  <c r="F388" i="8"/>
  <c r="F76" i="8"/>
  <c r="F437" i="8"/>
  <c r="F456" i="8"/>
  <c r="F328" i="8"/>
  <c r="F200" i="8"/>
  <c r="F545" i="8"/>
  <c r="F297" i="8"/>
  <c r="F516" i="8"/>
  <c r="F252" i="8"/>
  <c r="F413" i="8"/>
  <c r="F285" i="8"/>
  <c r="F157" i="8"/>
  <c r="F97" i="8"/>
  <c r="F547" i="8"/>
  <c r="F483" i="8"/>
  <c r="F419" i="8"/>
  <c r="F355" i="8"/>
  <c r="F291" i="8"/>
  <c r="F227" i="8"/>
  <c r="F163" i="8"/>
  <c r="F99" i="8"/>
  <c r="F35" i="8"/>
  <c r="F61" i="8"/>
  <c r="F526" i="8"/>
  <c r="F462" i="8"/>
  <c r="F398" i="8"/>
  <c r="F334" i="8"/>
  <c r="F270" i="8"/>
  <c r="F206" i="8"/>
  <c r="F142" i="8"/>
  <c r="F78" i="8"/>
  <c r="F745" i="8"/>
  <c r="F737" i="8"/>
  <c r="F729" i="8"/>
  <c r="F721" i="8"/>
  <c r="F713" i="8"/>
  <c r="F705" i="8"/>
  <c r="F697" i="8"/>
  <c r="F689" i="8"/>
  <c r="F681" i="8"/>
  <c r="F673" i="8"/>
  <c r="F665" i="8"/>
  <c r="F657" i="8"/>
  <c r="F649" i="8"/>
  <c r="F641" i="8"/>
  <c r="F633" i="8"/>
  <c r="F625" i="8"/>
  <c r="F617" i="8"/>
  <c r="F609" i="8"/>
  <c r="F597" i="8"/>
  <c r="F581" i="8"/>
  <c r="F465" i="8"/>
  <c r="F217" i="8"/>
  <c r="F452" i="8"/>
  <c r="F180" i="8"/>
  <c r="F477" i="8"/>
  <c r="F488" i="8"/>
  <c r="F360" i="8"/>
  <c r="F232" i="8"/>
  <c r="F52" i="8"/>
  <c r="F361" i="8"/>
  <c r="F40" i="8"/>
  <c r="F316" i="8"/>
  <c r="F541" i="8"/>
  <c r="F317" i="8"/>
  <c r="F189" i="8"/>
  <c r="F125" i="8"/>
  <c r="F563" i="8"/>
  <c r="F499" i="8"/>
  <c r="F435" i="8"/>
  <c r="F371" i="8"/>
  <c r="F307" i="8"/>
  <c r="F243" i="8"/>
  <c r="F179" i="8"/>
  <c r="F115" i="8"/>
  <c r="F51" i="8"/>
  <c r="F93" i="8"/>
  <c r="F542" i="8"/>
  <c r="F478" i="8"/>
  <c r="F414" i="8"/>
  <c r="F350" i="8"/>
  <c r="F286" i="8"/>
  <c r="F222" i="8"/>
  <c r="F158" i="8"/>
  <c r="F94" i="8"/>
  <c r="F30" i="8"/>
  <c r="F746" i="8"/>
  <c r="F738" i="8"/>
  <c r="F730" i="8"/>
  <c r="F722" i="8"/>
  <c r="F714" i="8"/>
  <c r="F706" i="8"/>
  <c r="F698" i="8"/>
  <c r="F690" i="8"/>
  <c r="F682" i="8"/>
  <c r="F674" i="8"/>
  <c r="F666" i="8"/>
  <c r="F658" i="8"/>
  <c r="F650" i="8"/>
  <c r="F642" i="8"/>
  <c r="F634" i="8"/>
  <c r="F626" i="8"/>
  <c r="F618" i="8"/>
  <c r="F610" i="8"/>
  <c r="F601" i="8"/>
  <c r="F585" i="8"/>
  <c r="F537" i="8"/>
  <c r="F273" i="8"/>
  <c r="F508" i="8"/>
  <c r="F260" i="8"/>
  <c r="F517" i="8"/>
  <c r="F520" i="8"/>
  <c r="F392" i="8"/>
  <c r="F264" i="8"/>
  <c r="F116" i="8"/>
  <c r="F425" i="8"/>
  <c r="F161" i="8"/>
  <c r="F380" i="8"/>
  <c r="F124" i="8"/>
  <c r="F349" i="8"/>
  <c r="F221" i="8"/>
  <c r="F32" i="8"/>
  <c r="F33" i="8"/>
  <c r="F515" i="8"/>
  <c r="F451" i="8"/>
  <c r="F387" i="8"/>
  <c r="F323" i="8"/>
  <c r="F259" i="8"/>
  <c r="F195" i="8"/>
  <c r="F131" i="8"/>
  <c r="F67" i="8"/>
  <c r="F129" i="8"/>
  <c r="F558" i="8"/>
  <c r="F494" i="8"/>
  <c r="F430" i="8"/>
  <c r="F366" i="8"/>
  <c r="F302" i="8"/>
  <c r="F238" i="8"/>
  <c r="F174" i="8"/>
  <c r="F110" i="8"/>
  <c r="F46" i="8"/>
  <c r="G20" i="8"/>
  <c r="G21" i="8" l="1"/>
  <c r="G22" i="8" l="1"/>
  <c r="G23" i="8" l="1"/>
  <c r="G24" i="8" l="1"/>
  <c r="G25" i="8" l="1"/>
  <c r="G26" i="8" l="1"/>
  <c r="G27" i="8" l="1"/>
  <c r="G28" i="8" l="1"/>
  <c r="G29" i="8" l="1"/>
  <c r="G30" i="8" l="1"/>
  <c r="G31" i="8" l="1"/>
  <c r="G32" i="8" l="1"/>
  <c r="G33" i="8" l="1"/>
  <c r="G34" i="8" l="1"/>
  <c r="G35" i="8" l="1"/>
  <c r="G36" i="8" l="1"/>
  <c r="G37" i="8" l="1"/>
  <c r="G38" i="8" l="1"/>
  <c r="G39" i="8" l="1"/>
  <c r="G40" i="8" l="1"/>
  <c r="G41" i="8" l="1"/>
  <c r="G42" i="8" l="1"/>
  <c r="G43" i="8" l="1"/>
  <c r="G44" i="8" l="1"/>
  <c r="G45" i="8" l="1"/>
  <c r="G46" i="8" l="1"/>
  <c r="G47" i="8" l="1"/>
  <c r="G48" i="8" l="1"/>
  <c r="G49" i="8" l="1"/>
  <c r="G50" i="8" l="1"/>
  <c r="G51" i="8" l="1"/>
  <c r="G52" i="8" l="1"/>
  <c r="G53" i="8" l="1"/>
  <c r="G54" i="8" l="1"/>
  <c r="G55" i="8" l="1"/>
  <c r="G56" i="8" l="1"/>
  <c r="G57" i="8" l="1"/>
  <c r="G58" i="8" l="1"/>
  <c r="G59" i="8" l="1"/>
  <c r="G60" i="8" l="1"/>
  <c r="G61" i="8" l="1"/>
  <c r="G62" i="8" l="1"/>
  <c r="G63" i="8" l="1"/>
  <c r="G64" i="8" l="1"/>
  <c r="G65" i="8" l="1"/>
  <c r="G66" i="8" l="1"/>
  <c r="G67" i="8" l="1"/>
  <c r="G68" i="8" l="1"/>
  <c r="G69" i="8" l="1"/>
  <c r="G70" i="8" l="1"/>
  <c r="G71" i="8" l="1"/>
  <c r="G72" i="8" l="1"/>
  <c r="G73" i="8" l="1"/>
  <c r="G74" i="8" l="1"/>
  <c r="G75" i="8" l="1"/>
  <c r="G76" i="8" l="1"/>
  <c r="G77" i="8" l="1"/>
  <c r="G78" i="8" l="1"/>
  <c r="G79" i="8" l="1"/>
  <c r="G80" i="8" l="1"/>
  <c r="G81" i="8" l="1"/>
  <c r="G82" i="8" l="1"/>
  <c r="G83" i="8" l="1"/>
  <c r="G84" i="8" l="1"/>
  <c r="G85" i="8" l="1"/>
  <c r="G86" i="8" l="1"/>
  <c r="G87" i="8" l="1"/>
  <c r="G88" i="8" l="1"/>
  <c r="G89" i="8" l="1"/>
  <c r="G90" i="8" l="1"/>
  <c r="G91" i="8" l="1"/>
  <c r="G92" i="8" l="1"/>
  <c r="G93" i="8" l="1"/>
  <c r="G94" i="8" l="1"/>
  <c r="G95" i="8" l="1"/>
  <c r="G96" i="8" l="1"/>
  <c r="G97" i="8" l="1"/>
  <c r="G98" i="8" l="1"/>
  <c r="G99" i="8" l="1"/>
  <c r="G100" i="8" l="1"/>
  <c r="G101" i="8" l="1"/>
  <c r="G102" i="8" l="1"/>
  <c r="G103" i="8" l="1"/>
  <c r="G104" i="8" l="1"/>
  <c r="G105" i="8" l="1"/>
  <c r="G106" i="8" l="1"/>
  <c r="G107" i="8" l="1"/>
  <c r="G108" i="8" l="1"/>
  <c r="G109" i="8" l="1"/>
  <c r="G110" i="8" l="1"/>
  <c r="G111" i="8" l="1"/>
  <c r="G112" i="8" l="1"/>
  <c r="G113" i="8" l="1"/>
  <c r="G114" i="8" l="1"/>
  <c r="G115" i="8" l="1"/>
  <c r="G116" i="8" l="1"/>
  <c r="G117" i="8" l="1"/>
  <c r="G118" i="8" l="1"/>
  <c r="G119" i="8" l="1"/>
  <c r="G120" i="8" l="1"/>
  <c r="G121" i="8" l="1"/>
  <c r="G122" i="8" l="1"/>
  <c r="G123" i="8" l="1"/>
  <c r="G124" i="8" l="1"/>
  <c r="G125" i="8" l="1"/>
  <c r="G126" i="8" l="1"/>
  <c r="G127" i="8" l="1"/>
  <c r="G128" i="8" l="1"/>
  <c r="G129" i="8" l="1"/>
  <c r="G130" i="8" l="1"/>
  <c r="G131" i="8" l="1"/>
  <c r="G132" i="8" l="1"/>
  <c r="G133" i="8" l="1"/>
  <c r="G134" i="8" l="1"/>
  <c r="G135" i="8" l="1"/>
  <c r="G136" i="8" l="1"/>
  <c r="G137" i="8" l="1"/>
  <c r="G138" i="8" l="1"/>
  <c r="G139" i="8" l="1"/>
  <c r="G140" i="8" l="1"/>
  <c r="G141" i="8" l="1"/>
  <c r="G142" i="8" l="1"/>
  <c r="G143" i="8" l="1"/>
  <c r="G144" i="8" l="1"/>
  <c r="G145" i="8" l="1"/>
  <c r="G146" i="8" l="1"/>
  <c r="G147" i="8" l="1"/>
  <c r="G148" i="8" l="1"/>
  <c r="G149" i="8" l="1"/>
  <c r="G150" i="8" l="1"/>
  <c r="G151" i="8" l="1"/>
  <c r="G152" i="8" l="1"/>
  <c r="G153" i="8" l="1"/>
  <c r="G154" i="8" l="1"/>
  <c r="G155" i="8" l="1"/>
  <c r="G156" i="8" l="1"/>
  <c r="G157" i="8" l="1"/>
  <c r="G158" i="8" l="1"/>
  <c r="G159" i="8" l="1"/>
  <c r="G160" i="8" l="1"/>
  <c r="G161" i="8" l="1"/>
  <c r="G162" i="8" l="1"/>
  <c r="G163" i="8" l="1"/>
  <c r="G164" i="8" l="1"/>
  <c r="G165" i="8" l="1"/>
  <c r="G166" i="8" l="1"/>
  <c r="G167" i="8" l="1"/>
  <c r="G168" i="8" l="1"/>
  <c r="G169" i="8" l="1"/>
  <c r="G170" i="8" l="1"/>
  <c r="G171" i="8" l="1"/>
  <c r="G172" i="8" l="1"/>
  <c r="G173" i="8" l="1"/>
  <c r="G174" i="8" l="1"/>
  <c r="G175" i="8" l="1"/>
  <c r="G176" i="8" l="1"/>
  <c r="G177" i="8" l="1"/>
  <c r="G178" i="8" l="1"/>
  <c r="G179" i="8" l="1"/>
  <c r="G180" i="8" l="1"/>
  <c r="G181" i="8" l="1"/>
  <c r="G182" i="8" l="1"/>
  <c r="G183" i="8" l="1"/>
  <c r="G184" i="8" l="1"/>
  <c r="G185" i="8" l="1"/>
  <c r="G186" i="8" l="1"/>
  <c r="G187" i="8" l="1"/>
  <c r="G188" i="8" l="1"/>
  <c r="G189" i="8" l="1"/>
  <c r="G190" i="8" l="1"/>
  <c r="G191" i="8" l="1"/>
  <c r="G192" i="8" l="1"/>
  <c r="G193" i="8" l="1"/>
  <c r="G194" i="8" l="1"/>
  <c r="G195" i="8" l="1"/>
  <c r="G196" i="8" l="1"/>
  <c r="G197" i="8" l="1"/>
  <c r="G198" i="8" l="1"/>
  <c r="G199" i="8" l="1"/>
  <c r="G200" i="8" l="1"/>
  <c r="G201" i="8" l="1"/>
  <c r="G202" i="8" l="1"/>
  <c r="G203" i="8" l="1"/>
  <c r="G204" i="8" l="1"/>
  <c r="G205" i="8" l="1"/>
  <c r="G206" i="8" l="1"/>
  <c r="G207" i="8" l="1"/>
  <c r="G208" i="8" l="1"/>
  <c r="G209" i="8" l="1"/>
  <c r="G210" i="8" l="1"/>
  <c r="G211" i="8" l="1"/>
  <c r="G212" i="8" l="1"/>
  <c r="G213" i="8" l="1"/>
  <c r="G214" i="8" l="1"/>
  <c r="G215" i="8" l="1"/>
  <c r="G216" i="8" l="1"/>
  <c r="G217" i="8" l="1"/>
  <c r="G218" i="8" l="1"/>
  <c r="G219" i="8" l="1"/>
  <c r="G220" i="8" l="1"/>
  <c r="G221" i="8" l="1"/>
  <c r="G222" i="8" l="1"/>
  <c r="G223" i="8" l="1"/>
  <c r="G224" i="8" l="1"/>
  <c r="G225" i="8" l="1"/>
  <c r="G226" i="8" l="1"/>
  <c r="G227" i="8" l="1"/>
  <c r="G228" i="8" l="1"/>
  <c r="G229" i="8" l="1"/>
  <c r="G230" i="8" l="1"/>
  <c r="G231" i="8" l="1"/>
  <c r="G232" i="8" l="1"/>
  <c r="G233" i="8" l="1"/>
  <c r="G234" i="8" l="1"/>
  <c r="G235" i="8" l="1"/>
  <c r="G236" i="8" l="1"/>
  <c r="G237" i="8" l="1"/>
  <c r="G238" i="8" l="1"/>
  <c r="G239" i="8" l="1"/>
  <c r="G240" i="8" l="1"/>
  <c r="G241" i="8" l="1"/>
  <c r="G242" i="8" l="1"/>
  <c r="G243" i="8" l="1"/>
  <c r="G244" i="8" l="1"/>
  <c r="G245" i="8" l="1"/>
  <c r="G246" i="8" l="1"/>
  <c r="G247" i="8" l="1"/>
  <c r="G248" i="8" l="1"/>
  <c r="G249" i="8" l="1"/>
  <c r="G250" i="8" l="1"/>
  <c r="G251" i="8" l="1"/>
  <c r="G252" i="8" l="1"/>
  <c r="G253" i="8" l="1"/>
  <c r="G254" i="8" l="1"/>
  <c r="G255" i="8" l="1"/>
  <c r="G256" i="8" l="1"/>
  <c r="G257" i="8" l="1"/>
  <c r="G258" i="8" l="1"/>
  <c r="G259" i="8" l="1"/>
  <c r="G260" i="8" l="1"/>
  <c r="G261" i="8" l="1"/>
  <c r="G262" i="8" l="1"/>
  <c r="G263" i="8" l="1"/>
  <c r="G264" i="8" l="1"/>
  <c r="G265" i="8" l="1"/>
  <c r="G266" i="8" l="1"/>
  <c r="G267" i="8" l="1"/>
  <c r="G268" i="8" l="1"/>
  <c r="G269" i="8" l="1"/>
  <c r="G270" i="8" l="1"/>
  <c r="G271" i="8" l="1"/>
  <c r="G272" i="8" l="1"/>
  <c r="G273" i="8" l="1"/>
  <c r="G274" i="8" l="1"/>
  <c r="G275" i="8" l="1"/>
  <c r="G276" i="8" l="1"/>
  <c r="G277" i="8" l="1"/>
  <c r="G278" i="8" l="1"/>
  <c r="G279" i="8" l="1"/>
  <c r="G280" i="8" l="1"/>
  <c r="G281" i="8" l="1"/>
  <c r="G282" i="8" l="1"/>
  <c r="G283" i="8" l="1"/>
  <c r="G284" i="8" l="1"/>
  <c r="G285" i="8" l="1"/>
  <c r="G286" i="8" l="1"/>
  <c r="G287" i="8" l="1"/>
  <c r="G288" i="8" l="1"/>
  <c r="G289" i="8" l="1"/>
  <c r="G290" i="8" l="1"/>
  <c r="G291" i="8" l="1"/>
  <c r="G292" i="8" l="1"/>
  <c r="G293" i="8" l="1"/>
  <c r="G294" i="8" l="1"/>
  <c r="G295" i="8" l="1"/>
  <c r="G296" i="8" l="1"/>
  <c r="G297" i="8" l="1"/>
  <c r="G298" i="8" l="1"/>
  <c r="G299" i="8" l="1"/>
  <c r="G300" i="8" l="1"/>
  <c r="G301" i="8" l="1"/>
  <c r="G302" i="8" l="1"/>
  <c r="G303" i="8" l="1"/>
  <c r="G304" i="8" l="1"/>
  <c r="G305" i="8" l="1"/>
  <c r="G306" i="8" l="1"/>
  <c r="G307" i="8" l="1"/>
  <c r="G308" i="8" l="1"/>
  <c r="G309" i="8" l="1"/>
  <c r="G310" i="8" l="1"/>
  <c r="G311" i="8" l="1"/>
  <c r="G312" i="8" l="1"/>
  <c r="G313" i="8" l="1"/>
  <c r="G314" i="8" l="1"/>
  <c r="G315" i="8" l="1"/>
  <c r="G316" i="8" l="1"/>
  <c r="G317" i="8" l="1"/>
  <c r="G318" i="8" l="1"/>
  <c r="G319" i="8" l="1"/>
  <c r="G320" i="8" l="1"/>
  <c r="G321" i="8" l="1"/>
  <c r="G322" i="8" l="1"/>
  <c r="G323" i="8" l="1"/>
  <c r="G324" i="8" l="1"/>
  <c r="G325" i="8" l="1"/>
  <c r="G326" i="8" l="1"/>
  <c r="G327" i="8" l="1"/>
  <c r="G328" i="8" l="1"/>
  <c r="G329" i="8" l="1"/>
  <c r="G330" i="8" l="1"/>
  <c r="G331" i="8" l="1"/>
  <c r="G332" i="8" l="1"/>
  <c r="G333" i="8" l="1"/>
  <c r="G334" i="8" l="1"/>
  <c r="G335" i="8" l="1"/>
  <c r="G336" i="8" l="1"/>
  <c r="G337" i="8" l="1"/>
  <c r="G338" i="8" l="1"/>
  <c r="G339" i="8" l="1"/>
  <c r="G340" i="8" l="1"/>
  <c r="G341" i="8" l="1"/>
  <c r="G342" i="8" l="1"/>
  <c r="G343" i="8" l="1"/>
  <c r="G344" i="8" l="1"/>
  <c r="G345" i="8" l="1"/>
  <c r="G346" i="8" l="1"/>
  <c r="G347" i="8" l="1"/>
  <c r="G348" i="8" l="1"/>
  <c r="G349" i="8" l="1"/>
  <c r="G350" i="8" l="1"/>
  <c r="G351" i="8" l="1"/>
  <c r="G352" i="8" l="1"/>
  <c r="G353" i="8" l="1"/>
  <c r="G354" i="8" l="1"/>
  <c r="G355" i="8" l="1"/>
  <c r="G356" i="8" l="1"/>
  <c r="G357" i="8" l="1"/>
  <c r="G358" i="8" l="1"/>
  <c r="G359" i="8" l="1"/>
  <c r="G360" i="8" l="1"/>
  <c r="G361" i="8" l="1"/>
  <c r="G362" i="8" l="1"/>
  <c r="G363" i="8" l="1"/>
  <c r="G364" i="8" l="1"/>
  <c r="G365" i="8" l="1"/>
  <c r="G366" i="8" l="1"/>
  <c r="G367" i="8" l="1"/>
  <c r="G368" i="8" l="1"/>
  <c r="G369" i="8" l="1"/>
  <c r="G370" i="8" l="1"/>
  <c r="G371" i="8" l="1"/>
  <c r="G372" i="8" l="1"/>
  <c r="G373" i="8" l="1"/>
  <c r="G374" i="8" l="1"/>
  <c r="G375" i="8" l="1"/>
  <c r="G376" i="8" l="1"/>
  <c r="G377" i="8" l="1"/>
  <c r="G378" i="8" l="1"/>
  <c r="G379" i="8" l="1"/>
  <c r="G380" i="8" l="1"/>
  <c r="G381" i="8" l="1"/>
  <c r="G382" i="8" l="1"/>
  <c r="G383" i="8" l="1"/>
  <c r="G384" i="8" l="1"/>
  <c r="G385" i="8" l="1"/>
  <c r="G386" i="8" l="1"/>
  <c r="G387" i="8" l="1"/>
  <c r="G388" i="8" l="1"/>
  <c r="G389" i="8" l="1"/>
  <c r="G390" i="8" l="1"/>
  <c r="G391" i="8" l="1"/>
  <c r="G392" i="8" l="1"/>
  <c r="G393" i="8" l="1"/>
  <c r="G394" i="8" l="1"/>
  <c r="G395" i="8" l="1"/>
  <c r="G396" i="8" l="1"/>
  <c r="G397" i="8" l="1"/>
  <c r="G398" i="8" l="1"/>
  <c r="G399" i="8" l="1"/>
  <c r="G400" i="8" l="1"/>
  <c r="G401" i="8" l="1"/>
  <c r="G402" i="8" l="1"/>
  <c r="G403" i="8" l="1"/>
  <c r="G404" i="8" l="1"/>
  <c r="G405" i="8" l="1"/>
  <c r="G406" i="8" l="1"/>
  <c r="G407" i="8" l="1"/>
  <c r="G408" i="8" l="1"/>
  <c r="G409" i="8" l="1"/>
  <c r="G410" i="8" l="1"/>
  <c r="G411" i="8" l="1"/>
  <c r="G412" i="8" l="1"/>
  <c r="G413" i="8" l="1"/>
  <c r="G414" i="8" l="1"/>
  <c r="G415" i="8" l="1"/>
  <c r="G416" i="8" l="1"/>
  <c r="G417" i="8" l="1"/>
  <c r="G418" i="8" l="1"/>
  <c r="G419" i="8" l="1"/>
  <c r="G420" i="8" l="1"/>
  <c r="G421" i="8" l="1"/>
  <c r="G422" i="8" l="1"/>
  <c r="G423" i="8" l="1"/>
  <c r="G424" i="8" l="1"/>
  <c r="G425" i="8" l="1"/>
  <c r="G426" i="8" l="1"/>
  <c r="G427" i="8" l="1"/>
  <c r="G428" i="8" l="1"/>
  <c r="G429" i="8" l="1"/>
  <c r="G430" i="8" l="1"/>
  <c r="G431" i="8" l="1"/>
  <c r="G432" i="8" l="1"/>
  <c r="G433" i="8" l="1"/>
  <c r="G434" i="8" l="1"/>
  <c r="G435" i="8" l="1"/>
  <c r="G436" i="8" l="1"/>
  <c r="G437" i="8" l="1"/>
  <c r="G438" i="8" l="1"/>
  <c r="G439" i="8" l="1"/>
  <c r="G440" i="8" l="1"/>
  <c r="G441" i="8" l="1"/>
  <c r="G442" i="8" l="1"/>
  <c r="G443" i="8" l="1"/>
  <c r="G444" i="8" l="1"/>
  <c r="G445" i="8" l="1"/>
  <c r="G446" i="8" l="1"/>
  <c r="G447" i="8" l="1"/>
  <c r="G448" i="8" l="1"/>
  <c r="G449" i="8" l="1"/>
  <c r="G450" i="8" l="1"/>
  <c r="G451" i="8" l="1"/>
  <c r="G452" i="8" l="1"/>
  <c r="G453" i="8" l="1"/>
  <c r="G454" i="8" l="1"/>
  <c r="G455" i="8" l="1"/>
  <c r="G456" i="8" l="1"/>
  <c r="G457" i="8" l="1"/>
  <c r="G458" i="8" l="1"/>
  <c r="G459" i="8" l="1"/>
  <c r="G460" i="8" l="1"/>
  <c r="G461" i="8" l="1"/>
  <c r="G462" i="8" l="1"/>
  <c r="G463" i="8" l="1"/>
  <c r="G464" i="8" l="1"/>
  <c r="G465" i="8" l="1"/>
  <c r="G466" i="8" l="1"/>
  <c r="G467" i="8" l="1"/>
  <c r="G468" i="8" l="1"/>
  <c r="G469" i="8" l="1"/>
  <c r="G470" i="8" l="1"/>
  <c r="G471" i="8" l="1"/>
  <c r="G472" i="8" l="1"/>
  <c r="G473" i="8" l="1"/>
  <c r="G474" i="8" l="1"/>
  <c r="G475" i="8" l="1"/>
  <c r="G476" i="8" l="1"/>
  <c r="G477" i="8" l="1"/>
  <c r="G478" i="8" l="1"/>
  <c r="G479" i="8" l="1"/>
  <c r="G480" i="8" l="1"/>
  <c r="G481" i="8" l="1"/>
  <c r="G482" i="8" l="1"/>
  <c r="G483" i="8" l="1"/>
  <c r="G484" i="8" l="1"/>
  <c r="G485" i="8" l="1"/>
  <c r="G486" i="8" l="1"/>
  <c r="G487" i="8" l="1"/>
  <c r="G488" i="8" l="1"/>
  <c r="G489" i="8" l="1"/>
  <c r="G490" i="8" l="1"/>
  <c r="G491" i="8" l="1"/>
  <c r="G492" i="8" l="1"/>
  <c r="G493" i="8" l="1"/>
  <c r="G494" i="8" l="1"/>
  <c r="G495" i="8" l="1"/>
  <c r="G496" i="8" l="1"/>
  <c r="G497" i="8" l="1"/>
  <c r="G498" i="8" l="1"/>
  <c r="G499" i="8" l="1"/>
  <c r="G500" i="8" l="1"/>
  <c r="G501" i="8" l="1"/>
  <c r="G502" i="8" l="1"/>
  <c r="G503" i="8" l="1"/>
  <c r="G504" i="8" l="1"/>
  <c r="G505" i="8" l="1"/>
  <c r="G506" i="8" l="1"/>
  <c r="G507" i="8" l="1"/>
  <c r="G508" i="8" l="1"/>
  <c r="G509" i="8" l="1"/>
  <c r="G510" i="8" l="1"/>
  <c r="G511" i="8" l="1"/>
  <c r="G512" i="8" l="1"/>
  <c r="G513" i="8" l="1"/>
  <c r="G514" i="8" l="1"/>
  <c r="G515" i="8" l="1"/>
  <c r="G516" i="8" l="1"/>
  <c r="G517" i="8" l="1"/>
  <c r="G518" i="8" l="1"/>
  <c r="G519" i="8" l="1"/>
  <c r="G520" i="8" l="1"/>
  <c r="G521" i="8" l="1"/>
  <c r="G522" i="8" l="1"/>
  <c r="G523" i="8" l="1"/>
  <c r="G524" i="8" l="1"/>
  <c r="G525" i="8" l="1"/>
  <c r="G526" i="8" l="1"/>
  <c r="G527" i="8" l="1"/>
  <c r="G528" i="8" l="1"/>
  <c r="G529" i="8" l="1"/>
  <c r="G530" i="8" l="1"/>
  <c r="G531" i="8" l="1"/>
  <c r="G532" i="8" l="1"/>
  <c r="G533" i="8" l="1"/>
  <c r="G534" i="8" l="1"/>
  <c r="G535" i="8" l="1"/>
  <c r="G536" i="8" l="1"/>
  <c r="G537" i="8" l="1"/>
  <c r="G538" i="8" l="1"/>
  <c r="G539" i="8" l="1"/>
  <c r="G540" i="8" l="1"/>
  <c r="G541" i="8" l="1"/>
  <c r="G542" i="8" l="1"/>
  <c r="G543" i="8" l="1"/>
  <c r="G544" i="8" l="1"/>
  <c r="G545" i="8" l="1"/>
  <c r="G546" i="8" l="1"/>
  <c r="G547" i="8" l="1"/>
  <c r="G548" i="8" l="1"/>
  <c r="G549" i="8" l="1"/>
  <c r="G550" i="8" l="1"/>
  <c r="G551" i="8" l="1"/>
  <c r="G552" i="8" l="1"/>
  <c r="G553" i="8" l="1"/>
  <c r="G554" i="8" l="1"/>
  <c r="G555" i="8" l="1"/>
  <c r="G556" i="8" l="1"/>
  <c r="G557" i="8" l="1"/>
  <c r="G558" i="8" l="1"/>
  <c r="G559" i="8" l="1"/>
  <c r="G560" i="8" l="1"/>
  <c r="G561" i="8" l="1"/>
  <c r="G562" i="8" l="1"/>
  <c r="G563" i="8" l="1"/>
  <c r="G564" i="8" l="1"/>
  <c r="G565" i="8" l="1"/>
  <c r="G566" i="8" l="1"/>
  <c r="G567" i="8" l="1"/>
  <c r="G568" i="8" l="1"/>
  <c r="G569" i="8" l="1"/>
  <c r="G570" i="8" l="1"/>
  <c r="G571" i="8" l="1"/>
  <c r="G572" i="8" l="1"/>
  <c r="G573" i="8" l="1"/>
  <c r="G574" i="8" l="1"/>
  <c r="G575" i="8" l="1"/>
  <c r="G576" i="8" l="1"/>
  <c r="G577" i="8" l="1"/>
  <c r="G578" i="8" l="1"/>
  <c r="G579" i="8" l="1"/>
  <c r="G580" i="8" l="1"/>
  <c r="G581" i="8" l="1"/>
  <c r="G582" i="8" l="1"/>
  <c r="G583" i="8" l="1"/>
  <c r="G584" i="8" l="1"/>
  <c r="G585" i="8" l="1"/>
  <c r="G586" i="8" l="1"/>
  <c r="G587" i="8" l="1"/>
  <c r="G588" i="8" l="1"/>
  <c r="G589" i="8" l="1"/>
  <c r="G590" i="8" l="1"/>
  <c r="G591" i="8" l="1"/>
  <c r="G592" i="8" l="1"/>
  <c r="G593" i="8" l="1"/>
  <c r="G594" i="8" l="1"/>
  <c r="G595" i="8" l="1"/>
  <c r="G596" i="8" l="1"/>
  <c r="G597" i="8" l="1"/>
  <c r="G598" i="8" l="1"/>
  <c r="G599" i="8" l="1"/>
  <c r="G600" i="8" l="1"/>
  <c r="G601" i="8" l="1"/>
  <c r="G602" i="8" l="1"/>
  <c r="G603" i="8" l="1"/>
  <c r="G604" i="8" l="1"/>
  <c r="G605" i="8" l="1"/>
  <c r="G606" i="8" l="1"/>
  <c r="G607" i="8" l="1"/>
  <c r="G608" i="8" l="1"/>
  <c r="G609" i="8" l="1"/>
  <c r="G610" i="8" l="1"/>
  <c r="G611" i="8" l="1"/>
  <c r="G612" i="8" l="1"/>
  <c r="G613" i="8" l="1"/>
  <c r="G614" i="8" l="1"/>
  <c r="G615" i="8" l="1"/>
  <c r="G616" i="8" l="1"/>
  <c r="G617" i="8" l="1"/>
  <c r="G618" i="8" l="1"/>
  <c r="G619" i="8" l="1"/>
  <c r="G620" i="8" l="1"/>
  <c r="G621" i="8" l="1"/>
  <c r="G622" i="8" l="1"/>
  <c r="G623" i="8" l="1"/>
  <c r="G624" i="8" l="1"/>
  <c r="G625" i="8" l="1"/>
  <c r="G626" i="8" l="1"/>
  <c r="G627" i="8" l="1"/>
  <c r="G628" i="8" l="1"/>
  <c r="G629" i="8" l="1"/>
  <c r="G630" i="8" l="1"/>
  <c r="G631" i="8" l="1"/>
  <c r="G632" i="8" l="1"/>
  <c r="G633" i="8" l="1"/>
  <c r="G634" i="8" l="1"/>
  <c r="G635" i="8" l="1"/>
  <c r="G636" i="8" l="1"/>
  <c r="G637" i="8" l="1"/>
  <c r="G638" i="8" l="1"/>
  <c r="G639" i="8" l="1"/>
  <c r="G640" i="8" l="1"/>
  <c r="G641" i="8" l="1"/>
  <c r="G642" i="8" l="1"/>
  <c r="G643" i="8" l="1"/>
  <c r="G644" i="8" l="1"/>
  <c r="G645" i="8" l="1"/>
  <c r="G646" i="8" l="1"/>
  <c r="G647" i="8" l="1"/>
  <c r="G648" i="8" l="1"/>
  <c r="G649" i="8" l="1"/>
  <c r="G650" i="8" l="1"/>
  <c r="G651" i="8" l="1"/>
  <c r="G652" i="8" l="1"/>
  <c r="G653" i="8" l="1"/>
  <c r="G654" i="8" l="1"/>
  <c r="G655" i="8" l="1"/>
  <c r="G656" i="8" l="1"/>
  <c r="G657" i="8" l="1"/>
  <c r="G658" i="8" l="1"/>
  <c r="G659" i="8" l="1"/>
  <c r="G660" i="8" l="1"/>
  <c r="G661" i="8" l="1"/>
  <c r="G662" i="8" l="1"/>
  <c r="G663" i="8" l="1"/>
  <c r="G664" i="8" l="1"/>
  <c r="G665" i="8" l="1"/>
  <c r="G666" i="8" l="1"/>
  <c r="G667" i="8" l="1"/>
  <c r="G668" i="8" l="1"/>
  <c r="G669" i="8" l="1"/>
  <c r="G670" i="8" l="1"/>
  <c r="G671" i="8" l="1"/>
  <c r="G672" i="8" l="1"/>
  <c r="G673" i="8" l="1"/>
  <c r="G674" i="8" l="1"/>
  <c r="G675" i="8" l="1"/>
  <c r="G676" i="8" l="1"/>
  <c r="G677" i="8" l="1"/>
  <c r="G678" i="8" l="1"/>
  <c r="G679" i="8" l="1"/>
  <c r="G680" i="8" l="1"/>
  <c r="G681" i="8" l="1"/>
  <c r="G682" i="8" l="1"/>
  <c r="G683" i="8" l="1"/>
  <c r="G684" i="8" l="1"/>
  <c r="G685" i="8" l="1"/>
  <c r="G686" i="8" l="1"/>
  <c r="G687" i="8" l="1"/>
  <c r="G688" i="8" l="1"/>
  <c r="G689" i="8" l="1"/>
  <c r="G690" i="8" l="1"/>
  <c r="G691" i="8" l="1"/>
  <c r="G692" i="8" l="1"/>
  <c r="G693" i="8" l="1"/>
  <c r="G694" i="8" l="1"/>
  <c r="G695" i="8" l="1"/>
  <c r="G696" i="8" l="1"/>
  <c r="G697" i="8" l="1"/>
  <c r="G698" i="8" l="1"/>
  <c r="G699" i="8" l="1"/>
  <c r="G700" i="8" l="1"/>
  <c r="G701" i="8" l="1"/>
  <c r="G702" i="8" l="1"/>
  <c r="G703" i="8" l="1"/>
  <c r="G704" i="8" l="1"/>
  <c r="G705" i="8" l="1"/>
  <c r="G706" i="8" l="1"/>
  <c r="G707" i="8" l="1"/>
  <c r="G708" i="8" l="1"/>
  <c r="G709" i="8" l="1"/>
  <c r="G710" i="8" l="1"/>
  <c r="G711" i="8" l="1"/>
  <c r="G712" i="8" l="1"/>
  <c r="G713" i="8" l="1"/>
  <c r="G714" i="8" l="1"/>
  <c r="G715" i="8" l="1"/>
  <c r="G716" i="8" l="1"/>
  <c r="G717" i="8" l="1"/>
  <c r="G718" i="8" l="1"/>
  <c r="G719" i="8" l="1"/>
  <c r="G720" i="8" l="1"/>
  <c r="G721" i="8" l="1"/>
  <c r="G722" i="8" l="1"/>
  <c r="G723" i="8" l="1"/>
  <c r="G724" i="8" l="1"/>
  <c r="G725" i="8" l="1"/>
  <c r="G726" i="8" l="1"/>
  <c r="G727" i="8" l="1"/>
  <c r="G728" i="8" l="1"/>
  <c r="G729" i="8" l="1"/>
  <c r="G730" i="8" l="1"/>
  <c r="G731" i="8" l="1"/>
  <c r="G732" i="8" l="1"/>
  <c r="G733" i="8" l="1"/>
  <c r="G734" i="8" l="1"/>
  <c r="G735" i="8" l="1"/>
  <c r="G736" i="8" l="1"/>
  <c r="G737" i="8" l="1"/>
  <c r="G738" i="8" l="1"/>
  <c r="G739" i="8" l="1"/>
  <c r="G740" i="8" l="1"/>
  <c r="G741" i="8" l="1"/>
  <c r="G742" i="8" l="1"/>
  <c r="G743" i="8" l="1"/>
  <c r="G744" i="8" l="1"/>
  <c r="G745" i="8" l="1"/>
  <c r="G746" i="8" l="1"/>
  <c r="G747" i="8" l="1"/>
  <c r="G748" i="8" l="1"/>
  <c r="G750" i="8" l="1"/>
  <c r="G749" i="8"/>
  <c r="I748" i="8" l="1"/>
  <c r="I750" i="8"/>
  <c r="I112" i="8"/>
  <c r="I21" i="8"/>
  <c r="I25" i="8"/>
  <c r="I29" i="8"/>
  <c r="I33" i="8"/>
  <c r="I37" i="8"/>
  <c r="I41" i="8"/>
  <c r="I45" i="8"/>
  <c r="I49" i="8"/>
  <c r="I53" i="8"/>
  <c r="I57" i="8"/>
  <c r="I61" i="8"/>
  <c r="I65" i="8"/>
  <c r="I69" i="8"/>
  <c r="I73" i="8"/>
  <c r="I77" i="8"/>
  <c r="I81" i="8"/>
  <c r="I85" i="8"/>
  <c r="I89" i="8"/>
  <c r="I93" i="8"/>
  <c r="I97" i="8"/>
  <c r="I101" i="8"/>
  <c r="I105" i="8"/>
  <c r="I109" i="8"/>
  <c r="I115" i="8"/>
  <c r="I119" i="8"/>
  <c r="I123" i="8"/>
  <c r="I127" i="8"/>
  <c r="I131" i="8"/>
  <c r="I135" i="8"/>
  <c r="I139" i="8"/>
  <c r="I143" i="8"/>
  <c r="I147" i="8"/>
  <c r="I151" i="8"/>
  <c r="I155" i="8"/>
  <c r="I159" i="8"/>
  <c r="I163" i="8"/>
  <c r="I167" i="8"/>
  <c r="I171" i="8"/>
  <c r="I175" i="8"/>
  <c r="I179" i="8"/>
  <c r="I183" i="8"/>
  <c r="I187" i="8"/>
  <c r="I191" i="8"/>
  <c r="I195" i="8"/>
  <c r="I199" i="8"/>
  <c r="I203" i="8"/>
  <c r="I207" i="8"/>
  <c r="I211" i="8"/>
  <c r="I215" i="8"/>
  <c r="I219" i="8"/>
  <c r="I223" i="8"/>
  <c r="I227" i="8"/>
  <c r="I231" i="8"/>
  <c r="I235" i="8"/>
  <c r="I239" i="8"/>
  <c r="I243" i="8"/>
  <c r="I247" i="8"/>
  <c r="I251" i="8"/>
  <c r="I255" i="8"/>
  <c r="I259" i="8"/>
  <c r="I263" i="8"/>
  <c r="I267" i="8"/>
  <c r="I271" i="8"/>
  <c r="I275" i="8"/>
  <c r="I279" i="8"/>
  <c r="I283" i="8"/>
  <c r="I287" i="8"/>
  <c r="I291" i="8"/>
  <c r="I295" i="8"/>
  <c r="I299" i="8"/>
  <c r="I303" i="8"/>
  <c r="I307" i="8"/>
  <c r="I311" i="8"/>
  <c r="I315" i="8"/>
  <c r="I319" i="8"/>
  <c r="I323" i="8"/>
  <c r="I327" i="8"/>
  <c r="I331" i="8"/>
  <c r="I335" i="8"/>
  <c r="I339" i="8"/>
  <c r="I343" i="8"/>
  <c r="I347" i="8"/>
  <c r="I351" i="8"/>
  <c r="I355" i="8"/>
  <c r="I359" i="8"/>
  <c r="I363" i="8"/>
  <c r="I367" i="8"/>
  <c r="I371" i="8"/>
  <c r="I375" i="8"/>
  <c r="I379" i="8"/>
  <c r="I383" i="8"/>
  <c r="I387" i="8"/>
  <c r="I391" i="8"/>
  <c r="I395" i="8"/>
  <c r="I399" i="8"/>
  <c r="I403" i="8"/>
  <c r="I407" i="8"/>
  <c r="I411" i="8"/>
  <c r="I415" i="8"/>
  <c r="I419" i="8"/>
  <c r="I423" i="8"/>
  <c r="I427" i="8"/>
  <c r="I431" i="8"/>
  <c r="I435" i="8"/>
  <c r="I439" i="8"/>
  <c r="I443" i="8"/>
  <c r="I447" i="8"/>
  <c r="I451" i="8"/>
  <c r="I455" i="8"/>
  <c r="I459" i="8"/>
  <c r="I463" i="8"/>
  <c r="I467" i="8"/>
  <c r="I471" i="8"/>
  <c r="I475" i="8"/>
  <c r="I480" i="8"/>
  <c r="I484" i="8"/>
  <c r="I488" i="8"/>
  <c r="I492" i="8"/>
  <c r="I496" i="8"/>
  <c r="I500" i="8"/>
  <c r="I504" i="8"/>
  <c r="I508" i="8"/>
  <c r="I512" i="8"/>
  <c r="I516" i="8"/>
  <c r="I520" i="8"/>
  <c r="I524" i="8"/>
  <c r="I528" i="8"/>
  <c r="I532" i="8"/>
  <c r="I536" i="8"/>
  <c r="I540" i="8"/>
  <c r="I544" i="8"/>
  <c r="I548" i="8"/>
  <c r="I552" i="8"/>
  <c r="I556" i="8"/>
  <c r="I560" i="8"/>
  <c r="I564" i="8"/>
  <c r="I478" i="8"/>
  <c r="I23" i="8"/>
  <c r="I31" i="8"/>
  <c r="I39" i="8"/>
  <c r="I47" i="8"/>
  <c r="I55" i="8"/>
  <c r="I63" i="8"/>
  <c r="I71" i="8"/>
  <c r="I79" i="8"/>
  <c r="I87" i="8"/>
  <c r="I95" i="8"/>
  <c r="I103" i="8"/>
  <c r="I113" i="8"/>
  <c r="I121" i="8"/>
  <c r="I129" i="8"/>
  <c r="I137" i="8"/>
  <c r="I145" i="8"/>
  <c r="I153" i="8"/>
  <c r="I161" i="8"/>
  <c r="I169" i="8"/>
  <c r="I177" i="8"/>
  <c r="I185" i="8"/>
  <c r="I193" i="8"/>
  <c r="I201" i="8"/>
  <c r="I209" i="8"/>
  <c r="I217" i="8"/>
  <c r="I225" i="8"/>
  <c r="I233" i="8"/>
  <c r="I241" i="8"/>
  <c r="I249" i="8"/>
  <c r="I257" i="8"/>
  <c r="I265" i="8"/>
  <c r="I273" i="8"/>
  <c r="I281" i="8"/>
  <c r="I289" i="8"/>
  <c r="I297" i="8"/>
  <c r="I305" i="8"/>
  <c r="I313" i="8"/>
  <c r="I321" i="8"/>
  <c r="I329" i="8"/>
  <c r="I337" i="8"/>
  <c r="I345" i="8"/>
  <c r="I353" i="8"/>
  <c r="I361" i="8"/>
  <c r="I369" i="8"/>
  <c r="I377" i="8"/>
  <c r="I385" i="8"/>
  <c r="I393" i="8"/>
  <c r="I401" i="8"/>
  <c r="I409" i="8"/>
  <c r="I417" i="8"/>
  <c r="I425" i="8"/>
  <c r="I433" i="8"/>
  <c r="I441" i="8"/>
  <c r="I449" i="8"/>
  <c r="I457" i="8"/>
  <c r="I465" i="8"/>
  <c r="I473" i="8"/>
  <c r="I482" i="8"/>
  <c r="I490" i="8"/>
  <c r="I498" i="8"/>
  <c r="I506" i="8"/>
  <c r="I514" i="8"/>
  <c r="I522" i="8"/>
  <c r="I530" i="8"/>
  <c r="I538" i="8"/>
  <c r="I546" i="8"/>
  <c r="I554" i="8"/>
  <c r="I562" i="8"/>
  <c r="I18" i="8"/>
  <c r="I26" i="8"/>
  <c r="I34" i="8"/>
  <c r="I42" i="8"/>
  <c r="I50" i="8"/>
  <c r="I58" i="8"/>
  <c r="I66" i="8"/>
  <c r="I74" i="8"/>
  <c r="I82" i="8"/>
  <c r="I90" i="8"/>
  <c r="I98" i="8"/>
  <c r="I106" i="8"/>
  <c r="I116" i="8"/>
  <c r="I124" i="8"/>
  <c r="I132" i="8"/>
  <c r="I140" i="8"/>
  <c r="I148" i="8"/>
  <c r="I156" i="8"/>
  <c r="I164" i="8"/>
  <c r="I172" i="8"/>
  <c r="I180" i="8"/>
  <c r="I188" i="8"/>
  <c r="I196" i="8"/>
  <c r="I204" i="8"/>
  <c r="I212" i="8"/>
  <c r="I220" i="8"/>
  <c r="I228" i="8"/>
  <c r="I236" i="8"/>
  <c r="I244" i="8"/>
  <c r="I252" i="8"/>
  <c r="I260" i="8"/>
  <c r="I268" i="8"/>
  <c r="I276" i="8"/>
  <c r="I284" i="8"/>
  <c r="I292" i="8"/>
  <c r="I300" i="8"/>
  <c r="I308" i="8"/>
  <c r="I316" i="8"/>
  <c r="I324" i="8"/>
  <c r="I332" i="8"/>
  <c r="I340" i="8"/>
  <c r="I348" i="8"/>
  <c r="I356" i="8"/>
  <c r="I364" i="8"/>
  <c r="I372" i="8"/>
  <c r="I380" i="8"/>
  <c r="I388" i="8"/>
  <c r="I396" i="8"/>
  <c r="I404" i="8"/>
  <c r="I412" i="8"/>
  <c r="I111" i="8"/>
  <c r="I20" i="8"/>
  <c r="I24" i="8"/>
  <c r="I28" i="8"/>
  <c r="I32" i="8"/>
  <c r="I36" i="8"/>
  <c r="I40" i="8"/>
  <c r="I44" i="8"/>
  <c r="I48" i="8"/>
  <c r="I52" i="8"/>
  <c r="I56" i="8"/>
  <c r="I60" i="8"/>
  <c r="I64" i="8"/>
  <c r="I68" i="8"/>
  <c r="I72" i="8"/>
  <c r="I76" i="8"/>
  <c r="I80" i="8"/>
  <c r="I84" i="8"/>
  <c r="I88" i="8"/>
  <c r="I92" i="8"/>
  <c r="I96" i="8"/>
  <c r="I100" i="8"/>
  <c r="I104" i="8"/>
  <c r="I108" i="8"/>
  <c r="I114" i="8"/>
  <c r="I118" i="8"/>
  <c r="I122" i="8"/>
  <c r="I126" i="8"/>
  <c r="I130" i="8"/>
  <c r="I134" i="8"/>
  <c r="I138" i="8"/>
  <c r="I142" i="8"/>
  <c r="I146" i="8"/>
  <c r="I150" i="8"/>
  <c r="I154" i="8"/>
  <c r="I158" i="8"/>
  <c r="I162" i="8"/>
  <c r="I166" i="8"/>
  <c r="I170" i="8"/>
  <c r="I174" i="8"/>
  <c r="I178" i="8"/>
  <c r="I182" i="8"/>
  <c r="I186" i="8"/>
  <c r="I190" i="8"/>
  <c r="I194" i="8"/>
  <c r="I198" i="8"/>
  <c r="I202" i="8"/>
  <c r="I206" i="8"/>
  <c r="I210" i="8"/>
  <c r="I214" i="8"/>
  <c r="I218" i="8"/>
  <c r="I222" i="8"/>
  <c r="I226" i="8"/>
  <c r="I230" i="8"/>
  <c r="I234" i="8"/>
  <c r="I238" i="8"/>
  <c r="I242" i="8"/>
  <c r="I246" i="8"/>
  <c r="I250" i="8"/>
  <c r="I254" i="8"/>
  <c r="I258" i="8"/>
  <c r="I262" i="8"/>
  <c r="I266" i="8"/>
  <c r="I270" i="8"/>
  <c r="I274" i="8"/>
  <c r="I278" i="8"/>
  <c r="I282" i="8"/>
  <c r="I286" i="8"/>
  <c r="I290" i="8"/>
  <c r="I294" i="8"/>
  <c r="I298" i="8"/>
  <c r="I302" i="8"/>
  <c r="I306" i="8"/>
  <c r="I310" i="8"/>
  <c r="I314" i="8"/>
  <c r="I318" i="8"/>
  <c r="I322" i="8"/>
  <c r="I326" i="8"/>
  <c r="I330" i="8"/>
  <c r="I334" i="8"/>
  <c r="I338" i="8"/>
  <c r="I342" i="8"/>
  <c r="I346" i="8"/>
  <c r="I350" i="8"/>
  <c r="I354" i="8"/>
  <c r="I358" i="8"/>
  <c r="I362" i="8"/>
  <c r="I366" i="8"/>
  <c r="I370" i="8"/>
  <c r="I374" i="8"/>
  <c r="I378" i="8"/>
  <c r="I382" i="8"/>
  <c r="I386" i="8"/>
  <c r="I390" i="8"/>
  <c r="I394" i="8"/>
  <c r="I398" i="8"/>
  <c r="I402" i="8"/>
  <c r="I406" i="8"/>
  <c r="I410" i="8"/>
  <c r="I414" i="8"/>
  <c r="I418" i="8"/>
  <c r="I422" i="8"/>
  <c r="I426" i="8"/>
  <c r="I430" i="8"/>
  <c r="I434" i="8"/>
  <c r="I438" i="8"/>
  <c r="I442" i="8"/>
  <c r="I446" i="8"/>
  <c r="I450" i="8"/>
  <c r="I454" i="8"/>
  <c r="I458" i="8"/>
  <c r="I462" i="8"/>
  <c r="I466" i="8"/>
  <c r="I470" i="8"/>
  <c r="I474" i="8"/>
  <c r="I479" i="8"/>
  <c r="I483" i="8"/>
  <c r="I487" i="8"/>
  <c r="I491" i="8"/>
  <c r="I495" i="8"/>
  <c r="I499" i="8"/>
  <c r="I503" i="8"/>
  <c r="I507" i="8"/>
  <c r="I511" i="8"/>
  <c r="I515" i="8"/>
  <c r="I519" i="8"/>
  <c r="I523" i="8"/>
  <c r="I527" i="8"/>
  <c r="I531" i="8"/>
  <c r="I535" i="8"/>
  <c r="I539" i="8"/>
  <c r="I543" i="8"/>
  <c r="I547" i="8"/>
  <c r="I551" i="8"/>
  <c r="I555" i="8"/>
  <c r="I559" i="8"/>
  <c r="I563" i="8"/>
  <c r="I19" i="8"/>
  <c r="I27" i="8"/>
  <c r="I35" i="8"/>
  <c r="I43" i="8"/>
  <c r="I51" i="8"/>
  <c r="I59" i="8"/>
  <c r="I67" i="8"/>
  <c r="I75" i="8"/>
  <c r="I83" i="8"/>
  <c r="I91" i="8"/>
  <c r="I99" i="8"/>
  <c r="I107" i="8"/>
  <c r="I117" i="8"/>
  <c r="I125" i="8"/>
  <c r="I133" i="8"/>
  <c r="I141" i="8"/>
  <c r="I149" i="8"/>
  <c r="I157" i="8"/>
  <c r="I165" i="8"/>
  <c r="I173" i="8"/>
  <c r="I181" i="8"/>
  <c r="I189" i="8"/>
  <c r="I197" i="8"/>
  <c r="I205" i="8"/>
  <c r="I213" i="8"/>
  <c r="I221" i="8"/>
  <c r="I229" i="8"/>
  <c r="I237" i="8"/>
  <c r="I245" i="8"/>
  <c r="I253" i="8"/>
  <c r="I261" i="8"/>
  <c r="I269" i="8"/>
  <c r="I277" i="8"/>
  <c r="I285" i="8"/>
  <c r="I293" i="8"/>
  <c r="I301" i="8"/>
  <c r="I309" i="8"/>
  <c r="I317" i="8"/>
  <c r="I325" i="8"/>
  <c r="I333" i="8"/>
  <c r="I341" i="8"/>
  <c r="I349" i="8"/>
  <c r="I357" i="8"/>
  <c r="I365" i="8"/>
  <c r="I373" i="8"/>
  <c r="I381" i="8"/>
  <c r="I389" i="8"/>
  <c r="I397" i="8"/>
  <c r="I405" i="8"/>
  <c r="I413" i="8"/>
  <c r="I421" i="8"/>
  <c r="I429" i="8"/>
  <c r="I437" i="8"/>
  <c r="I445" i="8"/>
  <c r="I453" i="8"/>
  <c r="I461" i="8"/>
  <c r="I469" i="8"/>
  <c r="I477" i="8"/>
  <c r="I486" i="8"/>
  <c r="I494" i="8"/>
  <c r="I502" i="8"/>
  <c r="I510" i="8"/>
  <c r="I518" i="8"/>
  <c r="I526" i="8"/>
  <c r="I534" i="8"/>
  <c r="I542" i="8"/>
  <c r="I550" i="8"/>
  <c r="I558" i="8"/>
  <c r="I565" i="8"/>
  <c r="I22" i="8"/>
  <c r="I30" i="8"/>
  <c r="I38" i="8"/>
  <c r="I46" i="8"/>
  <c r="I54" i="8"/>
  <c r="I62" i="8"/>
  <c r="I70" i="8"/>
  <c r="I78" i="8"/>
  <c r="I86" i="8"/>
  <c r="I94" i="8"/>
  <c r="I102" i="8"/>
  <c r="I110" i="8"/>
  <c r="I120" i="8"/>
  <c r="I128" i="8"/>
  <c r="I136" i="8"/>
  <c r="I144" i="8"/>
  <c r="I152" i="8"/>
  <c r="I160" i="8"/>
  <c r="I168" i="8"/>
  <c r="I176" i="8"/>
  <c r="I184" i="8"/>
  <c r="I192" i="8"/>
  <c r="I200" i="8"/>
  <c r="I208" i="8"/>
  <c r="I216" i="8"/>
  <c r="I224" i="8"/>
  <c r="I232" i="8"/>
  <c r="I240" i="8"/>
  <c r="I248" i="8"/>
  <c r="I256" i="8"/>
  <c r="I264" i="8"/>
  <c r="I272" i="8"/>
  <c r="I280" i="8"/>
  <c r="I288" i="8"/>
  <c r="I296" i="8"/>
  <c r="I304" i="8"/>
  <c r="I312" i="8"/>
  <c r="I320" i="8"/>
  <c r="I328" i="8"/>
  <c r="I336" i="8"/>
  <c r="I344" i="8"/>
  <c r="I352" i="8"/>
  <c r="I360" i="8"/>
  <c r="I368" i="8"/>
  <c r="I376" i="8"/>
  <c r="I384" i="8"/>
  <c r="I392" i="8"/>
  <c r="I400" i="8"/>
  <c r="I408" i="8"/>
  <c r="I416" i="8"/>
  <c r="I432" i="8"/>
  <c r="I448" i="8"/>
  <c r="I464" i="8"/>
  <c r="I481" i="8"/>
  <c r="I497" i="8"/>
  <c r="I513" i="8"/>
  <c r="I529" i="8"/>
  <c r="I545" i="8"/>
  <c r="I561" i="8"/>
  <c r="I428" i="8"/>
  <c r="I444" i="8"/>
  <c r="I476" i="8"/>
  <c r="I509" i="8"/>
  <c r="I541" i="8"/>
  <c r="I424" i="8"/>
  <c r="I456" i="8"/>
  <c r="I489" i="8"/>
  <c r="I521" i="8"/>
  <c r="I553" i="8"/>
  <c r="I420" i="8"/>
  <c r="I436" i="8"/>
  <c r="I452" i="8"/>
  <c r="I468" i="8"/>
  <c r="I485" i="8"/>
  <c r="I501" i="8"/>
  <c r="I517" i="8"/>
  <c r="I533" i="8"/>
  <c r="I549" i="8"/>
  <c r="I460" i="8"/>
  <c r="I493" i="8"/>
  <c r="I525" i="8"/>
  <c r="I557" i="8"/>
  <c r="I440" i="8"/>
  <c r="I472" i="8"/>
  <c r="I505" i="8"/>
  <c r="I537" i="8"/>
  <c r="I566" i="8"/>
  <c r="I567" i="8"/>
  <c r="I568" i="8"/>
  <c r="I569" i="8"/>
  <c r="I570" i="8"/>
  <c r="I571" i="8"/>
  <c r="I572" i="8"/>
  <c r="I573" i="8"/>
  <c r="I574" i="8"/>
  <c r="I575" i="8"/>
  <c r="I576" i="8"/>
  <c r="I577" i="8"/>
  <c r="I578" i="8"/>
  <c r="I579" i="8"/>
  <c r="I580" i="8"/>
  <c r="I581" i="8"/>
  <c r="I582" i="8"/>
  <c r="I583" i="8"/>
  <c r="I584" i="8"/>
  <c r="I585" i="8"/>
  <c r="I586" i="8"/>
  <c r="I587" i="8"/>
  <c r="I588" i="8"/>
  <c r="I589" i="8"/>
  <c r="I590" i="8"/>
  <c r="I591" i="8"/>
  <c r="I592" i="8"/>
  <c r="I593" i="8"/>
  <c r="I594" i="8"/>
  <c r="I595" i="8"/>
  <c r="I596" i="8"/>
  <c r="I597" i="8"/>
  <c r="I598" i="8"/>
  <c r="I599" i="8"/>
  <c r="I600" i="8"/>
  <c r="I601" i="8"/>
  <c r="I602" i="8"/>
  <c r="I603" i="8"/>
  <c r="I604" i="8"/>
  <c r="I605" i="8"/>
  <c r="I606" i="8"/>
  <c r="I607" i="8"/>
  <c r="I608" i="8"/>
  <c r="I609" i="8"/>
  <c r="I610" i="8"/>
  <c r="I611" i="8"/>
  <c r="I612" i="8"/>
  <c r="I613" i="8"/>
  <c r="I614" i="8"/>
  <c r="I615" i="8"/>
  <c r="I616" i="8"/>
  <c r="I617" i="8"/>
  <c r="I618" i="8"/>
  <c r="I619" i="8"/>
  <c r="I620" i="8"/>
  <c r="I621" i="8"/>
  <c r="I622" i="8"/>
  <c r="I623" i="8"/>
  <c r="I624" i="8"/>
  <c r="I625" i="8"/>
  <c r="I626" i="8"/>
  <c r="I627" i="8"/>
  <c r="I628" i="8"/>
  <c r="I629" i="8"/>
  <c r="I630" i="8"/>
  <c r="I631" i="8"/>
  <c r="I632" i="8"/>
  <c r="I633" i="8"/>
  <c r="I634" i="8"/>
  <c r="I635" i="8"/>
  <c r="I636" i="8"/>
  <c r="I637" i="8"/>
  <c r="I638" i="8"/>
  <c r="I639" i="8"/>
  <c r="I640" i="8"/>
  <c r="I641" i="8"/>
  <c r="I642" i="8"/>
  <c r="I643" i="8"/>
  <c r="I644" i="8"/>
  <c r="I645" i="8"/>
  <c r="I646" i="8"/>
  <c r="I647" i="8"/>
  <c r="I648" i="8"/>
  <c r="I649" i="8"/>
  <c r="I650" i="8"/>
  <c r="I651" i="8"/>
  <c r="I652" i="8"/>
  <c r="I653" i="8"/>
  <c r="I654" i="8"/>
  <c r="I655" i="8"/>
  <c r="I656" i="8"/>
  <c r="I657" i="8"/>
  <c r="I658" i="8"/>
  <c r="I659" i="8"/>
  <c r="I660" i="8"/>
  <c r="I661" i="8"/>
  <c r="I662" i="8"/>
  <c r="I663" i="8"/>
  <c r="I664" i="8"/>
  <c r="I665" i="8"/>
  <c r="I666" i="8"/>
  <c r="I667" i="8"/>
  <c r="I668" i="8"/>
  <c r="I669" i="8"/>
  <c r="I670" i="8"/>
  <c r="I671" i="8"/>
  <c r="I672" i="8"/>
  <c r="I673" i="8"/>
  <c r="I674" i="8"/>
  <c r="I675" i="8"/>
  <c r="I676" i="8"/>
  <c r="I677" i="8"/>
  <c r="I678" i="8"/>
  <c r="I679" i="8"/>
  <c r="I680" i="8"/>
  <c r="I681" i="8"/>
  <c r="I682" i="8"/>
  <c r="I683" i="8"/>
  <c r="I684" i="8"/>
  <c r="I685" i="8"/>
  <c r="I686" i="8"/>
  <c r="I687" i="8"/>
  <c r="I688" i="8"/>
  <c r="I689" i="8"/>
  <c r="I690" i="8"/>
  <c r="I691" i="8"/>
  <c r="I692" i="8"/>
  <c r="I693" i="8"/>
  <c r="I694" i="8"/>
  <c r="I695" i="8"/>
  <c r="I696" i="8"/>
  <c r="I697" i="8"/>
  <c r="I698" i="8"/>
  <c r="I699" i="8"/>
  <c r="I700" i="8"/>
  <c r="I701" i="8"/>
  <c r="I702" i="8"/>
  <c r="I703" i="8"/>
  <c r="I704" i="8"/>
  <c r="I705" i="8"/>
  <c r="I706" i="8"/>
  <c r="I707" i="8"/>
  <c r="I708" i="8"/>
  <c r="I709" i="8"/>
  <c r="I710" i="8"/>
  <c r="I711" i="8"/>
  <c r="I712" i="8"/>
  <c r="I713" i="8"/>
  <c r="I714" i="8"/>
  <c r="I715" i="8"/>
  <c r="I716" i="8"/>
  <c r="I717" i="8"/>
  <c r="I718" i="8"/>
  <c r="I719" i="8"/>
  <c r="I720" i="8"/>
  <c r="I721" i="8"/>
  <c r="I722" i="8"/>
  <c r="I723" i="8"/>
  <c r="I724" i="8"/>
  <c r="I725" i="8"/>
  <c r="I726" i="8"/>
  <c r="I727" i="8"/>
  <c r="I728" i="8"/>
  <c r="I729" i="8"/>
  <c r="I730" i="8"/>
  <c r="I731" i="8"/>
  <c r="I732" i="8"/>
  <c r="I733" i="8"/>
  <c r="I734" i="8"/>
  <c r="I735" i="8"/>
  <c r="I736" i="8"/>
  <c r="I737" i="8"/>
  <c r="I738" i="8"/>
  <c r="I739" i="8"/>
  <c r="I740" i="8"/>
  <c r="I741" i="8"/>
  <c r="I742" i="8"/>
  <c r="I743" i="8"/>
  <c r="I744" i="8"/>
  <c r="I745" i="8"/>
  <c r="I746" i="8"/>
  <c r="I747" i="8"/>
  <c r="I749" i="8"/>
  <c r="K19" i="4"/>
  <c r="S299" i="8" l="1"/>
  <c r="S302" i="8"/>
  <c r="S298" i="8"/>
  <c r="S305" i="8"/>
  <c r="S301" i="8"/>
  <c r="S300" i="8"/>
  <c r="S303" i="8"/>
  <c r="S304" i="8"/>
  <c r="H28" i="16" l="1"/>
  <c r="I28" i="16" s="1"/>
  <c r="F12" i="8"/>
  <c r="H27" i="16" l="1"/>
  <c r="I27" i="16" s="1"/>
  <c r="J28" i="16" s="1"/>
  <c r="H24" i="16"/>
  <c r="I24" i="16" s="1"/>
  <c r="H23" i="16"/>
  <c r="I23" i="16" s="1"/>
  <c r="J24" i="16" s="1"/>
  <c r="H20" i="16"/>
  <c r="I20" i="16" s="1"/>
  <c r="J21" i="16" s="1"/>
  <c r="H19" i="16"/>
  <c r="I19" i="16" s="1"/>
  <c r="J20" i="16" s="1"/>
  <c r="H17" i="16"/>
  <c r="I17" i="16" s="1"/>
  <c r="F21" i="4"/>
  <c r="G21" i="4" s="1"/>
  <c r="H21" i="4" s="1"/>
  <c r="I21" i="4" s="1"/>
  <c r="H30" i="16"/>
  <c r="I30" i="16" s="1"/>
  <c r="J31" i="16" s="1"/>
  <c r="H29" i="16"/>
  <c r="I29" i="16" s="1"/>
  <c r="J30" i="16" s="1"/>
  <c r="J29" i="16"/>
  <c r="K20" i="4"/>
  <c r="J20" i="4"/>
  <c r="G20" i="4"/>
  <c r="H26" i="16" l="1"/>
  <c r="I26" i="16" s="1"/>
  <c r="J27" i="16" s="1"/>
  <c r="H25" i="16"/>
  <c r="I25" i="16" s="1"/>
  <c r="J26" i="16" s="1"/>
  <c r="J25" i="16"/>
  <c r="H22" i="16"/>
  <c r="I22" i="16" s="1"/>
  <c r="J23" i="16" s="1"/>
  <c r="G11" i="8"/>
  <c r="H16" i="16"/>
  <c r="I16" i="16" s="1"/>
  <c r="J17" i="16" s="1"/>
  <c r="J8" i="8"/>
  <c r="H18" i="16"/>
  <c r="I18" i="16" s="1"/>
  <c r="J19" i="16" s="1"/>
  <c r="J18" i="16"/>
  <c r="M8" i="8"/>
  <c r="S659" i="8" s="1"/>
  <c r="H31" i="16"/>
  <c r="I31" i="16" s="1"/>
  <c r="J32" i="16" s="1"/>
  <c r="H21" i="16"/>
  <c r="I21" i="16" s="1"/>
  <c r="F3" i="4"/>
  <c r="G8" i="8"/>
  <c r="H20" i="4"/>
  <c r="I20" i="4" s="1"/>
  <c r="J21" i="4" s="1"/>
  <c r="S384" i="8" l="1"/>
  <c r="S422" i="8"/>
  <c r="S364" i="8"/>
  <c r="S569" i="8"/>
  <c r="S508" i="8"/>
  <c r="S389" i="8"/>
  <c r="S394" i="8"/>
  <c r="S500" i="8"/>
  <c r="S645" i="8"/>
  <c r="S735" i="8"/>
  <c r="S322" i="8"/>
  <c r="S633" i="8"/>
  <c r="S460" i="8"/>
  <c r="S426" i="8"/>
  <c r="S488" i="8"/>
  <c r="S504" i="8"/>
  <c r="S357" i="8"/>
  <c r="S571" i="8"/>
  <c r="S613" i="8"/>
  <c r="S724" i="8"/>
  <c r="S481" i="8"/>
  <c r="S330" i="8"/>
  <c r="S543" i="8"/>
  <c r="S483" i="8"/>
  <c r="S525" i="8"/>
  <c r="S509" i="8"/>
  <c r="S476" i="8"/>
  <c r="S456" i="8"/>
  <c r="S565" i="8"/>
  <c r="S671" i="8"/>
  <c r="S741" i="8"/>
  <c r="S596" i="8"/>
  <c r="S444" i="8"/>
  <c r="S545" i="8"/>
  <c r="S498" i="8"/>
  <c r="S747" i="8"/>
  <c r="S740" i="8"/>
  <c r="S544" i="8"/>
  <c r="S528" i="8"/>
  <c r="S376" i="8"/>
  <c r="S353" i="8"/>
  <c r="S307" i="8"/>
  <c r="S318" i="8"/>
  <c r="S445" i="8"/>
  <c r="S567" i="8"/>
  <c r="S695" i="8"/>
  <c r="S723" i="8"/>
  <c r="S712" i="8"/>
  <c r="S628" i="8"/>
  <c r="S524" i="8"/>
  <c r="S491" i="8"/>
  <c r="S464" i="8"/>
  <c r="S410" i="8"/>
  <c r="S516" i="8"/>
  <c r="S489" i="8"/>
  <c r="S350" i="8"/>
  <c r="S323" i="8"/>
  <c r="S529" i="8"/>
  <c r="S402" i="8"/>
  <c r="S471" i="8"/>
  <c r="S568" i="8"/>
  <c r="S683" i="8"/>
  <c r="S746" i="8"/>
  <c r="S616" i="8"/>
  <c r="S665" i="8"/>
  <c r="S603" i="8"/>
  <c r="S306" i="8"/>
  <c r="S434" i="8"/>
  <c r="S553" i="8"/>
  <c r="S370" i="8"/>
  <c r="S427" i="8"/>
  <c r="S420" i="8"/>
  <c r="S447" i="8"/>
  <c r="S436" i="8"/>
  <c r="S365" i="8"/>
  <c r="S311" i="8"/>
  <c r="S531" i="8"/>
  <c r="S397" i="8"/>
  <c r="S540" i="8"/>
  <c r="S458" i="8"/>
  <c r="S321" i="8"/>
  <c r="S467" i="8"/>
  <c r="S563" i="8"/>
  <c r="S559" i="8"/>
  <c r="S654" i="8"/>
  <c r="S642" i="8"/>
  <c r="S630" i="8"/>
  <c r="S618" i="8"/>
  <c r="S705" i="8"/>
  <c r="S676" i="8"/>
  <c r="S601" i="8"/>
  <c r="S733" i="8"/>
  <c r="S692" i="8"/>
  <c r="S651" i="8"/>
  <c r="S390" i="8"/>
  <c r="S373" i="8"/>
  <c r="S369" i="8"/>
  <c r="S431" i="8"/>
  <c r="S404" i="8"/>
  <c r="S575" i="8"/>
  <c r="S572" i="8"/>
  <c r="S718" i="8"/>
  <c r="S706" i="8"/>
  <c r="S694" i="8"/>
  <c r="S682" i="8"/>
  <c r="S677" i="8"/>
  <c r="S644" i="8"/>
  <c r="S615" i="8"/>
  <c r="S701" i="8"/>
  <c r="S664" i="8"/>
  <c r="S631" i="8"/>
  <c r="S332" i="8"/>
  <c r="S312" i="8"/>
  <c r="S352" i="8"/>
  <c r="S424" i="8"/>
  <c r="S380" i="8"/>
  <c r="S506" i="8"/>
  <c r="S336" i="8"/>
  <c r="S392" i="8"/>
  <c r="S340" i="8"/>
  <c r="S437" i="8"/>
  <c r="S363" i="8"/>
  <c r="S414" i="8"/>
  <c r="S359" i="8"/>
  <c r="S371" i="8"/>
  <c r="S354" i="8"/>
  <c r="S487" i="8"/>
  <c r="S375" i="8"/>
  <c r="S387" i="8"/>
  <c r="S459" i="8"/>
  <c r="S485" i="8"/>
  <c r="S537" i="8"/>
  <c r="S316" i="8"/>
  <c r="S408" i="8"/>
  <c r="S400" i="8"/>
  <c r="S463" i="8"/>
  <c r="S468" i="8"/>
  <c r="S412" i="8"/>
  <c r="S475" i="8"/>
  <c r="S472" i="8"/>
  <c r="S342" i="8"/>
  <c r="S398" i="8"/>
  <c r="S367" i="8"/>
  <c r="S328" i="8"/>
  <c r="S494" i="8"/>
  <c r="S578" i="8"/>
  <c r="S586" i="8"/>
  <c r="S585" i="8"/>
  <c r="S587" i="8"/>
  <c r="S581" i="8"/>
  <c r="S711" i="8"/>
  <c r="S670" i="8"/>
  <c r="S699" i="8"/>
  <c r="S658" i="8"/>
  <c r="S687" i="8"/>
  <c r="S646" i="8"/>
  <c r="S675" i="8"/>
  <c r="S634" i="8"/>
  <c r="S637" i="8"/>
  <c r="S697" i="8"/>
  <c r="S608" i="8"/>
  <c r="S668" i="8"/>
  <c r="S736" i="8"/>
  <c r="S593" i="8"/>
  <c r="S657" i="8"/>
  <c r="S725" i="8"/>
  <c r="S620" i="8"/>
  <c r="S684" i="8"/>
  <c r="S595" i="8"/>
  <c r="S647" i="8"/>
  <c r="S341" i="8"/>
  <c r="S535" i="8"/>
  <c r="S413" i="8"/>
  <c r="S457" i="8"/>
  <c r="S361" i="8"/>
  <c r="S465" i="8"/>
  <c r="S470" i="8"/>
  <c r="S381" i="8"/>
  <c r="S477" i="8"/>
  <c r="S503" i="8"/>
  <c r="S346" i="8"/>
  <c r="S478" i="8"/>
  <c r="S423" i="8"/>
  <c r="S435" i="8"/>
  <c r="S418" i="8"/>
  <c r="S551" i="8"/>
  <c r="S439" i="8"/>
  <c r="S451" i="8"/>
  <c r="S314" i="8"/>
  <c r="S446" i="8"/>
  <c r="S391" i="8"/>
  <c r="S403" i="8"/>
  <c r="S386" i="8"/>
  <c r="S519" i="8"/>
  <c r="S407" i="8"/>
  <c r="S419" i="8"/>
  <c r="S428" i="8"/>
  <c r="S539" i="8"/>
  <c r="S492" i="8"/>
  <c r="S409" i="8"/>
  <c r="S505" i="8"/>
  <c r="S406" i="8"/>
  <c r="S549" i="8"/>
  <c r="S462" i="8"/>
  <c r="S448" i="8"/>
  <c r="S349" i="8"/>
  <c r="S512" i="8"/>
  <c r="S546" i="8"/>
  <c r="S338" i="8"/>
  <c r="S438" i="8"/>
  <c r="S362" i="8"/>
  <c r="S495" i="8"/>
  <c r="S474" i="8"/>
  <c r="S345" i="8"/>
  <c r="S552" i="8"/>
  <c r="S334" i="8"/>
  <c r="S547" i="8"/>
  <c r="S417" i="8"/>
  <c r="S310" i="8"/>
  <c r="S366" i="8"/>
  <c r="S442" i="8"/>
  <c r="S313" i="8"/>
  <c r="S520" i="8"/>
  <c r="S548" i="8"/>
  <c r="S515" i="8"/>
  <c r="S385" i="8"/>
  <c r="S536" i="8"/>
  <c r="S527" i="8"/>
  <c r="S541" i="8"/>
  <c r="S347" i="8"/>
  <c r="S382" i="8"/>
  <c r="S534" i="8"/>
  <c r="S327" i="8"/>
  <c r="S518" i="8"/>
  <c r="S339" i="8"/>
  <c r="S368" i="8"/>
  <c r="S450" i="8"/>
  <c r="S496" i="8"/>
  <c r="S482" i="8"/>
  <c r="S479" i="8"/>
  <c r="S374" i="8"/>
  <c r="S533" i="8"/>
  <c r="S430" i="8"/>
  <c r="S584" i="8"/>
  <c r="S588" i="8"/>
  <c r="S574" i="8"/>
  <c r="S580" i="8"/>
  <c r="S590" i="8"/>
  <c r="S589" i="8"/>
  <c r="S577" i="8"/>
  <c r="S576" i="8"/>
  <c r="S743" i="8"/>
  <c r="S679" i="8"/>
  <c r="S702" i="8"/>
  <c r="S638" i="8"/>
  <c r="S731" i="8"/>
  <c r="S667" i="8"/>
  <c r="S690" i="8"/>
  <c r="S626" i="8"/>
  <c r="S719" i="8"/>
  <c r="S742" i="8"/>
  <c r="S678" i="8"/>
  <c r="S614" i="8"/>
  <c r="S707" i="8"/>
  <c r="S730" i="8"/>
  <c r="S666" i="8"/>
  <c r="S602" i="8"/>
  <c r="S621" i="8"/>
  <c r="S653" i="8"/>
  <c r="S681" i="8"/>
  <c r="S713" i="8"/>
  <c r="S592" i="8"/>
  <c r="S624" i="8"/>
  <c r="S652" i="8"/>
  <c r="S688" i="8"/>
  <c r="S720" i="8"/>
  <c r="S748" i="8"/>
  <c r="S623" i="8"/>
  <c r="S609" i="8"/>
  <c r="S641" i="8"/>
  <c r="S673" i="8"/>
  <c r="S709" i="8"/>
  <c r="S737" i="8"/>
  <c r="S604" i="8"/>
  <c r="S636" i="8"/>
  <c r="S672" i="8"/>
  <c r="S704" i="8"/>
  <c r="S732" i="8"/>
  <c r="S611" i="8"/>
  <c r="S635" i="8"/>
  <c r="S655" i="8"/>
  <c r="S395" i="8"/>
  <c r="S356" i="8"/>
  <c r="S415" i="8"/>
  <c r="S372" i="8"/>
  <c r="S379" i="8"/>
  <c r="S324" i="8"/>
  <c r="S399" i="8"/>
  <c r="S557" i="8"/>
  <c r="S526" i="8"/>
  <c r="S473" i="8"/>
  <c r="S320" i="8"/>
  <c r="S383" i="8"/>
  <c r="S360" i="8"/>
  <c r="S308" i="8"/>
  <c r="S396" i="8"/>
  <c r="S440" i="8"/>
  <c r="S416" i="8"/>
  <c r="S480" i="8"/>
  <c r="S501" i="8"/>
  <c r="S443" i="8"/>
  <c r="S452" i="8"/>
  <c r="S521" i="8"/>
  <c r="S507" i="8"/>
  <c r="S377" i="8"/>
  <c r="S517" i="8"/>
  <c r="S497" i="8"/>
  <c r="S454" i="8"/>
  <c r="S343" i="8"/>
  <c r="S355" i="8"/>
  <c r="S566" i="8"/>
  <c r="S579" i="8"/>
  <c r="S583" i="8"/>
  <c r="S591" i="8"/>
  <c r="S734" i="8"/>
  <c r="S606" i="8"/>
  <c r="S722" i="8"/>
  <c r="S594" i="8"/>
  <c r="S710" i="8"/>
  <c r="S739" i="8"/>
  <c r="S698" i="8"/>
  <c r="S605" i="8"/>
  <c r="S669" i="8"/>
  <c r="S729" i="8"/>
  <c r="S640" i="8"/>
  <c r="S700" i="8"/>
  <c r="S607" i="8"/>
  <c r="S625" i="8"/>
  <c r="S693" i="8"/>
  <c r="S749" i="8"/>
  <c r="S656" i="8"/>
  <c r="S716" i="8"/>
  <c r="S627" i="8"/>
  <c r="S663" i="8"/>
  <c r="S530" i="8"/>
  <c r="S393" i="8"/>
  <c r="S337" i="8"/>
  <c r="S309" i="8"/>
  <c r="S329" i="8"/>
  <c r="S532" i="8"/>
  <c r="S493" i="8"/>
  <c r="S405" i="8"/>
  <c r="S556" i="8"/>
  <c r="S425" i="8"/>
  <c r="S466" i="8"/>
  <c r="S449" i="8"/>
  <c r="S523" i="8"/>
  <c r="S490" i="8"/>
  <c r="S513" i="8"/>
  <c r="S319" i="8"/>
  <c r="S358" i="8"/>
  <c r="S486" i="8"/>
  <c r="S333" i="8"/>
  <c r="S514" i="8"/>
  <c r="S325" i="8"/>
  <c r="S510" i="8"/>
  <c r="S331" i="8"/>
  <c r="S469" i="8"/>
  <c r="S522" i="8"/>
  <c r="S441" i="8"/>
  <c r="S351" i="8"/>
  <c r="S538" i="8"/>
  <c r="S453" i="8"/>
  <c r="S461" i="8"/>
  <c r="S315" i="8"/>
  <c r="S554" i="8"/>
  <c r="S429" i="8"/>
  <c r="S502" i="8"/>
  <c r="S335" i="8"/>
  <c r="S550" i="8"/>
  <c r="S542" i="8"/>
  <c r="S348" i="8"/>
  <c r="S378" i="8"/>
  <c r="S411" i="8"/>
  <c r="S511" i="8"/>
  <c r="S344" i="8"/>
  <c r="S455" i="8"/>
  <c r="S388" i="8"/>
  <c r="S484" i="8"/>
  <c r="S432" i="8"/>
  <c r="S317" i="8"/>
  <c r="S326" i="8"/>
  <c r="S421" i="8"/>
  <c r="S499" i="8"/>
  <c r="S401" i="8"/>
  <c r="S555" i="8"/>
  <c r="S433" i="8"/>
  <c r="S573" i="8"/>
  <c r="S561" i="8"/>
  <c r="S558" i="8"/>
  <c r="S564" i="8"/>
  <c r="S562" i="8"/>
  <c r="S582" i="8"/>
  <c r="S570" i="8"/>
  <c r="S560" i="8"/>
  <c r="S727" i="8"/>
  <c r="S750" i="8"/>
  <c r="S686" i="8"/>
  <c r="S622" i="8"/>
  <c r="S715" i="8"/>
  <c r="S738" i="8"/>
  <c r="S674" i="8"/>
  <c r="S610" i="8"/>
  <c r="S703" i="8"/>
  <c r="S726" i="8"/>
  <c r="S662" i="8"/>
  <c r="S598" i="8"/>
  <c r="S691" i="8"/>
  <c r="S714" i="8"/>
  <c r="S650" i="8"/>
  <c r="S597" i="8"/>
  <c r="S629" i="8"/>
  <c r="S661" i="8"/>
  <c r="S689" i="8"/>
  <c r="S721" i="8"/>
  <c r="S600" i="8"/>
  <c r="S632" i="8"/>
  <c r="S660" i="8"/>
  <c r="S696" i="8"/>
  <c r="S728" i="8"/>
  <c r="S599" i="8"/>
  <c r="S639" i="8"/>
  <c r="S617" i="8"/>
  <c r="S649" i="8"/>
  <c r="S685" i="8"/>
  <c r="S717" i="8"/>
  <c r="S745" i="8"/>
  <c r="S612" i="8"/>
  <c r="S648" i="8"/>
  <c r="S680" i="8"/>
  <c r="S708" i="8"/>
  <c r="S744" i="8"/>
  <c r="S619" i="8"/>
  <c r="S643" i="8"/>
  <c r="H32" i="16"/>
  <c r="I32" i="16" s="1"/>
  <c r="J22" i="16"/>
  <c r="F11" i="8"/>
  <c r="H11" i="8" s="1"/>
  <c r="J459" i="8"/>
  <c r="J57" i="8"/>
  <c r="J750" i="8"/>
  <c r="J749" i="8"/>
  <c r="J748" i="8"/>
  <c r="J747" i="8"/>
  <c r="J746" i="8"/>
  <c r="J745" i="8"/>
  <c r="J744" i="8"/>
  <c r="J743" i="8"/>
  <c r="J742" i="8"/>
  <c r="J741" i="8"/>
  <c r="J740" i="8"/>
  <c r="J739" i="8"/>
  <c r="J738" i="8"/>
  <c r="J737" i="8"/>
  <c r="J736" i="8"/>
  <c r="J735" i="8"/>
  <c r="J734" i="8"/>
  <c r="J733" i="8"/>
  <c r="J732" i="8"/>
  <c r="J731" i="8"/>
  <c r="J730" i="8"/>
  <c r="J729" i="8"/>
  <c r="J728" i="8"/>
  <c r="J727" i="8"/>
  <c r="J726" i="8"/>
  <c r="J725" i="8"/>
  <c r="J724" i="8"/>
  <c r="J723" i="8"/>
  <c r="J722" i="8"/>
  <c r="J721" i="8"/>
  <c r="J720" i="8"/>
  <c r="J719" i="8"/>
  <c r="J718" i="8"/>
  <c r="J717" i="8"/>
  <c r="J716" i="8"/>
  <c r="J715" i="8"/>
  <c r="J714" i="8"/>
  <c r="J713" i="8"/>
  <c r="J712" i="8"/>
  <c r="J711" i="8"/>
  <c r="J710" i="8"/>
  <c r="J709" i="8"/>
  <c r="J708" i="8"/>
  <c r="J707" i="8"/>
  <c r="J706" i="8"/>
  <c r="J705" i="8"/>
  <c r="J704" i="8"/>
  <c r="J703" i="8"/>
  <c r="J702" i="8"/>
  <c r="J701" i="8"/>
  <c r="J700" i="8"/>
  <c r="J699" i="8"/>
  <c r="J698" i="8"/>
  <c r="J697" i="8"/>
  <c r="J696" i="8"/>
  <c r="J695" i="8"/>
  <c r="J694" i="8"/>
  <c r="J693" i="8"/>
  <c r="J692" i="8"/>
  <c r="J691" i="8"/>
  <c r="J690" i="8"/>
  <c r="J689" i="8"/>
  <c r="J688" i="8"/>
  <c r="J687" i="8"/>
  <c r="J686" i="8"/>
  <c r="J685" i="8"/>
  <c r="J684" i="8"/>
  <c r="J683" i="8"/>
  <c r="J682" i="8"/>
  <c r="J681" i="8"/>
  <c r="J680" i="8"/>
  <c r="J679" i="8"/>
  <c r="J678" i="8"/>
  <c r="J677" i="8"/>
  <c r="J676" i="8"/>
  <c r="J675" i="8"/>
  <c r="J674" i="8"/>
  <c r="J673" i="8"/>
  <c r="J672" i="8"/>
  <c r="J671" i="8"/>
  <c r="J670" i="8"/>
  <c r="J669" i="8"/>
  <c r="J668" i="8"/>
  <c r="J667" i="8"/>
  <c r="J666" i="8"/>
  <c r="J665" i="8"/>
  <c r="J664" i="8"/>
  <c r="J663" i="8"/>
  <c r="J662" i="8"/>
  <c r="J661" i="8"/>
  <c r="J660" i="8"/>
  <c r="J659" i="8"/>
  <c r="J658" i="8"/>
  <c r="J657" i="8"/>
  <c r="J656" i="8"/>
  <c r="J655" i="8"/>
  <c r="J654" i="8"/>
  <c r="J653" i="8"/>
  <c r="J652" i="8"/>
  <c r="J651" i="8"/>
  <c r="J650" i="8"/>
  <c r="J649" i="8"/>
  <c r="J648" i="8"/>
  <c r="J647" i="8"/>
  <c r="J646" i="8"/>
  <c r="J645" i="8"/>
  <c r="J644" i="8"/>
  <c r="J643" i="8"/>
  <c r="J642" i="8"/>
  <c r="J641" i="8"/>
  <c r="J640" i="8"/>
  <c r="J639" i="8"/>
  <c r="J638" i="8"/>
  <c r="J637" i="8"/>
  <c r="J636" i="8"/>
  <c r="J635" i="8"/>
  <c r="J634" i="8"/>
  <c r="J633" i="8"/>
  <c r="J632" i="8"/>
  <c r="J631" i="8"/>
  <c r="J630" i="8"/>
  <c r="J629" i="8"/>
  <c r="J628" i="8"/>
  <c r="J627" i="8"/>
  <c r="J626" i="8"/>
  <c r="J625" i="8"/>
  <c r="J624" i="8"/>
  <c r="J623" i="8"/>
  <c r="J622" i="8"/>
  <c r="J621" i="8"/>
  <c r="J620" i="8"/>
  <c r="J619" i="8"/>
  <c r="J618" i="8"/>
  <c r="J617" i="8"/>
  <c r="J616" i="8"/>
  <c r="J615" i="8"/>
  <c r="J614" i="8"/>
  <c r="J613" i="8"/>
  <c r="J612" i="8"/>
  <c r="J611" i="8"/>
  <c r="J610" i="8"/>
  <c r="J609" i="8"/>
  <c r="J608" i="8"/>
  <c r="J607" i="8"/>
  <c r="J606" i="8"/>
  <c r="J605" i="8"/>
  <c r="J604" i="8"/>
  <c r="J603" i="8"/>
  <c r="J602" i="8"/>
  <c r="J601" i="8"/>
  <c r="J600" i="8"/>
  <c r="J599" i="8"/>
  <c r="J598" i="8"/>
  <c r="J597" i="8"/>
  <c r="J596" i="8"/>
  <c r="J595" i="8"/>
  <c r="J594" i="8"/>
  <c r="J593" i="8"/>
  <c r="J592" i="8"/>
  <c r="J591" i="8"/>
  <c r="J590" i="8"/>
  <c r="J589" i="8"/>
  <c r="J588" i="8"/>
  <c r="J587" i="8"/>
  <c r="J586" i="8"/>
  <c r="J585" i="8"/>
  <c r="J584" i="8"/>
  <c r="J583" i="8"/>
  <c r="J582" i="8"/>
  <c r="J581" i="8"/>
  <c r="J580" i="8"/>
  <c r="J579" i="8"/>
  <c r="J578" i="8"/>
  <c r="J577" i="8"/>
  <c r="J576" i="8"/>
  <c r="J575" i="8"/>
  <c r="J574" i="8"/>
  <c r="J573" i="8"/>
  <c r="J572" i="8"/>
  <c r="J571" i="8"/>
  <c r="J570" i="8"/>
  <c r="J569" i="8"/>
  <c r="J568" i="8"/>
  <c r="J567" i="8"/>
  <c r="J565" i="8"/>
  <c r="J508" i="8"/>
  <c r="J509" i="8"/>
  <c r="J510" i="8"/>
  <c r="J511" i="8"/>
  <c r="J512" i="8"/>
  <c r="J513" i="8"/>
  <c r="J514" i="8"/>
  <c r="J515" i="8"/>
  <c r="J516" i="8"/>
  <c r="J517" i="8"/>
  <c r="J518" i="8"/>
  <c r="J519" i="8"/>
  <c r="J520" i="8"/>
  <c r="J521" i="8"/>
  <c r="J522" i="8"/>
  <c r="J523" i="8"/>
  <c r="J524" i="8"/>
  <c r="J525" i="8"/>
  <c r="J526" i="8"/>
  <c r="J527" i="8"/>
  <c r="J528" i="8"/>
  <c r="J529" i="8"/>
  <c r="J530" i="8"/>
  <c r="J531" i="8"/>
  <c r="J532" i="8"/>
  <c r="J533" i="8"/>
  <c r="J534" i="8"/>
  <c r="J535" i="8"/>
  <c r="J536" i="8"/>
  <c r="J537" i="8"/>
  <c r="J538" i="8"/>
  <c r="J539" i="8"/>
  <c r="J540" i="8"/>
  <c r="J541" i="8"/>
  <c r="J542" i="8"/>
  <c r="J543" i="8"/>
  <c r="J544" i="8"/>
  <c r="J545" i="8"/>
  <c r="J546" i="8"/>
  <c r="J547" i="8"/>
  <c r="J548" i="8"/>
  <c r="J549" i="8"/>
  <c r="J550" i="8"/>
  <c r="J551" i="8"/>
  <c r="J552" i="8"/>
  <c r="J553" i="8"/>
  <c r="J554" i="8"/>
  <c r="J555" i="8"/>
  <c r="J556" i="8"/>
  <c r="J557" i="8"/>
  <c r="J558" i="8"/>
  <c r="J559" i="8"/>
  <c r="J560" i="8"/>
  <c r="J561" i="8"/>
  <c r="J562" i="8"/>
  <c r="J563" i="8"/>
  <c r="J564" i="8"/>
  <c r="J566" i="8"/>
  <c r="J490" i="8"/>
  <c r="J507" i="8"/>
  <c r="J217" i="8"/>
  <c r="J245" i="8"/>
  <c r="J273" i="8"/>
  <c r="J304" i="8"/>
  <c r="J335" i="8"/>
  <c r="J366" i="8"/>
  <c r="J397" i="8"/>
  <c r="J428" i="8"/>
  <c r="J506" i="8"/>
  <c r="J505" i="8"/>
  <c r="J504" i="8"/>
  <c r="J503" i="8"/>
  <c r="J502" i="8"/>
  <c r="J501" i="8"/>
  <c r="J500" i="8"/>
  <c r="J499" i="8"/>
  <c r="J498" i="8"/>
  <c r="J497" i="8"/>
  <c r="J496" i="8"/>
  <c r="J495" i="8"/>
  <c r="J494" i="8"/>
  <c r="J493" i="8"/>
  <c r="J492" i="8"/>
  <c r="J491" i="8"/>
  <c r="J489" i="8"/>
  <c r="J488" i="8"/>
  <c r="J487" i="8"/>
  <c r="J486" i="8"/>
  <c r="J485" i="8"/>
  <c r="J484" i="8"/>
  <c r="J483" i="8"/>
  <c r="J482" i="8"/>
  <c r="J481" i="8"/>
  <c r="J480" i="8"/>
  <c r="J479" i="8"/>
  <c r="J478" i="8"/>
  <c r="J477" i="8"/>
  <c r="J476" i="8"/>
  <c r="J475" i="8"/>
  <c r="J474" i="8"/>
  <c r="J473" i="8"/>
  <c r="J472" i="8"/>
  <c r="J471" i="8"/>
  <c r="J470" i="8"/>
  <c r="J469" i="8"/>
  <c r="J468" i="8"/>
  <c r="J467" i="8"/>
  <c r="J466" i="8"/>
  <c r="J465" i="8"/>
  <c r="J464" i="8"/>
  <c r="J463" i="8"/>
  <c r="J462" i="8"/>
  <c r="J461" i="8"/>
  <c r="J460" i="8"/>
  <c r="J458" i="8"/>
  <c r="J457" i="8"/>
  <c r="J456" i="8"/>
  <c r="J455" i="8"/>
  <c r="J454" i="8"/>
  <c r="J453" i="8"/>
  <c r="J452" i="8"/>
  <c r="J451" i="8"/>
  <c r="J450" i="8"/>
  <c r="J449" i="8"/>
  <c r="J448" i="8"/>
  <c r="J447" i="8"/>
  <c r="J446" i="8"/>
  <c r="J445" i="8"/>
  <c r="J444" i="8"/>
  <c r="J443" i="8"/>
  <c r="J442" i="8"/>
  <c r="J441" i="8"/>
  <c r="J440" i="8"/>
  <c r="J439" i="8"/>
  <c r="J438" i="8"/>
  <c r="J437" i="8"/>
  <c r="J436" i="8"/>
  <c r="J435" i="8"/>
  <c r="J434" i="8"/>
  <c r="J433" i="8"/>
  <c r="J432" i="8"/>
  <c r="J431" i="8"/>
  <c r="J430" i="8"/>
  <c r="J429" i="8"/>
  <c r="J427" i="8"/>
  <c r="J426" i="8"/>
  <c r="J425" i="8"/>
  <c r="J424" i="8"/>
  <c r="J423" i="8"/>
  <c r="J422" i="8"/>
  <c r="J421" i="8"/>
  <c r="J420" i="8"/>
  <c r="J419" i="8"/>
  <c r="J418" i="8"/>
  <c r="J417" i="8"/>
  <c r="J416" i="8"/>
  <c r="J415" i="8"/>
  <c r="J414" i="8"/>
  <c r="J413" i="8"/>
  <c r="J412" i="8"/>
  <c r="J411" i="8"/>
  <c r="J410" i="8"/>
  <c r="J409" i="8"/>
  <c r="J408" i="8"/>
  <c r="J407" i="8"/>
  <c r="J406" i="8"/>
  <c r="J405" i="8"/>
  <c r="J404" i="8"/>
  <c r="J403" i="8"/>
  <c r="J402" i="8"/>
  <c r="J401" i="8"/>
  <c r="J400" i="8"/>
  <c r="J399" i="8"/>
  <c r="J398" i="8"/>
  <c r="J396" i="8"/>
  <c r="J395" i="8"/>
  <c r="J394" i="8"/>
  <c r="J393" i="8"/>
  <c r="J392" i="8"/>
  <c r="J391" i="8"/>
  <c r="J390" i="8"/>
  <c r="E28" i="16" s="1"/>
  <c r="J389" i="8"/>
  <c r="J388" i="8"/>
  <c r="J387" i="8"/>
  <c r="J386" i="8"/>
  <c r="J385" i="8"/>
  <c r="J384" i="8"/>
  <c r="J383" i="8"/>
  <c r="J382" i="8"/>
  <c r="J381" i="8"/>
  <c r="J380" i="8"/>
  <c r="J379" i="8"/>
  <c r="J378" i="8"/>
  <c r="J377" i="8"/>
  <c r="J376" i="8"/>
  <c r="J375" i="8"/>
  <c r="J374" i="8"/>
  <c r="J373" i="8"/>
  <c r="J372" i="8"/>
  <c r="J371" i="8"/>
  <c r="J370" i="8"/>
  <c r="J369" i="8"/>
  <c r="J368" i="8"/>
  <c r="J367" i="8"/>
  <c r="J365" i="8"/>
  <c r="J364" i="8"/>
  <c r="J363" i="8"/>
  <c r="J362" i="8"/>
  <c r="J361" i="8"/>
  <c r="J360" i="8"/>
  <c r="E27" i="16" s="1"/>
  <c r="J359" i="8"/>
  <c r="J358" i="8"/>
  <c r="J357" i="8"/>
  <c r="J356" i="8"/>
  <c r="J355" i="8"/>
  <c r="J354" i="8"/>
  <c r="J353" i="8"/>
  <c r="J352" i="8"/>
  <c r="J351" i="8"/>
  <c r="J350" i="8"/>
  <c r="J349" i="8"/>
  <c r="J348" i="8"/>
  <c r="J347" i="8"/>
  <c r="J346" i="8"/>
  <c r="J345" i="8"/>
  <c r="J344" i="8"/>
  <c r="J343" i="8"/>
  <c r="J342" i="8"/>
  <c r="J341" i="8"/>
  <c r="J340" i="8"/>
  <c r="J339" i="8"/>
  <c r="J338" i="8"/>
  <c r="J337" i="8"/>
  <c r="J336" i="8"/>
  <c r="J334" i="8"/>
  <c r="J333" i="8"/>
  <c r="J332" i="8"/>
  <c r="J331" i="8"/>
  <c r="J330" i="8"/>
  <c r="J329" i="8"/>
  <c r="J328" i="8"/>
  <c r="J327" i="8"/>
  <c r="J326" i="8"/>
  <c r="J325" i="8"/>
  <c r="J324" i="8"/>
  <c r="J323" i="8"/>
  <c r="J322" i="8"/>
  <c r="J321" i="8"/>
  <c r="J320" i="8"/>
  <c r="J319" i="8"/>
  <c r="J318" i="8"/>
  <c r="J317" i="8"/>
  <c r="J316" i="8"/>
  <c r="J315" i="8"/>
  <c r="J314" i="8"/>
  <c r="J313" i="8"/>
  <c r="J312" i="8"/>
  <c r="J311" i="8"/>
  <c r="J310" i="8"/>
  <c r="J309" i="8"/>
  <c r="J308" i="8"/>
  <c r="J307" i="8"/>
  <c r="J306" i="8"/>
  <c r="J305" i="8"/>
  <c r="J303" i="8"/>
  <c r="J302" i="8"/>
  <c r="J301" i="8"/>
  <c r="J300" i="8"/>
  <c r="J299" i="8"/>
  <c r="J298" i="8"/>
  <c r="J297" i="8"/>
  <c r="J296" i="8"/>
  <c r="J295" i="8"/>
  <c r="J294" i="8"/>
  <c r="J293" i="8"/>
  <c r="J292" i="8"/>
  <c r="J291" i="8"/>
  <c r="J290" i="8"/>
  <c r="J289" i="8"/>
  <c r="J288" i="8"/>
  <c r="J287" i="8"/>
  <c r="J286" i="8"/>
  <c r="J285" i="8"/>
  <c r="J284" i="8"/>
  <c r="J283" i="8"/>
  <c r="J282" i="8"/>
  <c r="J281" i="8"/>
  <c r="J280" i="8"/>
  <c r="J279" i="8"/>
  <c r="J278" i="8"/>
  <c r="J277" i="8"/>
  <c r="J276" i="8"/>
  <c r="J275" i="8"/>
  <c r="J274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47" i="8"/>
  <c r="J192" i="8"/>
  <c r="J191" i="8"/>
  <c r="J190" i="8"/>
  <c r="J189" i="8"/>
  <c r="J188" i="8"/>
  <c r="J187" i="8"/>
  <c r="J186" i="8"/>
  <c r="J185" i="8"/>
  <c r="J184" i="8"/>
  <c r="J183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8" i="8"/>
  <c r="J19" i="8"/>
  <c r="J182" i="8"/>
  <c r="J120" i="8"/>
  <c r="J90" i="8"/>
  <c r="E19" i="16" l="1"/>
  <c r="E30" i="16"/>
  <c r="E21" i="16"/>
  <c r="E36" i="16"/>
  <c r="E34" i="16"/>
  <c r="E33" i="16"/>
  <c r="E38" i="16"/>
  <c r="E40" i="16"/>
  <c r="E31" i="16"/>
  <c r="E35" i="16"/>
  <c r="E37" i="16"/>
  <c r="E39" i="16"/>
  <c r="E32" i="16"/>
  <c r="E29" i="16"/>
  <c r="E24" i="16"/>
  <c r="E26" i="16"/>
  <c r="E22" i="16"/>
  <c r="E17" i="16"/>
  <c r="E20" i="16"/>
  <c r="E16" i="16"/>
  <c r="E23" i="16"/>
  <c r="E18" i="16"/>
  <c r="E25" i="16"/>
  <c r="E36" i="4"/>
  <c r="I36" i="4" s="1"/>
  <c r="E35" i="4"/>
  <c r="I35" i="4" s="1"/>
  <c r="E33" i="4"/>
  <c r="I33" i="4" s="1"/>
  <c r="E37" i="4"/>
  <c r="I37" i="4" s="1"/>
  <c r="E34" i="4"/>
  <c r="I34" i="4" s="1"/>
  <c r="E38" i="4"/>
  <c r="I38" i="4" s="1"/>
  <c r="E40" i="4"/>
  <c r="I40" i="4" s="1"/>
  <c r="E39" i="4"/>
  <c r="I39" i="4" s="1"/>
  <c r="E31" i="4"/>
  <c r="E17" i="4"/>
  <c r="E18" i="4"/>
  <c r="L18" i="4" s="1"/>
  <c r="E20" i="4"/>
  <c r="E19" i="4"/>
  <c r="L19" i="4" s="1"/>
  <c r="E28" i="4"/>
  <c r="E27" i="4"/>
  <c r="E26" i="4"/>
  <c r="E25" i="4"/>
  <c r="E24" i="4"/>
  <c r="E23" i="4"/>
  <c r="E22" i="4"/>
  <c r="E21" i="4"/>
  <c r="E30" i="4"/>
  <c r="E16" i="4"/>
  <c r="L16" i="4" s="1"/>
  <c r="E29" i="4"/>
  <c r="E32" i="4"/>
  <c r="I32" i="4" s="1"/>
  <c r="G12" i="8" l="1"/>
  <c r="H12" i="8" s="1"/>
  <c r="H14" i="8" s="1"/>
  <c r="L17" i="4"/>
  <c r="I8" i="8"/>
  <c r="L8" i="8"/>
  <c r="M9" i="8" s="1"/>
  <c r="L20" i="4"/>
  <c r="M17" i="4" l="1"/>
  <c r="M18" i="4"/>
  <c r="N8" i="8"/>
  <c r="I10" i="8"/>
  <c r="N21" i="8" s="1"/>
  <c r="K21" i="8" s="1"/>
  <c r="L21" i="8" s="1"/>
  <c r="I14" i="8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N396" i="8" l="1"/>
  <c r="K396" i="8" s="1"/>
  <c r="L396" i="8" s="1"/>
  <c r="N140" i="8"/>
  <c r="K140" i="8" s="1"/>
  <c r="L140" i="8" s="1"/>
  <c r="N521" i="8"/>
  <c r="K521" i="8" s="1"/>
  <c r="L521" i="8" s="1"/>
  <c r="N517" i="8"/>
  <c r="K517" i="8" s="1"/>
  <c r="L517" i="8" s="1"/>
  <c r="N271" i="8"/>
  <c r="K271" i="8" s="1"/>
  <c r="L271" i="8" s="1"/>
  <c r="N652" i="8"/>
  <c r="K652" i="8" s="1"/>
  <c r="L652" i="8" s="1"/>
  <c r="N741" i="8"/>
  <c r="K741" i="8" s="1"/>
  <c r="L741" i="8" s="1"/>
  <c r="N524" i="8"/>
  <c r="K524" i="8" s="1"/>
  <c r="L524" i="8" s="1"/>
  <c r="N47" i="8"/>
  <c r="K47" i="8" s="1"/>
  <c r="L47" i="8" s="1"/>
  <c r="N65" i="8"/>
  <c r="K65" i="8" s="1"/>
  <c r="L65" i="8" s="1"/>
  <c r="N330" i="8"/>
  <c r="K330" i="8" s="1"/>
  <c r="L330" i="8" s="1"/>
  <c r="N265" i="8"/>
  <c r="K265" i="8" s="1"/>
  <c r="L265" i="8" s="1"/>
  <c r="N268" i="8"/>
  <c r="K268" i="8" s="1"/>
  <c r="L268" i="8" s="1"/>
  <c r="N261" i="8"/>
  <c r="K261" i="8" s="1"/>
  <c r="L261" i="8" s="1"/>
  <c r="N527" i="8"/>
  <c r="K527" i="8" s="1"/>
  <c r="L527" i="8" s="1"/>
  <c r="N610" i="8"/>
  <c r="K610" i="8" s="1"/>
  <c r="L610" i="8" s="1"/>
  <c r="N457" i="8"/>
  <c r="K457" i="8" s="1"/>
  <c r="L457" i="8" s="1"/>
  <c r="N108" i="8"/>
  <c r="K108" i="8" s="1"/>
  <c r="L108" i="8" s="1"/>
  <c r="N236" i="8"/>
  <c r="K236" i="8" s="1"/>
  <c r="L236" i="8" s="1"/>
  <c r="N492" i="8"/>
  <c r="K492" i="8" s="1"/>
  <c r="L492" i="8" s="1"/>
  <c r="N748" i="8"/>
  <c r="K748" i="8" s="1"/>
  <c r="L748" i="8" s="1"/>
  <c r="N453" i="8"/>
  <c r="K453" i="8" s="1"/>
  <c r="L453" i="8" s="1"/>
  <c r="N207" i="8"/>
  <c r="K207" i="8" s="1"/>
  <c r="L207" i="8" s="1"/>
  <c r="N463" i="8"/>
  <c r="K463" i="8" s="1"/>
  <c r="L463" i="8" s="1"/>
  <c r="N719" i="8"/>
  <c r="K719" i="8" s="1"/>
  <c r="L719" i="8" s="1"/>
  <c r="N22" i="8"/>
  <c r="K22" i="8" s="1"/>
  <c r="L22" i="8" s="1"/>
  <c r="N149" i="8"/>
  <c r="K149" i="8" s="1"/>
  <c r="L149" i="8" s="1"/>
  <c r="N393" i="8"/>
  <c r="K393" i="8" s="1"/>
  <c r="L393" i="8" s="1"/>
  <c r="N649" i="8"/>
  <c r="K649" i="8" s="1"/>
  <c r="L649" i="8" s="1"/>
  <c r="N76" i="8"/>
  <c r="K76" i="8" s="1"/>
  <c r="L76" i="8" s="1"/>
  <c r="N204" i="8"/>
  <c r="K204" i="8" s="1"/>
  <c r="L204" i="8" s="1"/>
  <c r="N332" i="8"/>
  <c r="K332" i="8" s="1"/>
  <c r="L332" i="8" s="1"/>
  <c r="N460" i="8"/>
  <c r="K460" i="8" s="1"/>
  <c r="L460" i="8" s="1"/>
  <c r="N588" i="8"/>
  <c r="K588" i="8" s="1"/>
  <c r="L588" i="8" s="1"/>
  <c r="N716" i="8"/>
  <c r="K716" i="8" s="1"/>
  <c r="L716" i="8" s="1"/>
  <c r="N389" i="8"/>
  <c r="K389" i="8" s="1"/>
  <c r="L389" i="8" s="1"/>
  <c r="N645" i="8"/>
  <c r="K645" i="8" s="1"/>
  <c r="L645" i="8" s="1"/>
  <c r="N143" i="8"/>
  <c r="K143" i="8" s="1"/>
  <c r="L143" i="8" s="1"/>
  <c r="N399" i="8"/>
  <c r="K399" i="8" s="1"/>
  <c r="L399" i="8" s="1"/>
  <c r="N655" i="8"/>
  <c r="K655" i="8" s="1"/>
  <c r="L655" i="8" s="1"/>
  <c r="N150" i="8"/>
  <c r="K150" i="8" s="1"/>
  <c r="L150" i="8" s="1"/>
  <c r="N438" i="8"/>
  <c r="K438" i="8" s="1"/>
  <c r="L438" i="8" s="1"/>
  <c r="N398" i="8"/>
  <c r="K398" i="8" s="1"/>
  <c r="L398" i="8" s="1"/>
  <c r="N718" i="8"/>
  <c r="K718" i="8" s="1"/>
  <c r="L718" i="8" s="1"/>
  <c r="N709" i="8"/>
  <c r="K709" i="8" s="1"/>
  <c r="L709" i="8" s="1"/>
  <c r="N364" i="8"/>
  <c r="K364" i="8" s="1"/>
  <c r="L364" i="8" s="1"/>
  <c r="N620" i="8"/>
  <c r="K620" i="8" s="1"/>
  <c r="L620" i="8" s="1"/>
  <c r="N749" i="8"/>
  <c r="K749" i="8" s="1"/>
  <c r="L749" i="8" s="1"/>
  <c r="N193" i="8"/>
  <c r="K193" i="8" s="1"/>
  <c r="L193" i="8" s="1"/>
  <c r="N329" i="8"/>
  <c r="K329" i="8" s="1"/>
  <c r="L329" i="8" s="1"/>
  <c r="K26" i="16" s="1"/>
  <c r="N585" i="8"/>
  <c r="K585" i="8" s="1"/>
  <c r="L585" i="8" s="1"/>
  <c r="N44" i="8"/>
  <c r="K44" i="8" s="1"/>
  <c r="L44" i="8" s="1"/>
  <c r="N172" i="8"/>
  <c r="K172" i="8" s="1"/>
  <c r="L172" i="8" s="1"/>
  <c r="N300" i="8"/>
  <c r="K300" i="8" s="1"/>
  <c r="L300" i="8" s="1"/>
  <c r="N428" i="8"/>
  <c r="K428" i="8" s="1"/>
  <c r="L428" i="8" s="1"/>
  <c r="N556" i="8"/>
  <c r="K556" i="8" s="1"/>
  <c r="L556" i="8" s="1"/>
  <c r="N684" i="8"/>
  <c r="K684" i="8" s="1"/>
  <c r="L684" i="8" s="1"/>
  <c r="N325" i="8"/>
  <c r="K325" i="8" s="1"/>
  <c r="L325" i="8" s="1"/>
  <c r="N581" i="8"/>
  <c r="K581" i="8" s="1"/>
  <c r="L581" i="8" s="1"/>
  <c r="N79" i="8"/>
  <c r="K79" i="8" s="1"/>
  <c r="L79" i="8" s="1"/>
  <c r="N335" i="8"/>
  <c r="K335" i="8" s="1"/>
  <c r="L335" i="8" s="1"/>
  <c r="N591" i="8"/>
  <c r="K591" i="8" s="1"/>
  <c r="L591" i="8" s="1"/>
  <c r="N354" i="8"/>
  <c r="K354" i="8" s="1"/>
  <c r="L354" i="8" s="1"/>
  <c r="N694" i="8"/>
  <c r="K694" i="8" s="1"/>
  <c r="L694" i="8" s="1"/>
  <c r="N314" i="8"/>
  <c r="K314" i="8" s="1"/>
  <c r="L314" i="8" s="1"/>
  <c r="N734" i="8"/>
  <c r="K734" i="8" s="1"/>
  <c r="L734" i="8" s="1"/>
  <c r="N257" i="8"/>
  <c r="K257" i="8" s="1"/>
  <c r="L257" i="8" s="1"/>
  <c r="N321" i="8"/>
  <c r="K321" i="8" s="1"/>
  <c r="L321" i="8" s="1"/>
  <c r="N385" i="8"/>
  <c r="K385" i="8" s="1"/>
  <c r="L385" i="8" s="1"/>
  <c r="N449" i="8"/>
  <c r="K449" i="8" s="1"/>
  <c r="L449" i="8" s="1"/>
  <c r="N513" i="8"/>
  <c r="K513" i="8" s="1"/>
  <c r="L513" i="8" s="1"/>
  <c r="N577" i="8"/>
  <c r="K577" i="8" s="1"/>
  <c r="L577" i="8" s="1"/>
  <c r="N641" i="8"/>
  <c r="K641" i="8" s="1"/>
  <c r="L641" i="8" s="1"/>
  <c r="N701" i="8"/>
  <c r="K701" i="8" s="1"/>
  <c r="L701" i="8" s="1"/>
  <c r="N737" i="8"/>
  <c r="K737" i="8" s="1"/>
  <c r="L737" i="8" s="1"/>
  <c r="N40" i="8"/>
  <c r="K40" i="8" s="1"/>
  <c r="L40" i="8" s="1"/>
  <c r="N72" i="8"/>
  <c r="K72" i="8" s="1"/>
  <c r="L72" i="8" s="1"/>
  <c r="N104" i="8"/>
  <c r="K104" i="8" s="1"/>
  <c r="L104" i="8" s="1"/>
  <c r="N136" i="8"/>
  <c r="K136" i="8" s="1"/>
  <c r="L136" i="8" s="1"/>
  <c r="N168" i="8"/>
  <c r="K168" i="8" s="1"/>
  <c r="L168" i="8" s="1"/>
  <c r="N200" i="8"/>
  <c r="K200" i="8" s="1"/>
  <c r="L200" i="8" s="1"/>
  <c r="N232" i="8"/>
  <c r="K232" i="8" s="1"/>
  <c r="L232" i="8" s="1"/>
  <c r="N264" i="8"/>
  <c r="K264" i="8" s="1"/>
  <c r="L264" i="8" s="1"/>
  <c r="N296" i="8"/>
  <c r="K296" i="8" s="1"/>
  <c r="L296" i="8" s="1"/>
  <c r="N328" i="8"/>
  <c r="K328" i="8" s="1"/>
  <c r="L328" i="8" s="1"/>
  <c r="N360" i="8"/>
  <c r="K360" i="8" s="1"/>
  <c r="L360" i="8" s="1"/>
  <c r="N392" i="8"/>
  <c r="K392" i="8" s="1"/>
  <c r="L392" i="8" s="1"/>
  <c r="N424" i="8"/>
  <c r="K424" i="8" s="1"/>
  <c r="L424" i="8" s="1"/>
  <c r="N456" i="8"/>
  <c r="K456" i="8" s="1"/>
  <c r="L456" i="8" s="1"/>
  <c r="N488" i="8"/>
  <c r="K488" i="8" s="1"/>
  <c r="L488" i="8" s="1"/>
  <c r="N520" i="8"/>
  <c r="K520" i="8" s="1"/>
  <c r="L520" i="8" s="1"/>
  <c r="N552" i="8"/>
  <c r="K552" i="8" s="1"/>
  <c r="L552" i="8" s="1"/>
  <c r="N584" i="8"/>
  <c r="K584" i="8" s="1"/>
  <c r="L584" i="8" s="1"/>
  <c r="N616" i="8"/>
  <c r="K616" i="8" s="1"/>
  <c r="L616" i="8" s="1"/>
  <c r="N648" i="8"/>
  <c r="K648" i="8" s="1"/>
  <c r="L648" i="8" s="1"/>
  <c r="N680" i="8"/>
  <c r="K680" i="8" s="1"/>
  <c r="L680" i="8" s="1"/>
  <c r="N712" i="8"/>
  <c r="K712" i="8" s="1"/>
  <c r="L712" i="8" s="1"/>
  <c r="N744" i="8"/>
  <c r="K744" i="8" s="1"/>
  <c r="L744" i="8" s="1"/>
  <c r="N253" i="8"/>
  <c r="K253" i="8" s="1"/>
  <c r="L253" i="8" s="1"/>
  <c r="N317" i="8"/>
  <c r="K317" i="8" s="1"/>
  <c r="L317" i="8" s="1"/>
  <c r="N381" i="8"/>
  <c r="K381" i="8" s="1"/>
  <c r="L381" i="8" s="1"/>
  <c r="N445" i="8"/>
  <c r="K445" i="8" s="1"/>
  <c r="L445" i="8" s="1"/>
  <c r="N509" i="8"/>
  <c r="K509" i="8" s="1"/>
  <c r="L509" i="8" s="1"/>
  <c r="N573" i="8"/>
  <c r="K573" i="8" s="1"/>
  <c r="L573" i="8" s="1"/>
  <c r="N637" i="8"/>
  <c r="K637" i="8" s="1"/>
  <c r="L637" i="8" s="1"/>
  <c r="N705" i="8"/>
  <c r="K705" i="8" s="1"/>
  <c r="L705" i="8" s="1"/>
  <c r="N43" i="8"/>
  <c r="K43" i="8" s="1"/>
  <c r="L43" i="8" s="1"/>
  <c r="N75" i="8"/>
  <c r="K75" i="8" s="1"/>
  <c r="L75" i="8" s="1"/>
  <c r="N127" i="8"/>
  <c r="K127" i="8" s="1"/>
  <c r="L127" i="8" s="1"/>
  <c r="N191" i="8"/>
  <c r="K191" i="8" s="1"/>
  <c r="L191" i="8" s="1"/>
  <c r="N255" i="8"/>
  <c r="K255" i="8" s="1"/>
  <c r="L255" i="8" s="1"/>
  <c r="N319" i="8"/>
  <c r="K319" i="8" s="1"/>
  <c r="L319" i="8" s="1"/>
  <c r="N383" i="8"/>
  <c r="K383" i="8" s="1"/>
  <c r="L383" i="8" s="1"/>
  <c r="N447" i="8"/>
  <c r="K447" i="8" s="1"/>
  <c r="L447" i="8" s="1"/>
  <c r="N511" i="8"/>
  <c r="K511" i="8" s="1"/>
  <c r="L511" i="8" s="1"/>
  <c r="N575" i="8"/>
  <c r="K575" i="8" s="1"/>
  <c r="L575" i="8" s="1"/>
  <c r="N639" i="8"/>
  <c r="K639" i="8" s="1"/>
  <c r="L639" i="8" s="1"/>
  <c r="N703" i="8"/>
  <c r="K703" i="8" s="1"/>
  <c r="L703" i="8" s="1"/>
  <c r="N674" i="8"/>
  <c r="K674" i="8" s="1"/>
  <c r="L674" i="8" s="1"/>
  <c r="N418" i="8"/>
  <c r="K418" i="8" s="1"/>
  <c r="L418" i="8" s="1"/>
  <c r="N182" i="8"/>
  <c r="K182" i="8" s="1"/>
  <c r="L182" i="8" s="1"/>
  <c r="N54" i="8"/>
  <c r="K54" i="8" s="1"/>
  <c r="L54" i="8" s="1"/>
  <c r="N442" i="8"/>
  <c r="K442" i="8" s="1"/>
  <c r="L442" i="8" s="1"/>
  <c r="N42" i="8"/>
  <c r="K42" i="8" s="1"/>
  <c r="L42" i="8" s="1"/>
  <c r="N502" i="8"/>
  <c r="K502" i="8" s="1"/>
  <c r="L502" i="8" s="1"/>
  <c r="N246" i="8"/>
  <c r="K246" i="8" s="1"/>
  <c r="L246" i="8" s="1"/>
  <c r="N97" i="8"/>
  <c r="K97" i="8" s="1"/>
  <c r="L97" i="8" s="1"/>
  <c r="N458" i="8"/>
  <c r="K458" i="8" s="1"/>
  <c r="L458" i="8" s="1"/>
  <c r="N34" i="8"/>
  <c r="K34" i="8" s="1"/>
  <c r="L34" i="8" s="1"/>
  <c r="N350" i="8"/>
  <c r="K350" i="8" s="1"/>
  <c r="L350" i="8" s="1"/>
  <c r="N61" i="8"/>
  <c r="K61" i="8" s="1"/>
  <c r="L61" i="8" s="1"/>
  <c r="N233" i="8"/>
  <c r="K233" i="8" s="1"/>
  <c r="L233" i="8" s="1"/>
  <c r="N293" i="8"/>
  <c r="K293" i="8" s="1"/>
  <c r="L293" i="8" s="1"/>
  <c r="N361" i="8"/>
  <c r="K361" i="8" s="1"/>
  <c r="L361" i="8" s="1"/>
  <c r="N425" i="8"/>
  <c r="K425" i="8" s="1"/>
  <c r="L425" i="8" s="1"/>
  <c r="N489" i="8"/>
  <c r="K489" i="8" s="1"/>
  <c r="L489" i="8" s="1"/>
  <c r="N553" i="8"/>
  <c r="K553" i="8" s="1"/>
  <c r="L553" i="8" s="1"/>
  <c r="N617" i="8"/>
  <c r="K617" i="8" s="1"/>
  <c r="L617" i="8" s="1"/>
  <c r="N681" i="8"/>
  <c r="K681" i="8" s="1"/>
  <c r="L681" i="8" s="1"/>
  <c r="N725" i="8"/>
  <c r="K725" i="8" s="1"/>
  <c r="L725" i="8" s="1"/>
  <c r="N28" i="8"/>
  <c r="K28" i="8" s="1"/>
  <c r="L28" i="8" s="1"/>
  <c r="N60" i="8"/>
  <c r="K60" i="8" s="1"/>
  <c r="L60" i="8" s="1"/>
  <c r="N92" i="8"/>
  <c r="K92" i="8" s="1"/>
  <c r="L92" i="8" s="1"/>
  <c r="N124" i="8"/>
  <c r="K124" i="8" s="1"/>
  <c r="L124" i="8" s="1"/>
  <c r="N156" i="8"/>
  <c r="K156" i="8" s="1"/>
  <c r="L156" i="8" s="1"/>
  <c r="N188" i="8"/>
  <c r="K188" i="8" s="1"/>
  <c r="L188" i="8" s="1"/>
  <c r="N220" i="8"/>
  <c r="K220" i="8" s="1"/>
  <c r="L220" i="8" s="1"/>
  <c r="N252" i="8"/>
  <c r="K252" i="8" s="1"/>
  <c r="L252" i="8" s="1"/>
  <c r="N284" i="8"/>
  <c r="K284" i="8" s="1"/>
  <c r="L284" i="8" s="1"/>
  <c r="N316" i="8"/>
  <c r="K316" i="8" s="1"/>
  <c r="L316" i="8" s="1"/>
  <c r="N348" i="8"/>
  <c r="K348" i="8" s="1"/>
  <c r="L348" i="8" s="1"/>
  <c r="N380" i="8"/>
  <c r="K380" i="8" s="1"/>
  <c r="L380" i="8" s="1"/>
  <c r="N412" i="8"/>
  <c r="K412" i="8" s="1"/>
  <c r="L412" i="8" s="1"/>
  <c r="N444" i="8"/>
  <c r="K444" i="8" s="1"/>
  <c r="L444" i="8" s="1"/>
  <c r="N476" i="8"/>
  <c r="K476" i="8" s="1"/>
  <c r="L476" i="8" s="1"/>
  <c r="N508" i="8"/>
  <c r="K508" i="8" s="1"/>
  <c r="L508" i="8" s="1"/>
  <c r="N540" i="8"/>
  <c r="K540" i="8" s="1"/>
  <c r="L540" i="8" s="1"/>
  <c r="N572" i="8"/>
  <c r="K572" i="8" s="1"/>
  <c r="L572" i="8" s="1"/>
  <c r="N604" i="8"/>
  <c r="K604" i="8" s="1"/>
  <c r="L604" i="8" s="1"/>
  <c r="N636" i="8"/>
  <c r="K636" i="8" s="1"/>
  <c r="L636" i="8" s="1"/>
  <c r="N668" i="8"/>
  <c r="K668" i="8" s="1"/>
  <c r="L668" i="8" s="1"/>
  <c r="N700" i="8"/>
  <c r="K700" i="8" s="1"/>
  <c r="L700" i="8" s="1"/>
  <c r="N732" i="8"/>
  <c r="K732" i="8" s="1"/>
  <c r="L732" i="8" s="1"/>
  <c r="N229" i="8"/>
  <c r="K229" i="8" s="1"/>
  <c r="L229" i="8" s="1"/>
  <c r="N297" i="8"/>
  <c r="K297" i="8" s="1"/>
  <c r="L297" i="8" s="1"/>
  <c r="N357" i="8"/>
  <c r="K357" i="8" s="1"/>
  <c r="L357" i="8" s="1"/>
  <c r="N421" i="8"/>
  <c r="K421" i="8" s="1"/>
  <c r="L421" i="8" s="1"/>
  <c r="N485" i="8"/>
  <c r="K485" i="8" s="1"/>
  <c r="L485" i="8" s="1"/>
  <c r="N549" i="8"/>
  <c r="K549" i="8" s="1"/>
  <c r="L549" i="8" s="1"/>
  <c r="N613" i="8"/>
  <c r="K613" i="8" s="1"/>
  <c r="L613" i="8" s="1"/>
  <c r="N677" i="8"/>
  <c r="K677" i="8" s="1"/>
  <c r="L677" i="8" s="1"/>
  <c r="N31" i="8"/>
  <c r="K31" i="8" s="1"/>
  <c r="L31" i="8" s="1"/>
  <c r="N63" i="8"/>
  <c r="K63" i="8" s="1"/>
  <c r="L63" i="8" s="1"/>
  <c r="N111" i="8"/>
  <c r="K111" i="8" s="1"/>
  <c r="L111" i="8" s="1"/>
  <c r="N175" i="8"/>
  <c r="K175" i="8" s="1"/>
  <c r="L175" i="8" s="1"/>
  <c r="N239" i="8"/>
  <c r="K239" i="8" s="1"/>
  <c r="L239" i="8" s="1"/>
  <c r="N303" i="8"/>
  <c r="K303" i="8" s="1"/>
  <c r="L303" i="8" s="1"/>
  <c r="N367" i="8"/>
  <c r="K367" i="8" s="1"/>
  <c r="L367" i="8" s="1"/>
  <c r="N431" i="8"/>
  <c r="K431" i="8" s="1"/>
  <c r="L431" i="8" s="1"/>
  <c r="N495" i="8"/>
  <c r="K495" i="8" s="1"/>
  <c r="L495" i="8" s="1"/>
  <c r="N559" i="8"/>
  <c r="K559" i="8" s="1"/>
  <c r="L559" i="8" s="1"/>
  <c r="N623" i="8"/>
  <c r="K623" i="8" s="1"/>
  <c r="L623" i="8" s="1"/>
  <c r="N687" i="8"/>
  <c r="K687" i="8" s="1"/>
  <c r="L687" i="8" s="1"/>
  <c r="J10" i="8"/>
  <c r="N482" i="8"/>
  <c r="K482" i="8" s="1"/>
  <c r="L482" i="8" s="1"/>
  <c r="N226" i="8"/>
  <c r="K226" i="8" s="1"/>
  <c r="L226" i="8" s="1"/>
  <c r="N86" i="8"/>
  <c r="K86" i="8" s="1"/>
  <c r="L86" i="8" s="1"/>
  <c r="N570" i="8"/>
  <c r="K570" i="8" s="1"/>
  <c r="L570" i="8" s="1"/>
  <c r="N114" i="8"/>
  <c r="K114" i="8" s="1"/>
  <c r="L114" i="8" s="1"/>
  <c r="N566" i="8"/>
  <c r="K566" i="8" s="1"/>
  <c r="L566" i="8" s="1"/>
  <c r="N310" i="8"/>
  <c r="K310" i="8" s="1"/>
  <c r="L310" i="8" s="1"/>
  <c r="N129" i="8"/>
  <c r="K129" i="8" s="1"/>
  <c r="L129" i="8" s="1"/>
  <c r="N586" i="8"/>
  <c r="K586" i="8" s="1"/>
  <c r="L586" i="8" s="1"/>
  <c r="N90" i="8"/>
  <c r="K90" i="8" s="1"/>
  <c r="L90" i="8" s="1"/>
  <c r="N45" i="8"/>
  <c r="K45" i="8" s="1"/>
  <c r="L45" i="8" s="1"/>
  <c r="N238" i="8"/>
  <c r="K238" i="8" s="1"/>
  <c r="L238" i="8" s="1"/>
  <c r="N225" i="8"/>
  <c r="K225" i="8" s="1"/>
  <c r="L225" i="8" s="1"/>
  <c r="N285" i="8"/>
  <c r="K285" i="8" s="1"/>
  <c r="L285" i="8" s="1"/>
  <c r="N353" i="8"/>
  <c r="K353" i="8" s="1"/>
  <c r="L353" i="8" s="1"/>
  <c r="N417" i="8"/>
  <c r="K417" i="8" s="1"/>
  <c r="L417" i="8" s="1"/>
  <c r="N481" i="8"/>
  <c r="K481" i="8" s="1"/>
  <c r="L481" i="8" s="1"/>
  <c r="N545" i="8"/>
  <c r="K545" i="8" s="1"/>
  <c r="L545" i="8" s="1"/>
  <c r="N609" i="8"/>
  <c r="K609" i="8" s="1"/>
  <c r="L609" i="8" s="1"/>
  <c r="N673" i="8"/>
  <c r="K673" i="8" s="1"/>
  <c r="L673" i="8" s="1"/>
  <c r="N721" i="8"/>
  <c r="K721" i="8" s="1"/>
  <c r="L721" i="8" s="1"/>
  <c r="N24" i="8"/>
  <c r="K24" i="8" s="1"/>
  <c r="L24" i="8" s="1"/>
  <c r="N56" i="8"/>
  <c r="K56" i="8" s="1"/>
  <c r="L56" i="8" s="1"/>
  <c r="N88" i="8"/>
  <c r="K88" i="8" s="1"/>
  <c r="L88" i="8" s="1"/>
  <c r="N120" i="8"/>
  <c r="K120" i="8" s="1"/>
  <c r="L120" i="8" s="1"/>
  <c r="N152" i="8"/>
  <c r="K152" i="8" s="1"/>
  <c r="L152" i="8" s="1"/>
  <c r="N184" i="8"/>
  <c r="K184" i="8" s="1"/>
  <c r="L184" i="8" s="1"/>
  <c r="N216" i="8"/>
  <c r="K216" i="8" s="1"/>
  <c r="L216" i="8" s="1"/>
  <c r="N248" i="8"/>
  <c r="K248" i="8" s="1"/>
  <c r="L248" i="8" s="1"/>
  <c r="N280" i="8"/>
  <c r="K280" i="8" s="1"/>
  <c r="L280" i="8" s="1"/>
  <c r="N312" i="8"/>
  <c r="K312" i="8" s="1"/>
  <c r="L312" i="8" s="1"/>
  <c r="N344" i="8"/>
  <c r="K344" i="8" s="1"/>
  <c r="L344" i="8" s="1"/>
  <c r="N376" i="8"/>
  <c r="K376" i="8" s="1"/>
  <c r="L376" i="8" s="1"/>
  <c r="N408" i="8"/>
  <c r="K408" i="8" s="1"/>
  <c r="L408" i="8" s="1"/>
  <c r="N440" i="8"/>
  <c r="K440" i="8" s="1"/>
  <c r="L440" i="8" s="1"/>
  <c r="N472" i="8"/>
  <c r="K472" i="8" s="1"/>
  <c r="L472" i="8" s="1"/>
  <c r="N504" i="8"/>
  <c r="K504" i="8" s="1"/>
  <c r="L504" i="8" s="1"/>
  <c r="N536" i="8"/>
  <c r="K536" i="8" s="1"/>
  <c r="L536" i="8" s="1"/>
  <c r="N568" i="8"/>
  <c r="K568" i="8" s="1"/>
  <c r="L568" i="8" s="1"/>
  <c r="N600" i="8"/>
  <c r="K600" i="8" s="1"/>
  <c r="L600" i="8" s="1"/>
  <c r="N632" i="8"/>
  <c r="K632" i="8" s="1"/>
  <c r="L632" i="8" s="1"/>
  <c r="N664" i="8"/>
  <c r="K664" i="8" s="1"/>
  <c r="L664" i="8" s="1"/>
  <c r="N696" i="8"/>
  <c r="K696" i="8" s="1"/>
  <c r="L696" i="8" s="1"/>
  <c r="N728" i="8"/>
  <c r="K728" i="8" s="1"/>
  <c r="L728" i="8" s="1"/>
  <c r="N221" i="8"/>
  <c r="K221" i="8" s="1"/>
  <c r="L221" i="8" s="1"/>
  <c r="N289" i="8"/>
  <c r="K289" i="8" s="1"/>
  <c r="L289" i="8" s="1"/>
  <c r="N349" i="8"/>
  <c r="K349" i="8" s="1"/>
  <c r="L349" i="8" s="1"/>
  <c r="N413" i="8"/>
  <c r="K413" i="8" s="1"/>
  <c r="L413" i="8" s="1"/>
  <c r="N477" i="8"/>
  <c r="K477" i="8" s="1"/>
  <c r="L477" i="8" s="1"/>
  <c r="N541" i="8"/>
  <c r="K541" i="8" s="1"/>
  <c r="L541" i="8" s="1"/>
  <c r="N605" i="8"/>
  <c r="K605" i="8" s="1"/>
  <c r="L605" i="8" s="1"/>
  <c r="N669" i="8"/>
  <c r="K669" i="8" s="1"/>
  <c r="L669" i="8" s="1"/>
  <c r="N27" i="8"/>
  <c r="K27" i="8" s="1"/>
  <c r="L27" i="8" s="1"/>
  <c r="N59" i="8"/>
  <c r="K59" i="8" s="1"/>
  <c r="L59" i="8" s="1"/>
  <c r="N95" i="8"/>
  <c r="K95" i="8" s="1"/>
  <c r="L95" i="8" s="1"/>
  <c r="N159" i="8"/>
  <c r="K159" i="8" s="1"/>
  <c r="L159" i="8" s="1"/>
  <c r="N223" i="8"/>
  <c r="K223" i="8" s="1"/>
  <c r="L223" i="8" s="1"/>
  <c r="N287" i="8"/>
  <c r="K287" i="8" s="1"/>
  <c r="L287" i="8" s="1"/>
  <c r="N351" i="8"/>
  <c r="K351" i="8" s="1"/>
  <c r="L351" i="8" s="1"/>
  <c r="N415" i="8"/>
  <c r="K415" i="8" s="1"/>
  <c r="L415" i="8" s="1"/>
  <c r="N479" i="8"/>
  <c r="K479" i="8" s="1"/>
  <c r="L479" i="8" s="1"/>
  <c r="N543" i="8"/>
  <c r="K543" i="8" s="1"/>
  <c r="L543" i="8" s="1"/>
  <c r="N607" i="8"/>
  <c r="K607" i="8" s="1"/>
  <c r="L607" i="8" s="1"/>
  <c r="N671" i="8"/>
  <c r="K671" i="8" s="1"/>
  <c r="L671" i="8" s="1"/>
  <c r="N735" i="8"/>
  <c r="K735" i="8" s="1"/>
  <c r="L735" i="8" s="1"/>
  <c r="N546" i="8"/>
  <c r="K546" i="8" s="1"/>
  <c r="L546" i="8" s="1"/>
  <c r="N290" i="8"/>
  <c r="K290" i="8" s="1"/>
  <c r="L290" i="8" s="1"/>
  <c r="N118" i="8"/>
  <c r="K118" i="8" s="1"/>
  <c r="L118" i="8" s="1"/>
  <c r="N682" i="8"/>
  <c r="K682" i="8" s="1"/>
  <c r="L682" i="8" s="1"/>
  <c r="N186" i="8"/>
  <c r="K186" i="8" s="1"/>
  <c r="L186" i="8" s="1"/>
  <c r="N630" i="8"/>
  <c r="K630" i="8" s="1"/>
  <c r="L630" i="8" s="1"/>
  <c r="N374" i="8"/>
  <c r="K374" i="8" s="1"/>
  <c r="L374" i="8" s="1"/>
  <c r="N161" i="8"/>
  <c r="K161" i="8" s="1"/>
  <c r="L161" i="8" s="1"/>
  <c r="N33" i="8"/>
  <c r="K33" i="8" s="1"/>
  <c r="L33" i="8" s="1"/>
  <c r="N146" i="8"/>
  <c r="K146" i="8" s="1"/>
  <c r="L146" i="8" s="1"/>
  <c r="N173" i="8"/>
  <c r="K173" i="8" s="1"/>
  <c r="L173" i="8" s="1"/>
  <c r="N574" i="8"/>
  <c r="K574" i="8" s="1"/>
  <c r="L574" i="8" s="1"/>
  <c r="N189" i="8"/>
  <c r="K189" i="8" s="1"/>
  <c r="L189" i="8" s="1"/>
  <c r="N430" i="8"/>
  <c r="K430" i="8" s="1"/>
  <c r="L430" i="8" s="1"/>
  <c r="N686" i="8"/>
  <c r="K686" i="8" s="1"/>
  <c r="L686" i="8" s="1"/>
  <c r="N117" i="8"/>
  <c r="K117" i="8" s="1"/>
  <c r="L117" i="8" s="1"/>
  <c r="N286" i="8"/>
  <c r="K286" i="8" s="1"/>
  <c r="L286" i="8" s="1"/>
  <c r="N542" i="8"/>
  <c r="K542" i="8" s="1"/>
  <c r="L542" i="8" s="1"/>
  <c r="N93" i="8"/>
  <c r="K93" i="8" s="1"/>
  <c r="L93" i="8" s="1"/>
  <c r="N141" i="8"/>
  <c r="K141" i="8" s="1"/>
  <c r="L141" i="8" s="1"/>
  <c r="N334" i="8"/>
  <c r="K334" i="8" s="1"/>
  <c r="L334" i="8" s="1"/>
  <c r="N590" i="8"/>
  <c r="K590" i="8" s="1"/>
  <c r="L590" i="8" s="1"/>
  <c r="N19" i="8"/>
  <c r="K19" i="8" s="1"/>
  <c r="L19" i="8" s="1"/>
  <c r="N82" i="8"/>
  <c r="K82" i="8" s="1"/>
  <c r="L82" i="8" s="1"/>
  <c r="N138" i="8"/>
  <c r="K138" i="8" s="1"/>
  <c r="L138" i="8" s="1"/>
  <c r="N194" i="8"/>
  <c r="K194" i="8" s="1"/>
  <c r="L194" i="8" s="1"/>
  <c r="N282" i="8"/>
  <c r="K282" i="8" s="1"/>
  <c r="L282" i="8" s="1"/>
  <c r="N426" i="8"/>
  <c r="K426" i="8" s="1"/>
  <c r="L426" i="8" s="1"/>
  <c r="N538" i="8"/>
  <c r="K538" i="8" s="1"/>
  <c r="L538" i="8" s="1"/>
  <c r="N25" i="8"/>
  <c r="K25" i="8" s="1"/>
  <c r="L25" i="8" s="1"/>
  <c r="N57" i="8"/>
  <c r="K57" i="8" s="1"/>
  <c r="L57" i="8" s="1"/>
  <c r="N89" i="8"/>
  <c r="K89" i="8" s="1"/>
  <c r="L89" i="8" s="1"/>
  <c r="N121" i="8"/>
  <c r="K121" i="8" s="1"/>
  <c r="L121" i="8" s="1"/>
  <c r="N153" i="8"/>
  <c r="K153" i="8" s="1"/>
  <c r="L153" i="8" s="1"/>
  <c r="N185" i="8"/>
  <c r="K185" i="8" s="1"/>
  <c r="L185" i="8" s="1"/>
  <c r="N230" i="8"/>
  <c r="K230" i="8" s="1"/>
  <c r="L230" i="8" s="1"/>
  <c r="N294" i="8"/>
  <c r="K294" i="8" s="1"/>
  <c r="L294" i="8" s="1"/>
  <c r="N358" i="8"/>
  <c r="K358" i="8" s="1"/>
  <c r="L358" i="8" s="1"/>
  <c r="N422" i="8"/>
  <c r="K422" i="8" s="1"/>
  <c r="L422" i="8" s="1"/>
  <c r="N486" i="8"/>
  <c r="K486" i="8" s="1"/>
  <c r="L486" i="8" s="1"/>
  <c r="N550" i="8"/>
  <c r="K550" i="8" s="1"/>
  <c r="L550" i="8" s="1"/>
  <c r="N614" i="8"/>
  <c r="K614" i="8" s="1"/>
  <c r="L614" i="8" s="1"/>
  <c r="N678" i="8"/>
  <c r="K678" i="8" s="1"/>
  <c r="L678" i="8" s="1"/>
  <c r="N26" i="8"/>
  <c r="K26" i="8" s="1"/>
  <c r="L26" i="8" s="1"/>
  <c r="N98" i="8"/>
  <c r="K98" i="8" s="1"/>
  <c r="L98" i="8" s="1"/>
  <c r="N170" i="8"/>
  <c r="K170" i="8" s="1"/>
  <c r="L170" i="8" s="1"/>
  <c r="N298" i="8"/>
  <c r="K298" i="8" s="1"/>
  <c r="L298" i="8" s="1"/>
  <c r="N410" i="8"/>
  <c r="K410" i="8" s="1"/>
  <c r="L410" i="8" s="1"/>
  <c r="N554" i="8"/>
  <c r="K554" i="8" s="1"/>
  <c r="L554" i="8" s="1"/>
  <c r="N666" i="8"/>
  <c r="K666" i="8" s="1"/>
  <c r="L666" i="8" s="1"/>
  <c r="N738" i="8"/>
  <c r="K738" i="8" s="1"/>
  <c r="L738" i="8" s="1"/>
  <c r="N46" i="8"/>
  <c r="K46" i="8" s="1"/>
  <c r="L46" i="8" s="1"/>
  <c r="N78" i="8"/>
  <c r="K78" i="8" s="1"/>
  <c r="L78" i="8" s="1"/>
  <c r="N110" i="8"/>
  <c r="K110" i="8" s="1"/>
  <c r="L110" i="8" s="1"/>
  <c r="N142" i="8"/>
  <c r="K142" i="8" s="1"/>
  <c r="L142" i="8" s="1"/>
  <c r="N174" i="8"/>
  <c r="K174" i="8" s="1"/>
  <c r="L174" i="8" s="1"/>
  <c r="N210" i="8"/>
  <c r="K210" i="8" s="1"/>
  <c r="L210" i="8" s="1"/>
  <c r="N274" i="8"/>
  <c r="K274" i="8" s="1"/>
  <c r="L274" i="8" s="1"/>
  <c r="N338" i="8"/>
  <c r="K338" i="8" s="1"/>
  <c r="L338" i="8" s="1"/>
  <c r="N402" i="8"/>
  <c r="K402" i="8" s="1"/>
  <c r="L402" i="8" s="1"/>
  <c r="N466" i="8"/>
  <c r="K466" i="8" s="1"/>
  <c r="L466" i="8" s="1"/>
  <c r="N530" i="8"/>
  <c r="K530" i="8" s="1"/>
  <c r="L530" i="8" s="1"/>
  <c r="N594" i="8"/>
  <c r="K594" i="8" s="1"/>
  <c r="L594" i="8" s="1"/>
  <c r="N658" i="8"/>
  <c r="K658" i="8" s="1"/>
  <c r="L658" i="8" s="1"/>
  <c r="N726" i="8"/>
  <c r="K726" i="8" s="1"/>
  <c r="L726" i="8" s="1"/>
  <c r="N739" i="8"/>
  <c r="K739" i="8" s="1"/>
  <c r="L739" i="8" s="1"/>
  <c r="N723" i="8"/>
  <c r="K723" i="8" s="1"/>
  <c r="L723" i="8" s="1"/>
  <c r="N707" i="8"/>
  <c r="K707" i="8" s="1"/>
  <c r="L707" i="8" s="1"/>
  <c r="N691" i="8"/>
  <c r="K691" i="8" s="1"/>
  <c r="L691" i="8" s="1"/>
  <c r="N675" i="8"/>
  <c r="K675" i="8" s="1"/>
  <c r="L675" i="8" s="1"/>
  <c r="N659" i="8"/>
  <c r="K659" i="8" s="1"/>
  <c r="L659" i="8" s="1"/>
  <c r="N643" i="8"/>
  <c r="K643" i="8" s="1"/>
  <c r="L643" i="8" s="1"/>
  <c r="N627" i="8"/>
  <c r="K627" i="8" s="1"/>
  <c r="L627" i="8" s="1"/>
  <c r="N611" i="8"/>
  <c r="K611" i="8" s="1"/>
  <c r="L611" i="8" s="1"/>
  <c r="N595" i="8"/>
  <c r="K595" i="8" s="1"/>
  <c r="L595" i="8" s="1"/>
  <c r="N579" i="8"/>
  <c r="K579" i="8" s="1"/>
  <c r="L579" i="8" s="1"/>
  <c r="N563" i="8"/>
  <c r="K563" i="8" s="1"/>
  <c r="L563" i="8" s="1"/>
  <c r="N547" i="8"/>
  <c r="K547" i="8" s="1"/>
  <c r="L547" i="8" s="1"/>
  <c r="N531" i="8"/>
  <c r="K531" i="8" s="1"/>
  <c r="L531" i="8" s="1"/>
  <c r="N515" i="8"/>
  <c r="K515" i="8" s="1"/>
  <c r="L515" i="8" s="1"/>
  <c r="N499" i="8"/>
  <c r="K499" i="8" s="1"/>
  <c r="L499" i="8" s="1"/>
  <c r="N483" i="8"/>
  <c r="K483" i="8" s="1"/>
  <c r="L483" i="8" s="1"/>
  <c r="N467" i="8"/>
  <c r="K467" i="8" s="1"/>
  <c r="L467" i="8" s="1"/>
  <c r="N451" i="8"/>
  <c r="K451" i="8" s="1"/>
  <c r="L451" i="8" s="1"/>
  <c r="N435" i="8"/>
  <c r="K435" i="8" s="1"/>
  <c r="L435" i="8" s="1"/>
  <c r="N419" i="8"/>
  <c r="K419" i="8" s="1"/>
  <c r="L419" i="8" s="1"/>
  <c r="N403" i="8"/>
  <c r="K403" i="8" s="1"/>
  <c r="L403" i="8" s="1"/>
  <c r="N387" i="8"/>
  <c r="K387" i="8" s="1"/>
  <c r="L387" i="8" s="1"/>
  <c r="N371" i="8"/>
  <c r="K371" i="8" s="1"/>
  <c r="L371" i="8" s="1"/>
  <c r="N355" i="8"/>
  <c r="K355" i="8" s="1"/>
  <c r="L355" i="8" s="1"/>
  <c r="N339" i="8"/>
  <c r="K339" i="8" s="1"/>
  <c r="L339" i="8" s="1"/>
  <c r="N323" i="8"/>
  <c r="K323" i="8" s="1"/>
  <c r="L323" i="8" s="1"/>
  <c r="N307" i="8"/>
  <c r="K307" i="8" s="1"/>
  <c r="L307" i="8" s="1"/>
  <c r="N291" i="8"/>
  <c r="K291" i="8" s="1"/>
  <c r="L291" i="8" s="1"/>
  <c r="N275" i="8"/>
  <c r="K275" i="8" s="1"/>
  <c r="L275" i="8" s="1"/>
  <c r="N259" i="8"/>
  <c r="K259" i="8" s="1"/>
  <c r="L259" i="8" s="1"/>
  <c r="N243" i="8"/>
  <c r="K243" i="8" s="1"/>
  <c r="L243" i="8" s="1"/>
  <c r="N227" i="8"/>
  <c r="K227" i="8" s="1"/>
  <c r="L227" i="8" s="1"/>
  <c r="N211" i="8"/>
  <c r="K211" i="8" s="1"/>
  <c r="L211" i="8" s="1"/>
  <c r="N195" i="8"/>
  <c r="K195" i="8" s="1"/>
  <c r="L195" i="8" s="1"/>
  <c r="N179" i="8"/>
  <c r="K179" i="8" s="1"/>
  <c r="L179" i="8" s="1"/>
  <c r="N163" i="8"/>
  <c r="K163" i="8" s="1"/>
  <c r="L163" i="8" s="1"/>
  <c r="N147" i="8"/>
  <c r="K147" i="8" s="1"/>
  <c r="L147" i="8" s="1"/>
  <c r="N131" i="8"/>
  <c r="K131" i="8" s="1"/>
  <c r="L131" i="8" s="1"/>
  <c r="N115" i="8"/>
  <c r="K115" i="8" s="1"/>
  <c r="L115" i="8" s="1"/>
  <c r="N99" i="8"/>
  <c r="K99" i="8" s="1"/>
  <c r="L99" i="8" s="1"/>
  <c r="N83" i="8"/>
  <c r="K83" i="8" s="1"/>
  <c r="L83" i="8" s="1"/>
  <c r="N67" i="8"/>
  <c r="K67" i="8" s="1"/>
  <c r="L67" i="8" s="1"/>
  <c r="N51" i="8"/>
  <c r="K51" i="8" s="1"/>
  <c r="L51" i="8" s="1"/>
  <c r="N35" i="8"/>
  <c r="K35" i="8" s="1"/>
  <c r="L35" i="8" s="1"/>
  <c r="N18" i="8"/>
  <c r="K18" i="8" s="1"/>
  <c r="L18" i="8" s="1"/>
  <c r="N685" i="8"/>
  <c r="K685" i="8" s="1"/>
  <c r="L685" i="8" s="1"/>
  <c r="N653" i="8"/>
  <c r="K653" i="8" s="1"/>
  <c r="L653" i="8" s="1"/>
  <c r="N621" i="8"/>
  <c r="K621" i="8" s="1"/>
  <c r="L621" i="8" s="1"/>
  <c r="N589" i="8"/>
  <c r="K589" i="8" s="1"/>
  <c r="L589" i="8" s="1"/>
  <c r="N557" i="8"/>
  <c r="K557" i="8" s="1"/>
  <c r="L557" i="8" s="1"/>
  <c r="N525" i="8"/>
  <c r="K525" i="8" s="1"/>
  <c r="L525" i="8" s="1"/>
  <c r="N493" i="8"/>
  <c r="K493" i="8" s="1"/>
  <c r="L493" i="8" s="1"/>
  <c r="N461" i="8"/>
  <c r="K461" i="8" s="1"/>
  <c r="L461" i="8" s="1"/>
  <c r="N429" i="8"/>
  <c r="K429" i="8" s="1"/>
  <c r="L429" i="8" s="1"/>
  <c r="N397" i="8"/>
  <c r="K397" i="8" s="1"/>
  <c r="L397" i="8" s="1"/>
  <c r="N365" i="8"/>
  <c r="K365" i="8" s="1"/>
  <c r="L365" i="8" s="1"/>
  <c r="N333" i="8"/>
  <c r="K333" i="8" s="1"/>
  <c r="L333" i="8" s="1"/>
  <c r="N301" i="8"/>
  <c r="K301" i="8" s="1"/>
  <c r="L301" i="8" s="1"/>
  <c r="N273" i="8"/>
  <c r="K273" i="8" s="1"/>
  <c r="L273" i="8" s="1"/>
  <c r="N237" i="8"/>
  <c r="K237" i="8" s="1"/>
  <c r="L237" i="8" s="1"/>
  <c r="N205" i="8"/>
  <c r="K205" i="8" s="1"/>
  <c r="L205" i="8" s="1"/>
  <c r="N736" i="8"/>
  <c r="K736" i="8" s="1"/>
  <c r="L736" i="8" s="1"/>
  <c r="N720" i="8"/>
  <c r="K720" i="8" s="1"/>
  <c r="L720" i="8" s="1"/>
  <c r="N704" i="8"/>
  <c r="K704" i="8" s="1"/>
  <c r="L704" i="8" s="1"/>
  <c r="N688" i="8"/>
  <c r="K688" i="8" s="1"/>
  <c r="L688" i="8" s="1"/>
  <c r="N672" i="8"/>
  <c r="K672" i="8" s="1"/>
  <c r="L672" i="8" s="1"/>
  <c r="N656" i="8"/>
  <c r="K656" i="8" s="1"/>
  <c r="L656" i="8" s="1"/>
  <c r="N640" i="8"/>
  <c r="K640" i="8" s="1"/>
  <c r="L640" i="8" s="1"/>
  <c r="N624" i="8"/>
  <c r="K624" i="8" s="1"/>
  <c r="L624" i="8" s="1"/>
  <c r="N608" i="8"/>
  <c r="K608" i="8" s="1"/>
  <c r="L608" i="8" s="1"/>
  <c r="N592" i="8"/>
  <c r="K592" i="8" s="1"/>
  <c r="L592" i="8" s="1"/>
  <c r="N576" i="8"/>
  <c r="K576" i="8" s="1"/>
  <c r="L576" i="8" s="1"/>
  <c r="N560" i="8"/>
  <c r="K560" i="8" s="1"/>
  <c r="L560" i="8" s="1"/>
  <c r="N544" i="8"/>
  <c r="K544" i="8" s="1"/>
  <c r="L544" i="8" s="1"/>
  <c r="N528" i="8"/>
  <c r="K528" i="8" s="1"/>
  <c r="L528" i="8" s="1"/>
  <c r="N512" i="8"/>
  <c r="K512" i="8" s="1"/>
  <c r="L512" i="8" s="1"/>
  <c r="N496" i="8"/>
  <c r="K496" i="8" s="1"/>
  <c r="L496" i="8" s="1"/>
  <c r="N480" i="8"/>
  <c r="K480" i="8" s="1"/>
  <c r="L480" i="8" s="1"/>
  <c r="N464" i="8"/>
  <c r="K464" i="8" s="1"/>
  <c r="L464" i="8" s="1"/>
  <c r="N448" i="8"/>
  <c r="K448" i="8" s="1"/>
  <c r="L448" i="8" s="1"/>
  <c r="N432" i="8"/>
  <c r="K432" i="8" s="1"/>
  <c r="L432" i="8" s="1"/>
  <c r="N416" i="8"/>
  <c r="K416" i="8" s="1"/>
  <c r="L416" i="8" s="1"/>
  <c r="N400" i="8"/>
  <c r="K400" i="8" s="1"/>
  <c r="L400" i="8" s="1"/>
  <c r="N384" i="8"/>
  <c r="K384" i="8" s="1"/>
  <c r="L384" i="8" s="1"/>
  <c r="N368" i="8"/>
  <c r="K368" i="8" s="1"/>
  <c r="L368" i="8" s="1"/>
  <c r="N352" i="8"/>
  <c r="K352" i="8" s="1"/>
  <c r="L352" i="8" s="1"/>
  <c r="N336" i="8"/>
  <c r="K336" i="8" s="1"/>
  <c r="L336" i="8" s="1"/>
  <c r="N320" i="8"/>
  <c r="K320" i="8" s="1"/>
  <c r="L320" i="8" s="1"/>
  <c r="N304" i="8"/>
  <c r="K304" i="8" s="1"/>
  <c r="L304" i="8" s="1"/>
  <c r="N288" i="8"/>
  <c r="K288" i="8" s="1"/>
  <c r="L288" i="8" s="1"/>
  <c r="N272" i="8"/>
  <c r="K272" i="8" s="1"/>
  <c r="L272" i="8" s="1"/>
  <c r="N256" i="8"/>
  <c r="K256" i="8" s="1"/>
  <c r="L256" i="8" s="1"/>
  <c r="N240" i="8"/>
  <c r="K240" i="8" s="1"/>
  <c r="L240" i="8" s="1"/>
  <c r="N224" i="8"/>
  <c r="K224" i="8" s="1"/>
  <c r="L224" i="8" s="1"/>
  <c r="N208" i="8"/>
  <c r="K208" i="8" s="1"/>
  <c r="L208" i="8" s="1"/>
  <c r="N192" i="8"/>
  <c r="K192" i="8" s="1"/>
  <c r="L192" i="8" s="1"/>
  <c r="N176" i="8"/>
  <c r="K176" i="8" s="1"/>
  <c r="L176" i="8" s="1"/>
  <c r="N160" i="8"/>
  <c r="K160" i="8" s="1"/>
  <c r="L160" i="8" s="1"/>
  <c r="N144" i="8"/>
  <c r="K144" i="8" s="1"/>
  <c r="L144" i="8" s="1"/>
  <c r="N128" i="8"/>
  <c r="K128" i="8" s="1"/>
  <c r="L128" i="8" s="1"/>
  <c r="N112" i="8"/>
  <c r="K112" i="8" s="1"/>
  <c r="L112" i="8" s="1"/>
  <c r="N96" i="8"/>
  <c r="K96" i="8" s="1"/>
  <c r="L96" i="8" s="1"/>
  <c r="N80" i="8"/>
  <c r="K80" i="8" s="1"/>
  <c r="L80" i="8" s="1"/>
  <c r="N64" i="8"/>
  <c r="K64" i="8" s="1"/>
  <c r="L64" i="8" s="1"/>
  <c r="N48" i="8"/>
  <c r="K48" i="8" s="1"/>
  <c r="L48" i="8" s="1"/>
  <c r="K16" i="16" s="1"/>
  <c r="N32" i="8"/>
  <c r="K32" i="8" s="1"/>
  <c r="L32" i="8" s="1"/>
  <c r="N745" i="8"/>
  <c r="K745" i="8" s="1"/>
  <c r="L745" i="8" s="1"/>
  <c r="N729" i="8"/>
  <c r="K729" i="8" s="1"/>
  <c r="L729" i="8" s="1"/>
  <c r="N713" i="8"/>
  <c r="K713" i="8" s="1"/>
  <c r="L713" i="8" s="1"/>
  <c r="N689" i="8"/>
  <c r="K689" i="8" s="1"/>
  <c r="L689" i="8" s="1"/>
  <c r="N657" i="8"/>
  <c r="K657" i="8" s="1"/>
  <c r="L657" i="8" s="1"/>
  <c r="N625" i="8"/>
  <c r="K625" i="8" s="1"/>
  <c r="L625" i="8" s="1"/>
  <c r="N593" i="8"/>
  <c r="K593" i="8" s="1"/>
  <c r="L593" i="8" s="1"/>
  <c r="N561" i="8"/>
  <c r="K561" i="8" s="1"/>
  <c r="L561" i="8" s="1"/>
  <c r="N529" i="8"/>
  <c r="K529" i="8" s="1"/>
  <c r="L529" i="8" s="1"/>
  <c r="N497" i="8"/>
  <c r="K497" i="8" s="1"/>
  <c r="L497" i="8" s="1"/>
  <c r="N465" i="8"/>
  <c r="K465" i="8" s="1"/>
  <c r="L465" i="8" s="1"/>
  <c r="N433" i="8"/>
  <c r="K433" i="8" s="1"/>
  <c r="L433" i="8" s="1"/>
  <c r="N401" i="8"/>
  <c r="K401" i="8" s="1"/>
  <c r="L401" i="8" s="1"/>
  <c r="N369" i="8"/>
  <c r="K369" i="8" s="1"/>
  <c r="L369" i="8" s="1"/>
  <c r="N337" i="8"/>
  <c r="K337" i="8" s="1"/>
  <c r="L337" i="8" s="1"/>
  <c r="N305" i="8"/>
  <c r="K305" i="8" s="1"/>
  <c r="L305" i="8" s="1"/>
  <c r="N269" i="8"/>
  <c r="K269" i="8" s="1"/>
  <c r="L269" i="8" s="1"/>
  <c r="N241" i="8"/>
  <c r="K241" i="8" s="1"/>
  <c r="L241" i="8" s="1"/>
  <c r="N209" i="8"/>
  <c r="K209" i="8" s="1"/>
  <c r="L209" i="8" s="1"/>
  <c r="N77" i="8"/>
  <c r="K77" i="8" s="1"/>
  <c r="L77" i="8" s="1"/>
  <c r="N370" i="8"/>
  <c r="K370" i="8" s="1"/>
  <c r="L370" i="8" s="1"/>
  <c r="N731" i="8"/>
  <c r="K731" i="8" s="1"/>
  <c r="L731" i="8" s="1"/>
  <c r="N667" i="8"/>
  <c r="K667" i="8" s="1"/>
  <c r="L667" i="8" s="1"/>
  <c r="N635" i="8"/>
  <c r="K635" i="8" s="1"/>
  <c r="L635" i="8" s="1"/>
  <c r="N603" i="8"/>
  <c r="K603" i="8" s="1"/>
  <c r="L603" i="8" s="1"/>
  <c r="N571" i="8"/>
  <c r="K571" i="8" s="1"/>
  <c r="L571" i="8" s="1"/>
  <c r="N539" i="8"/>
  <c r="K539" i="8" s="1"/>
  <c r="L539" i="8" s="1"/>
  <c r="N507" i="8"/>
  <c r="K507" i="8" s="1"/>
  <c r="L507" i="8" s="1"/>
  <c r="N459" i="8"/>
  <c r="K459" i="8" s="1"/>
  <c r="L459" i="8" s="1"/>
  <c r="N427" i="8"/>
  <c r="K427" i="8" s="1"/>
  <c r="L427" i="8" s="1"/>
  <c r="N395" i="8"/>
  <c r="K395" i="8" s="1"/>
  <c r="L395" i="8" s="1"/>
  <c r="N363" i="8"/>
  <c r="K363" i="8" s="1"/>
  <c r="L363" i="8" s="1"/>
  <c r="N331" i="8"/>
  <c r="K331" i="8" s="1"/>
  <c r="L331" i="8" s="1"/>
  <c r="N299" i="8"/>
  <c r="K299" i="8" s="1"/>
  <c r="L299" i="8" s="1"/>
  <c r="N267" i="8"/>
  <c r="K267" i="8" s="1"/>
  <c r="L267" i="8" s="1"/>
  <c r="N219" i="8"/>
  <c r="K219" i="8" s="1"/>
  <c r="L219" i="8" s="1"/>
  <c r="N187" i="8"/>
  <c r="K187" i="8" s="1"/>
  <c r="L187" i="8" s="1"/>
  <c r="N155" i="8"/>
  <c r="K155" i="8" s="1"/>
  <c r="L155" i="8" s="1"/>
  <c r="N123" i="8"/>
  <c r="K123" i="8" s="1"/>
  <c r="L123" i="8" s="1"/>
  <c r="N91" i="8"/>
  <c r="K91" i="8" s="1"/>
  <c r="L91" i="8" s="1"/>
  <c r="N318" i="8"/>
  <c r="K318" i="8" s="1"/>
  <c r="L318" i="8" s="1"/>
  <c r="N157" i="8"/>
  <c r="K157" i="8" s="1"/>
  <c r="L157" i="8" s="1"/>
  <c r="N366" i="8"/>
  <c r="K366" i="8" s="1"/>
  <c r="L366" i="8" s="1"/>
  <c r="N622" i="8"/>
  <c r="K622" i="8" s="1"/>
  <c r="L622" i="8" s="1"/>
  <c r="N85" i="8"/>
  <c r="K85" i="8" s="1"/>
  <c r="L85" i="8" s="1"/>
  <c r="N222" i="8"/>
  <c r="K222" i="8" s="1"/>
  <c r="L222" i="8" s="1"/>
  <c r="N478" i="8"/>
  <c r="K478" i="8" s="1"/>
  <c r="L478" i="8" s="1"/>
  <c r="N29" i="8"/>
  <c r="K29" i="8" s="1"/>
  <c r="L29" i="8" s="1"/>
  <c r="N109" i="8"/>
  <c r="K109" i="8" s="1"/>
  <c r="L109" i="8" s="1"/>
  <c r="K18" i="16" s="1"/>
  <c r="N270" i="8"/>
  <c r="K270" i="8" s="1"/>
  <c r="L270" i="8" s="1"/>
  <c r="N526" i="8"/>
  <c r="K526" i="8" s="1"/>
  <c r="L526" i="8" s="1"/>
  <c r="N742" i="8"/>
  <c r="K742" i="8" s="1"/>
  <c r="L742" i="8" s="1"/>
  <c r="N66" i="8"/>
  <c r="K66" i="8" s="1"/>
  <c r="L66" i="8" s="1"/>
  <c r="N122" i="8"/>
  <c r="K122" i="8" s="1"/>
  <c r="L122" i="8" s="1"/>
  <c r="N178" i="8"/>
  <c r="K178" i="8" s="1"/>
  <c r="L178" i="8" s="1"/>
  <c r="N266" i="8"/>
  <c r="K266" i="8" s="1"/>
  <c r="L266" i="8" s="1"/>
  <c r="N394" i="8"/>
  <c r="K394" i="8" s="1"/>
  <c r="L394" i="8" s="1"/>
  <c r="N506" i="8"/>
  <c r="K506" i="8" s="1"/>
  <c r="L506" i="8" s="1"/>
  <c r="N650" i="8"/>
  <c r="K650" i="8" s="1"/>
  <c r="L650" i="8" s="1"/>
  <c r="N49" i="8"/>
  <c r="K49" i="8" s="1"/>
  <c r="L49" i="8" s="1"/>
  <c r="N81" i="8"/>
  <c r="K81" i="8" s="1"/>
  <c r="L81" i="8" s="1"/>
  <c r="N113" i="8"/>
  <c r="K113" i="8" s="1"/>
  <c r="L113" i="8" s="1"/>
  <c r="N145" i="8"/>
  <c r="K145" i="8" s="1"/>
  <c r="L145" i="8" s="1"/>
  <c r="N177" i="8"/>
  <c r="K177" i="8" s="1"/>
  <c r="L177" i="8" s="1"/>
  <c r="N214" i="8"/>
  <c r="K214" i="8" s="1"/>
  <c r="L214" i="8" s="1"/>
  <c r="N278" i="8"/>
  <c r="K278" i="8" s="1"/>
  <c r="L278" i="8" s="1"/>
  <c r="N342" i="8"/>
  <c r="K342" i="8" s="1"/>
  <c r="L342" i="8" s="1"/>
  <c r="N406" i="8"/>
  <c r="K406" i="8" s="1"/>
  <c r="L406" i="8" s="1"/>
  <c r="N470" i="8"/>
  <c r="K470" i="8" s="1"/>
  <c r="L470" i="8" s="1"/>
  <c r="N534" i="8"/>
  <c r="K534" i="8" s="1"/>
  <c r="L534" i="8" s="1"/>
  <c r="N598" i="8"/>
  <c r="K598" i="8" s="1"/>
  <c r="L598" i="8" s="1"/>
  <c r="N662" i="8"/>
  <c r="K662" i="8" s="1"/>
  <c r="L662" i="8" s="1"/>
  <c r="N730" i="8"/>
  <c r="K730" i="8" s="1"/>
  <c r="L730" i="8" s="1"/>
  <c r="N74" i="8"/>
  <c r="K74" i="8" s="1"/>
  <c r="L74" i="8" s="1"/>
  <c r="N154" i="8"/>
  <c r="K154" i="8" s="1"/>
  <c r="L154" i="8" s="1"/>
  <c r="N234" i="8"/>
  <c r="K234" i="8" s="1"/>
  <c r="L234" i="8" s="1"/>
  <c r="N378" i="8"/>
  <c r="K378" i="8" s="1"/>
  <c r="L378" i="8" s="1"/>
  <c r="N522" i="8"/>
  <c r="K522" i="8" s="1"/>
  <c r="L522" i="8" s="1"/>
  <c r="N634" i="8"/>
  <c r="K634" i="8" s="1"/>
  <c r="L634" i="8" s="1"/>
  <c r="N714" i="8"/>
  <c r="K714" i="8" s="1"/>
  <c r="L714" i="8" s="1"/>
  <c r="N38" i="8"/>
  <c r="K38" i="8" s="1"/>
  <c r="L38" i="8" s="1"/>
  <c r="N70" i="8"/>
  <c r="K70" i="8" s="1"/>
  <c r="L70" i="8" s="1"/>
  <c r="N102" i="8"/>
  <c r="K102" i="8" s="1"/>
  <c r="L102" i="8" s="1"/>
  <c r="N134" i="8"/>
  <c r="K134" i="8" s="1"/>
  <c r="L134" i="8" s="1"/>
  <c r="N166" i="8"/>
  <c r="K166" i="8" s="1"/>
  <c r="L166" i="8" s="1"/>
  <c r="N198" i="8"/>
  <c r="K198" i="8" s="1"/>
  <c r="L198" i="8" s="1"/>
  <c r="N258" i="8"/>
  <c r="K258" i="8" s="1"/>
  <c r="L258" i="8" s="1"/>
  <c r="N322" i="8"/>
  <c r="K322" i="8" s="1"/>
  <c r="L322" i="8" s="1"/>
  <c r="N386" i="8"/>
  <c r="K386" i="8" s="1"/>
  <c r="L386" i="8" s="1"/>
  <c r="N450" i="8"/>
  <c r="K450" i="8" s="1"/>
  <c r="L450" i="8" s="1"/>
  <c r="N514" i="8"/>
  <c r="K514" i="8" s="1"/>
  <c r="L514" i="8" s="1"/>
  <c r="N578" i="8"/>
  <c r="K578" i="8" s="1"/>
  <c r="L578" i="8" s="1"/>
  <c r="N642" i="8"/>
  <c r="K642" i="8" s="1"/>
  <c r="L642" i="8" s="1"/>
  <c r="N706" i="8"/>
  <c r="K706" i="8" s="1"/>
  <c r="L706" i="8" s="1"/>
  <c r="N743" i="8"/>
  <c r="K743" i="8" s="1"/>
  <c r="L743" i="8" s="1"/>
  <c r="N727" i="8"/>
  <c r="K727" i="8" s="1"/>
  <c r="L727" i="8" s="1"/>
  <c r="N711" i="8"/>
  <c r="K711" i="8" s="1"/>
  <c r="L711" i="8" s="1"/>
  <c r="N695" i="8"/>
  <c r="K695" i="8" s="1"/>
  <c r="L695" i="8" s="1"/>
  <c r="N679" i="8"/>
  <c r="K679" i="8" s="1"/>
  <c r="L679" i="8" s="1"/>
  <c r="N663" i="8"/>
  <c r="K663" i="8" s="1"/>
  <c r="L663" i="8" s="1"/>
  <c r="N647" i="8"/>
  <c r="K647" i="8" s="1"/>
  <c r="L647" i="8" s="1"/>
  <c r="N631" i="8"/>
  <c r="K631" i="8" s="1"/>
  <c r="L631" i="8" s="1"/>
  <c r="N615" i="8"/>
  <c r="K615" i="8" s="1"/>
  <c r="L615" i="8" s="1"/>
  <c r="N599" i="8"/>
  <c r="K599" i="8" s="1"/>
  <c r="L599" i="8" s="1"/>
  <c r="N583" i="8"/>
  <c r="K583" i="8" s="1"/>
  <c r="L583" i="8" s="1"/>
  <c r="N567" i="8"/>
  <c r="K567" i="8" s="1"/>
  <c r="L567" i="8" s="1"/>
  <c r="N551" i="8"/>
  <c r="K551" i="8" s="1"/>
  <c r="L551" i="8" s="1"/>
  <c r="N535" i="8"/>
  <c r="K535" i="8" s="1"/>
  <c r="L535" i="8" s="1"/>
  <c r="N519" i="8"/>
  <c r="K519" i="8" s="1"/>
  <c r="L519" i="8" s="1"/>
  <c r="N503" i="8"/>
  <c r="K503" i="8" s="1"/>
  <c r="L503" i="8" s="1"/>
  <c r="N487" i="8"/>
  <c r="K487" i="8" s="1"/>
  <c r="L487" i="8" s="1"/>
  <c r="N471" i="8"/>
  <c r="K471" i="8" s="1"/>
  <c r="L471" i="8" s="1"/>
  <c r="N455" i="8"/>
  <c r="K455" i="8" s="1"/>
  <c r="L455" i="8" s="1"/>
  <c r="N439" i="8"/>
  <c r="K439" i="8" s="1"/>
  <c r="L439" i="8" s="1"/>
  <c r="N423" i="8"/>
  <c r="K423" i="8" s="1"/>
  <c r="L423" i="8" s="1"/>
  <c r="N407" i="8"/>
  <c r="K407" i="8" s="1"/>
  <c r="L407" i="8" s="1"/>
  <c r="N391" i="8"/>
  <c r="K391" i="8" s="1"/>
  <c r="L391" i="8" s="1"/>
  <c r="N375" i="8"/>
  <c r="K375" i="8" s="1"/>
  <c r="L375" i="8" s="1"/>
  <c r="N359" i="8"/>
  <c r="K359" i="8" s="1"/>
  <c r="L359" i="8" s="1"/>
  <c r="N343" i="8"/>
  <c r="K343" i="8" s="1"/>
  <c r="L343" i="8" s="1"/>
  <c r="N327" i="8"/>
  <c r="K327" i="8" s="1"/>
  <c r="L327" i="8" s="1"/>
  <c r="N311" i="8"/>
  <c r="K311" i="8" s="1"/>
  <c r="L311" i="8" s="1"/>
  <c r="N295" i="8"/>
  <c r="K295" i="8" s="1"/>
  <c r="L295" i="8" s="1"/>
  <c r="N279" i="8"/>
  <c r="K279" i="8" s="1"/>
  <c r="L279" i="8" s="1"/>
  <c r="N263" i="8"/>
  <c r="K263" i="8" s="1"/>
  <c r="L263" i="8" s="1"/>
  <c r="K23" i="16" s="1"/>
  <c r="N247" i="8"/>
  <c r="K247" i="8" s="1"/>
  <c r="L247" i="8" s="1"/>
  <c r="N231" i="8"/>
  <c r="K231" i="8" s="1"/>
  <c r="L231" i="8" s="1"/>
  <c r="N215" i="8"/>
  <c r="K215" i="8" s="1"/>
  <c r="L215" i="8" s="1"/>
  <c r="N199" i="8"/>
  <c r="K199" i="8" s="1"/>
  <c r="L199" i="8" s="1"/>
  <c r="N183" i="8"/>
  <c r="K183" i="8" s="1"/>
  <c r="L183" i="8" s="1"/>
  <c r="N167" i="8"/>
  <c r="K167" i="8" s="1"/>
  <c r="L167" i="8" s="1"/>
  <c r="N151" i="8"/>
  <c r="K151" i="8" s="1"/>
  <c r="L151" i="8" s="1"/>
  <c r="N135" i="8"/>
  <c r="K135" i="8" s="1"/>
  <c r="L135" i="8" s="1"/>
  <c r="N119" i="8"/>
  <c r="K119" i="8" s="1"/>
  <c r="L119" i="8" s="1"/>
  <c r="N103" i="8"/>
  <c r="K103" i="8" s="1"/>
  <c r="L103" i="8" s="1"/>
  <c r="N87" i="8"/>
  <c r="K87" i="8" s="1"/>
  <c r="L87" i="8" s="1"/>
  <c r="N71" i="8"/>
  <c r="K71" i="8" s="1"/>
  <c r="L71" i="8" s="1"/>
  <c r="N55" i="8"/>
  <c r="K55" i="8" s="1"/>
  <c r="L55" i="8" s="1"/>
  <c r="N39" i="8"/>
  <c r="K39" i="8" s="1"/>
  <c r="L39" i="8" s="1"/>
  <c r="N23" i="8"/>
  <c r="K23" i="8" s="1"/>
  <c r="L23" i="8" s="1"/>
  <c r="N693" i="8"/>
  <c r="K693" i="8" s="1"/>
  <c r="L693" i="8" s="1"/>
  <c r="N661" i="8"/>
  <c r="K661" i="8" s="1"/>
  <c r="L661" i="8" s="1"/>
  <c r="N629" i="8"/>
  <c r="K629" i="8" s="1"/>
  <c r="L629" i="8" s="1"/>
  <c r="N597" i="8"/>
  <c r="K597" i="8" s="1"/>
  <c r="L597" i="8" s="1"/>
  <c r="N565" i="8"/>
  <c r="K565" i="8" s="1"/>
  <c r="L565" i="8" s="1"/>
  <c r="N533" i="8"/>
  <c r="K533" i="8" s="1"/>
  <c r="L533" i="8" s="1"/>
  <c r="N501" i="8"/>
  <c r="K501" i="8" s="1"/>
  <c r="L501" i="8" s="1"/>
  <c r="N469" i="8"/>
  <c r="K469" i="8" s="1"/>
  <c r="L469" i="8" s="1"/>
  <c r="N437" i="8"/>
  <c r="K437" i="8" s="1"/>
  <c r="L437" i="8" s="1"/>
  <c r="N405" i="8"/>
  <c r="K405" i="8" s="1"/>
  <c r="L405" i="8" s="1"/>
  <c r="N373" i="8"/>
  <c r="K373" i="8" s="1"/>
  <c r="L373" i="8" s="1"/>
  <c r="N341" i="8"/>
  <c r="K341" i="8" s="1"/>
  <c r="L341" i="8" s="1"/>
  <c r="N309" i="8"/>
  <c r="K309" i="8" s="1"/>
  <c r="L309" i="8" s="1"/>
  <c r="N281" i="8"/>
  <c r="K281" i="8" s="1"/>
  <c r="L281" i="8" s="1"/>
  <c r="N245" i="8"/>
  <c r="K245" i="8" s="1"/>
  <c r="L245" i="8" s="1"/>
  <c r="N213" i="8"/>
  <c r="K213" i="8" s="1"/>
  <c r="L213" i="8" s="1"/>
  <c r="N740" i="8"/>
  <c r="K740" i="8" s="1"/>
  <c r="L740" i="8" s="1"/>
  <c r="N724" i="8"/>
  <c r="K724" i="8" s="1"/>
  <c r="L724" i="8" s="1"/>
  <c r="N708" i="8"/>
  <c r="K708" i="8" s="1"/>
  <c r="L708" i="8" s="1"/>
  <c r="N692" i="8"/>
  <c r="K692" i="8" s="1"/>
  <c r="L692" i="8" s="1"/>
  <c r="N676" i="8"/>
  <c r="K676" i="8" s="1"/>
  <c r="L676" i="8" s="1"/>
  <c r="N660" i="8"/>
  <c r="K660" i="8" s="1"/>
  <c r="L660" i="8" s="1"/>
  <c r="N644" i="8"/>
  <c r="K644" i="8" s="1"/>
  <c r="L644" i="8" s="1"/>
  <c r="N628" i="8"/>
  <c r="K628" i="8" s="1"/>
  <c r="L628" i="8" s="1"/>
  <c r="N612" i="8"/>
  <c r="K612" i="8" s="1"/>
  <c r="L612" i="8" s="1"/>
  <c r="N596" i="8"/>
  <c r="K596" i="8" s="1"/>
  <c r="L596" i="8" s="1"/>
  <c r="N580" i="8"/>
  <c r="K580" i="8" s="1"/>
  <c r="L580" i="8" s="1"/>
  <c r="N564" i="8"/>
  <c r="K564" i="8" s="1"/>
  <c r="L564" i="8" s="1"/>
  <c r="N548" i="8"/>
  <c r="K548" i="8" s="1"/>
  <c r="L548" i="8" s="1"/>
  <c r="N532" i="8"/>
  <c r="K532" i="8" s="1"/>
  <c r="L532" i="8" s="1"/>
  <c r="N516" i="8"/>
  <c r="K516" i="8" s="1"/>
  <c r="L516" i="8" s="1"/>
  <c r="N500" i="8"/>
  <c r="K500" i="8" s="1"/>
  <c r="L500" i="8" s="1"/>
  <c r="N484" i="8"/>
  <c r="K484" i="8" s="1"/>
  <c r="L484" i="8" s="1"/>
  <c r="N468" i="8"/>
  <c r="K468" i="8" s="1"/>
  <c r="L468" i="8" s="1"/>
  <c r="N452" i="8"/>
  <c r="K452" i="8" s="1"/>
  <c r="L452" i="8" s="1"/>
  <c r="N436" i="8"/>
  <c r="K436" i="8" s="1"/>
  <c r="L436" i="8" s="1"/>
  <c r="N420" i="8"/>
  <c r="K420" i="8" s="1"/>
  <c r="L420" i="8" s="1"/>
  <c r="N404" i="8"/>
  <c r="K404" i="8" s="1"/>
  <c r="L404" i="8" s="1"/>
  <c r="N388" i="8"/>
  <c r="K388" i="8" s="1"/>
  <c r="L388" i="8" s="1"/>
  <c r="N372" i="8"/>
  <c r="K372" i="8" s="1"/>
  <c r="L372" i="8" s="1"/>
  <c r="N356" i="8"/>
  <c r="K356" i="8" s="1"/>
  <c r="L356" i="8" s="1"/>
  <c r="N340" i="8"/>
  <c r="K340" i="8" s="1"/>
  <c r="L340" i="8" s="1"/>
  <c r="N324" i="8"/>
  <c r="K324" i="8" s="1"/>
  <c r="L324" i="8" s="1"/>
  <c r="N308" i="8"/>
  <c r="K308" i="8" s="1"/>
  <c r="L308" i="8" s="1"/>
  <c r="N292" i="8"/>
  <c r="K292" i="8" s="1"/>
  <c r="L292" i="8" s="1"/>
  <c r="N276" i="8"/>
  <c r="K276" i="8" s="1"/>
  <c r="L276" i="8" s="1"/>
  <c r="N260" i="8"/>
  <c r="K260" i="8" s="1"/>
  <c r="L260" i="8" s="1"/>
  <c r="N244" i="8"/>
  <c r="K244" i="8" s="1"/>
  <c r="L244" i="8" s="1"/>
  <c r="N228" i="8"/>
  <c r="K228" i="8" s="1"/>
  <c r="L228" i="8" s="1"/>
  <c r="N212" i="8"/>
  <c r="K212" i="8" s="1"/>
  <c r="L212" i="8" s="1"/>
  <c r="N196" i="8"/>
  <c r="K196" i="8" s="1"/>
  <c r="L196" i="8" s="1"/>
  <c r="N180" i="8"/>
  <c r="K180" i="8" s="1"/>
  <c r="L180" i="8" s="1"/>
  <c r="N164" i="8"/>
  <c r="K164" i="8" s="1"/>
  <c r="L164" i="8" s="1"/>
  <c r="N148" i="8"/>
  <c r="K148" i="8" s="1"/>
  <c r="L148" i="8" s="1"/>
  <c r="N132" i="8"/>
  <c r="K132" i="8" s="1"/>
  <c r="L132" i="8" s="1"/>
  <c r="N116" i="8"/>
  <c r="K116" i="8" s="1"/>
  <c r="L116" i="8" s="1"/>
  <c r="N100" i="8"/>
  <c r="K100" i="8" s="1"/>
  <c r="L100" i="8" s="1"/>
  <c r="N84" i="8"/>
  <c r="K84" i="8" s="1"/>
  <c r="L84" i="8" s="1"/>
  <c r="N68" i="8"/>
  <c r="K68" i="8" s="1"/>
  <c r="L68" i="8" s="1"/>
  <c r="N52" i="8"/>
  <c r="K52" i="8" s="1"/>
  <c r="L52" i="8" s="1"/>
  <c r="N36" i="8"/>
  <c r="K36" i="8" s="1"/>
  <c r="L36" i="8" s="1"/>
  <c r="N20" i="8"/>
  <c r="K20" i="8" s="1"/>
  <c r="L20" i="8" s="1"/>
  <c r="N733" i="8"/>
  <c r="K733" i="8" s="1"/>
  <c r="L733" i="8" s="1"/>
  <c r="N717" i="8"/>
  <c r="K717" i="8" s="1"/>
  <c r="L717" i="8" s="1"/>
  <c r="N697" i="8"/>
  <c r="K697" i="8" s="1"/>
  <c r="L697" i="8" s="1"/>
  <c r="N665" i="8"/>
  <c r="K665" i="8" s="1"/>
  <c r="L665" i="8" s="1"/>
  <c r="N633" i="8"/>
  <c r="K633" i="8" s="1"/>
  <c r="L633" i="8" s="1"/>
  <c r="N601" i="8"/>
  <c r="K601" i="8" s="1"/>
  <c r="L601" i="8" s="1"/>
  <c r="N569" i="8"/>
  <c r="K569" i="8" s="1"/>
  <c r="L569" i="8" s="1"/>
  <c r="N537" i="8"/>
  <c r="K537" i="8" s="1"/>
  <c r="L537" i="8" s="1"/>
  <c r="N505" i="8"/>
  <c r="K505" i="8" s="1"/>
  <c r="L505" i="8" s="1"/>
  <c r="N473" i="8"/>
  <c r="K473" i="8" s="1"/>
  <c r="L473" i="8" s="1"/>
  <c r="N441" i="8"/>
  <c r="K441" i="8" s="1"/>
  <c r="L441" i="8" s="1"/>
  <c r="N409" i="8"/>
  <c r="K409" i="8" s="1"/>
  <c r="L409" i="8" s="1"/>
  <c r="N377" i="8"/>
  <c r="K377" i="8" s="1"/>
  <c r="L377" i="8" s="1"/>
  <c r="N345" i="8"/>
  <c r="K345" i="8" s="1"/>
  <c r="L345" i="8" s="1"/>
  <c r="N313" i="8"/>
  <c r="K313" i="8" s="1"/>
  <c r="L313" i="8" s="1"/>
  <c r="N277" i="8"/>
  <c r="K277" i="8" s="1"/>
  <c r="L277" i="8" s="1"/>
  <c r="N249" i="8"/>
  <c r="K249" i="8" s="1"/>
  <c r="L249" i="8" s="1"/>
  <c r="N217" i="8"/>
  <c r="K217" i="8" s="1"/>
  <c r="L217" i="8" s="1"/>
  <c r="N750" i="8"/>
  <c r="K750" i="8" s="1"/>
  <c r="L750" i="8" s="1"/>
  <c r="K40" i="16" s="1"/>
  <c r="N133" i="8"/>
  <c r="K133" i="8" s="1"/>
  <c r="L133" i="8" s="1"/>
  <c r="N125" i="8"/>
  <c r="K125" i="8" s="1"/>
  <c r="L125" i="8" s="1"/>
  <c r="N302" i="8"/>
  <c r="K302" i="8" s="1"/>
  <c r="L302" i="8" s="1"/>
  <c r="N558" i="8"/>
  <c r="K558" i="8" s="1"/>
  <c r="L558" i="8" s="1"/>
  <c r="N53" i="8"/>
  <c r="K53" i="8" s="1"/>
  <c r="L53" i="8" s="1"/>
  <c r="N181" i="8"/>
  <c r="K181" i="8" s="1"/>
  <c r="L181" i="8" s="1"/>
  <c r="N414" i="8"/>
  <c r="K414" i="8" s="1"/>
  <c r="L414" i="8" s="1"/>
  <c r="N670" i="8"/>
  <c r="K670" i="8" s="1"/>
  <c r="L670" i="8" s="1"/>
  <c r="N206" i="8"/>
  <c r="K206" i="8" s="1"/>
  <c r="L206" i="8" s="1"/>
  <c r="N462" i="8"/>
  <c r="K462" i="8" s="1"/>
  <c r="L462" i="8" s="1"/>
  <c r="N722" i="8"/>
  <c r="K722" i="8" s="1"/>
  <c r="L722" i="8" s="1"/>
  <c r="N58" i="8"/>
  <c r="K58" i="8" s="1"/>
  <c r="L58" i="8" s="1"/>
  <c r="N106" i="8"/>
  <c r="K106" i="8" s="1"/>
  <c r="L106" i="8" s="1"/>
  <c r="N162" i="8"/>
  <c r="K162" i="8" s="1"/>
  <c r="L162" i="8" s="1"/>
  <c r="N250" i="8"/>
  <c r="K250" i="8" s="1"/>
  <c r="L250" i="8" s="1"/>
  <c r="N346" i="8"/>
  <c r="K346" i="8" s="1"/>
  <c r="L346" i="8" s="1"/>
  <c r="N490" i="8"/>
  <c r="K490" i="8" s="1"/>
  <c r="L490" i="8" s="1"/>
  <c r="N618" i="8"/>
  <c r="K618" i="8" s="1"/>
  <c r="L618" i="8" s="1"/>
  <c r="N41" i="8"/>
  <c r="K41" i="8" s="1"/>
  <c r="L41" i="8" s="1"/>
  <c r="N73" i="8"/>
  <c r="K73" i="8" s="1"/>
  <c r="L73" i="8" s="1"/>
  <c r="N105" i="8"/>
  <c r="K105" i="8" s="1"/>
  <c r="L105" i="8" s="1"/>
  <c r="N137" i="8"/>
  <c r="K137" i="8" s="1"/>
  <c r="L137" i="8" s="1"/>
  <c r="N169" i="8"/>
  <c r="K169" i="8" s="1"/>
  <c r="L169" i="8" s="1"/>
  <c r="N201" i="8"/>
  <c r="K201" i="8" s="1"/>
  <c r="L201" i="8" s="1"/>
  <c r="N262" i="8"/>
  <c r="K262" i="8" s="1"/>
  <c r="L262" i="8" s="1"/>
  <c r="N326" i="8"/>
  <c r="K326" i="8" s="1"/>
  <c r="L326" i="8" s="1"/>
  <c r="N390" i="8"/>
  <c r="K390" i="8" s="1"/>
  <c r="L390" i="8" s="1"/>
  <c r="N454" i="8"/>
  <c r="K454" i="8" s="1"/>
  <c r="L454" i="8" s="1"/>
  <c r="N518" i="8"/>
  <c r="K518" i="8" s="1"/>
  <c r="L518" i="8" s="1"/>
  <c r="N582" i="8"/>
  <c r="K582" i="8" s="1"/>
  <c r="L582" i="8" s="1"/>
  <c r="N646" i="8"/>
  <c r="K646" i="8" s="1"/>
  <c r="L646" i="8" s="1"/>
  <c r="N710" i="8"/>
  <c r="K710" i="8" s="1"/>
  <c r="L710" i="8" s="1"/>
  <c r="N50" i="8"/>
  <c r="K50" i="8" s="1"/>
  <c r="L50" i="8" s="1"/>
  <c r="N130" i="8"/>
  <c r="K130" i="8" s="1"/>
  <c r="L130" i="8" s="1"/>
  <c r="N202" i="8"/>
  <c r="K202" i="8" s="1"/>
  <c r="L202" i="8" s="1"/>
  <c r="N362" i="8"/>
  <c r="K362" i="8" s="1"/>
  <c r="L362" i="8" s="1"/>
  <c r="N474" i="8"/>
  <c r="K474" i="8" s="1"/>
  <c r="L474" i="8" s="1"/>
  <c r="N602" i="8"/>
  <c r="K602" i="8" s="1"/>
  <c r="L602" i="8" s="1"/>
  <c r="N698" i="8"/>
  <c r="K698" i="8" s="1"/>
  <c r="L698" i="8" s="1"/>
  <c r="N30" i="8"/>
  <c r="K30" i="8" s="1"/>
  <c r="L30" i="8" s="1"/>
  <c r="N62" i="8"/>
  <c r="K62" i="8" s="1"/>
  <c r="L62" i="8" s="1"/>
  <c r="N94" i="8"/>
  <c r="K94" i="8" s="1"/>
  <c r="L94" i="8" s="1"/>
  <c r="N126" i="8"/>
  <c r="K126" i="8" s="1"/>
  <c r="L126" i="8" s="1"/>
  <c r="N158" i="8"/>
  <c r="K158" i="8" s="1"/>
  <c r="L158" i="8" s="1"/>
  <c r="N190" i="8"/>
  <c r="K190" i="8" s="1"/>
  <c r="L190" i="8" s="1"/>
  <c r="N242" i="8"/>
  <c r="K242" i="8" s="1"/>
  <c r="L242" i="8" s="1"/>
  <c r="N306" i="8"/>
  <c r="K306" i="8" s="1"/>
  <c r="L306" i="8" s="1"/>
  <c r="N434" i="8"/>
  <c r="K434" i="8" s="1"/>
  <c r="L434" i="8" s="1"/>
  <c r="N498" i="8"/>
  <c r="K498" i="8" s="1"/>
  <c r="L498" i="8" s="1"/>
  <c r="N562" i="8"/>
  <c r="K562" i="8" s="1"/>
  <c r="L562" i="8" s="1"/>
  <c r="N626" i="8"/>
  <c r="K626" i="8" s="1"/>
  <c r="L626" i="8" s="1"/>
  <c r="N690" i="8"/>
  <c r="K690" i="8" s="1"/>
  <c r="L690" i="8" s="1"/>
  <c r="N747" i="8"/>
  <c r="K747" i="8" s="1"/>
  <c r="L747" i="8" s="1"/>
  <c r="N715" i="8"/>
  <c r="K715" i="8" s="1"/>
  <c r="L715" i="8" s="1"/>
  <c r="N699" i="8"/>
  <c r="K699" i="8" s="1"/>
  <c r="L699" i="8" s="1"/>
  <c r="N683" i="8"/>
  <c r="K683" i="8" s="1"/>
  <c r="L683" i="8" s="1"/>
  <c r="N651" i="8"/>
  <c r="K651" i="8" s="1"/>
  <c r="L651" i="8" s="1"/>
  <c r="N619" i="8"/>
  <c r="K619" i="8" s="1"/>
  <c r="L619" i="8" s="1"/>
  <c r="N587" i="8"/>
  <c r="K587" i="8" s="1"/>
  <c r="L587" i="8" s="1"/>
  <c r="N555" i="8"/>
  <c r="K555" i="8" s="1"/>
  <c r="L555" i="8" s="1"/>
  <c r="N523" i="8"/>
  <c r="K523" i="8" s="1"/>
  <c r="L523" i="8" s="1"/>
  <c r="N491" i="8"/>
  <c r="K491" i="8" s="1"/>
  <c r="L491" i="8" s="1"/>
  <c r="N475" i="8"/>
  <c r="K475" i="8" s="1"/>
  <c r="L475" i="8" s="1"/>
  <c r="N443" i="8"/>
  <c r="K443" i="8" s="1"/>
  <c r="L443" i="8" s="1"/>
  <c r="N411" i="8"/>
  <c r="K411" i="8" s="1"/>
  <c r="L411" i="8" s="1"/>
  <c r="N379" i="8"/>
  <c r="K379" i="8" s="1"/>
  <c r="L379" i="8" s="1"/>
  <c r="N347" i="8"/>
  <c r="K347" i="8" s="1"/>
  <c r="L347" i="8" s="1"/>
  <c r="N315" i="8"/>
  <c r="K315" i="8" s="1"/>
  <c r="L315" i="8" s="1"/>
  <c r="N283" i="8"/>
  <c r="K283" i="8" s="1"/>
  <c r="L283" i="8" s="1"/>
  <c r="N251" i="8"/>
  <c r="K251" i="8" s="1"/>
  <c r="L251" i="8" s="1"/>
  <c r="N235" i="8"/>
  <c r="K235" i="8" s="1"/>
  <c r="L235" i="8" s="1"/>
  <c r="N203" i="8"/>
  <c r="K203" i="8" s="1"/>
  <c r="L203" i="8" s="1"/>
  <c r="N171" i="8"/>
  <c r="K171" i="8" s="1"/>
  <c r="L171" i="8" s="1"/>
  <c r="N139" i="8"/>
  <c r="K139" i="8" s="1"/>
  <c r="L139" i="8" s="1"/>
  <c r="N107" i="8"/>
  <c r="K107" i="8" s="1"/>
  <c r="L107" i="8" s="1"/>
  <c r="N218" i="8"/>
  <c r="K218" i="8" s="1"/>
  <c r="L218" i="8" s="1"/>
  <c r="N654" i="8"/>
  <c r="K654" i="8" s="1"/>
  <c r="L654" i="8" s="1"/>
  <c r="N606" i="8"/>
  <c r="K606" i="8" s="1"/>
  <c r="L606" i="8" s="1"/>
  <c r="N494" i="8"/>
  <c r="K494" i="8" s="1"/>
  <c r="L494" i="8" s="1"/>
  <c r="N746" i="8"/>
  <c r="K746" i="8" s="1"/>
  <c r="L746" i="8" s="1"/>
  <c r="N446" i="8"/>
  <c r="K446" i="8" s="1"/>
  <c r="L446" i="8" s="1"/>
  <c r="N165" i="8"/>
  <c r="K165" i="8" s="1"/>
  <c r="L165" i="8" s="1"/>
  <c r="N37" i="8"/>
  <c r="K37" i="8" s="1"/>
  <c r="L37" i="8" s="1"/>
  <c r="N638" i="8"/>
  <c r="K638" i="8" s="1"/>
  <c r="L638" i="8" s="1"/>
  <c r="N510" i="8"/>
  <c r="K510" i="8" s="1"/>
  <c r="L510" i="8" s="1"/>
  <c r="N197" i="8"/>
  <c r="K197" i="8" s="1"/>
  <c r="L197" i="8" s="1"/>
  <c r="N254" i="8"/>
  <c r="K254" i="8" s="1"/>
  <c r="L254" i="8" s="1"/>
  <c r="N69" i="8"/>
  <c r="K69" i="8" s="1"/>
  <c r="L69" i="8" s="1"/>
  <c r="N702" i="8"/>
  <c r="K702" i="8" s="1"/>
  <c r="L702" i="8" s="1"/>
  <c r="N382" i="8"/>
  <c r="K382" i="8" s="1"/>
  <c r="L382" i="8" s="1"/>
  <c r="N101" i="8"/>
  <c r="K101" i="8" s="1"/>
  <c r="L101" i="8" s="1"/>
  <c r="M16" i="16" l="1"/>
  <c r="K38" i="16"/>
  <c r="K21" i="16"/>
  <c r="K27" i="16"/>
  <c r="K24" i="16"/>
  <c r="K20" i="16"/>
  <c r="K25" i="16"/>
  <c r="K22" i="16"/>
  <c r="K19" i="16"/>
  <c r="K33" i="16"/>
  <c r="K17" i="16"/>
  <c r="M18" i="16" s="1"/>
  <c r="K39" i="16"/>
  <c r="M40" i="16" s="1"/>
  <c r="K35" i="16"/>
  <c r="K34" i="16"/>
  <c r="K32" i="16"/>
  <c r="K36" i="16"/>
  <c r="K28" i="16"/>
  <c r="K30" i="16"/>
  <c r="K31" i="16"/>
  <c r="K37" i="16"/>
  <c r="K29" i="16"/>
  <c r="K33" i="4"/>
  <c r="K35" i="4"/>
  <c r="K36" i="4"/>
  <c r="K37" i="4"/>
  <c r="K38" i="4"/>
  <c r="K34" i="4"/>
  <c r="K21" i="4"/>
  <c r="L21" i="4" s="1"/>
  <c r="K31" i="4"/>
  <c r="K32" i="4"/>
  <c r="K22" i="4"/>
  <c r="K39" i="4"/>
  <c r="K40" i="4"/>
  <c r="K25" i="4"/>
  <c r="K26" i="4"/>
  <c r="K28" i="4"/>
  <c r="K23" i="4"/>
  <c r="K30" i="4"/>
  <c r="K27" i="4"/>
  <c r="K29" i="4"/>
  <c r="M31" i="16" l="1"/>
  <c r="M17" i="16"/>
  <c r="M28" i="16"/>
  <c r="M33" i="16"/>
  <c r="M39" i="16"/>
  <c r="M29" i="16"/>
  <c r="M19" i="16"/>
  <c r="M34" i="16"/>
  <c r="M35" i="16"/>
  <c r="M37" i="16"/>
  <c r="M38" i="16"/>
  <c r="M36" i="16"/>
  <c r="M32" i="16"/>
  <c r="M30" i="16"/>
  <c r="M26" i="16"/>
  <c r="M23" i="16"/>
  <c r="M24" i="16"/>
  <c r="M27" i="16"/>
  <c r="M20" i="16"/>
  <c r="M21" i="16"/>
  <c r="M22" i="16"/>
  <c r="M25" i="16"/>
  <c r="K24" i="4"/>
  <c r="L24" i="4" s="1"/>
  <c r="L22" i="4"/>
  <c r="L23" i="4"/>
  <c r="L31" i="4"/>
  <c r="L26" i="4"/>
  <c r="L27" i="4"/>
  <c r="L29" i="4"/>
  <c r="L28" i="4"/>
  <c r="L30" i="4"/>
  <c r="M15" i="16" l="1"/>
  <c r="L25" i="4"/>
  <c r="L14" i="4" s="1"/>
</calcChain>
</file>

<file path=xl/sharedStrings.xml><?xml version="1.0" encoding="utf-8"?>
<sst xmlns="http://schemas.openxmlformats.org/spreadsheetml/2006/main" count="487" uniqueCount="310">
  <si>
    <t>Start Date</t>
  </si>
  <si>
    <t>Insulation</t>
  </si>
  <si>
    <t>m</t>
  </si>
  <si>
    <t>CONTRACT</t>
  </si>
  <si>
    <t>Last/Current Valuation No :</t>
  </si>
  <si>
    <t>Max.Value</t>
  </si>
  <si>
    <t>Min.Value</t>
  </si>
  <si>
    <t>Contract Prd</t>
  </si>
  <si>
    <t>MONTHS</t>
  </si>
  <si>
    <t>Min No of Vals</t>
  </si>
  <si>
    <t>Max No of Vals</t>
  </si>
  <si>
    <t>Retention</t>
  </si>
  <si>
    <t>Contract Period:</t>
  </si>
  <si>
    <t>wks</t>
  </si>
  <si>
    <t>Defects Period</t>
  </si>
  <si>
    <t>Compl. Date</t>
  </si>
  <si>
    <t>Val</t>
  </si>
  <si>
    <t>Date</t>
  </si>
  <si>
    <t>Original Est Gross</t>
  </si>
  <si>
    <t>Act Gross</t>
  </si>
  <si>
    <t>Adj Est Gross</t>
  </si>
  <si>
    <t>Adj Est Retention</t>
  </si>
  <si>
    <t>Adj Est Nett</t>
  </si>
  <si>
    <t>Adj Est Prev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</si>
  <si>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</si>
  <si>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</si>
  <si>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</si>
  <si>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</si>
  <si>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</si>
  <si>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</si>
  <si>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</si>
  <si>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</si>
  <si>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</si>
  <si>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</si>
  <si>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</si>
  <si>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</si>
  <si>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</si>
  <si>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</si>
  <si>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</si>
  <si>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</si>
  <si>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</si>
  <si>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</si>
  <si>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</si>
  <si>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</si>
  <si>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</si>
  <si>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</si>
  <si>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</si>
  <si>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</si>
  <si>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 xml:space="preserve">Amount Outstanding </t>
  </si>
  <si>
    <t>Predicted Outstanding</t>
  </si>
  <si>
    <t>% adjustment</t>
  </si>
  <si>
    <t>Twilight Period</t>
  </si>
  <si>
    <t>Contract Start Date</t>
  </si>
  <si>
    <t>Finish Date</t>
  </si>
  <si>
    <t>Mobilisation  Period in Days</t>
  </si>
  <si>
    <t>Total Contract Length in Days In all periods)</t>
  </si>
  <si>
    <t>Days</t>
  </si>
  <si>
    <t>Factor</t>
  </si>
  <si>
    <t>No Of Valuations</t>
  </si>
  <si>
    <t>Remaining Vals</t>
  </si>
  <si>
    <t>Current Final Account</t>
  </si>
  <si>
    <t>Difference</t>
  </si>
  <si>
    <t>Months Remaining</t>
  </si>
  <si>
    <t>* based on Normal Distribution Curve</t>
  </si>
  <si>
    <t>Complete</t>
  </si>
  <si>
    <t>On Site Period</t>
  </si>
  <si>
    <t>Leave !</t>
  </si>
  <si>
    <t>Contract  Value (or Final Account)</t>
  </si>
  <si>
    <t>Current/Last Val &amp; Date</t>
  </si>
  <si>
    <r>
      <t xml:space="preserve">Less Work Before Main Start </t>
    </r>
    <r>
      <rPr>
        <sz val="10"/>
        <color rgb="FFFF0000"/>
        <rFont val="Calibri"/>
        <family val="2"/>
        <scheme val="minor"/>
      </rPr>
      <t>(L)</t>
    </r>
  </si>
  <si>
    <t>Est Val</t>
  </si>
  <si>
    <t>Act Val</t>
  </si>
  <si>
    <r>
      <t xml:space="preserve">Used In "S" Curve </t>
    </r>
    <r>
      <rPr>
        <sz val="10"/>
        <color rgb="FFFF0000"/>
        <rFont val="Calibri"/>
        <family val="2"/>
        <scheme val="minor"/>
      </rPr>
      <t>(S)</t>
    </r>
  </si>
  <si>
    <t>Diff</t>
  </si>
  <si>
    <t>Per Day</t>
  </si>
  <si>
    <t>A</t>
  </si>
  <si>
    <t>B</t>
  </si>
  <si>
    <t>C</t>
  </si>
  <si>
    <t>D = Normdist of C</t>
  </si>
  <si>
    <t>E = B</t>
  </si>
  <si>
    <t>F = D / A</t>
  </si>
  <si>
    <t>G = (F x S) + L</t>
  </si>
  <si>
    <t>H</t>
  </si>
  <si>
    <t>I</t>
  </si>
  <si>
    <t>Day No (On site Period)</t>
  </si>
  <si>
    <t>Date1</t>
  </si>
  <si>
    <t>X axis divided by On Site Period (From 3 to 0)*</t>
  </si>
  <si>
    <t>Y axis (Normal Distribution) from 3 to 0</t>
  </si>
  <si>
    <t>Original Gross Val at Start</t>
  </si>
  <si>
    <t>Running Adjustment</t>
  </si>
  <si>
    <t>Day No (As Col A)</t>
  </si>
  <si>
    <t>No of Days remaining as Fraction</t>
  </si>
  <si>
    <t>Estimated/Actual Cash Flow (Gross)</t>
  </si>
  <si>
    <t>Actual /Forecast Paymnt LESS Retention</t>
  </si>
  <si>
    <t>Act Left</t>
  </si>
  <si>
    <t xml:space="preserve">% </t>
  </si>
  <si>
    <t>Plot</t>
  </si>
  <si>
    <t>Start On Site  Date</t>
  </si>
  <si>
    <t>(during contract period)</t>
  </si>
  <si>
    <t>D</t>
  </si>
  <si>
    <t>CHECK</t>
  </si>
  <si>
    <t>Day</t>
  </si>
  <si>
    <t>Val No</t>
  </si>
  <si>
    <t>Holiday (Y/N)</t>
  </si>
  <si>
    <t>Mon</t>
  </si>
  <si>
    <t>Tues</t>
  </si>
  <si>
    <t>Wed</t>
  </si>
  <si>
    <t>Thu</t>
  </si>
  <si>
    <t>Fri</t>
  </si>
  <si>
    <t>Sat</t>
  </si>
  <si>
    <t>Sun</t>
  </si>
  <si>
    <t>Actual Val</t>
  </si>
  <si>
    <t>Revised Estimated Gross Val</t>
  </si>
  <si>
    <t>Factor To Add</t>
  </si>
  <si>
    <t xml:space="preserve">Original Est Left </t>
  </si>
  <si>
    <t>Diffence</t>
  </si>
  <si>
    <t>Proportion Left</t>
  </si>
  <si>
    <t>DayNo1</t>
  </si>
  <si>
    <t>Last/Curr Val No :</t>
  </si>
  <si>
    <t>Value</t>
  </si>
  <si>
    <t>Ditto</t>
  </si>
  <si>
    <t>Residential Development at  Crundale For Millbay Homes</t>
  </si>
  <si>
    <t>is incl in FA</t>
  </si>
  <si>
    <t>No of Courses</t>
  </si>
  <si>
    <t>Height in m</t>
  </si>
  <si>
    <t xml:space="preserve">Phase 1 </t>
  </si>
  <si>
    <t>Width</t>
  </si>
  <si>
    <t>m2</t>
  </si>
  <si>
    <t xml:space="preserve">Eng Section A - A </t>
  </si>
  <si>
    <t>Btm of Trench 1</t>
  </si>
  <si>
    <t>Btm of Trench 2</t>
  </si>
  <si>
    <t>Btm of Trench</t>
  </si>
  <si>
    <t>Type</t>
  </si>
  <si>
    <t>Det,Semi, Mid Terr. (D , S , M)</t>
  </si>
  <si>
    <t>Length</t>
  </si>
  <si>
    <t>Width (side to Side)</t>
  </si>
  <si>
    <t>Length (Front to Back)</t>
  </si>
  <si>
    <t>Spr to Front</t>
  </si>
  <si>
    <t>Spr to Rear</t>
  </si>
  <si>
    <t xml:space="preserve">Spr to Left </t>
  </si>
  <si>
    <t>Spr To Right</t>
  </si>
  <si>
    <t>Width+ Spr  Left &amp; Right</t>
  </si>
  <si>
    <t>Length + Spr Front And Rear</t>
  </si>
  <si>
    <t>Max Area</t>
  </si>
  <si>
    <t>Adj</t>
  </si>
  <si>
    <t>Act Area</t>
  </si>
  <si>
    <t>Natural Ground level</t>
  </si>
  <si>
    <t>Depth Of Topsoil</t>
  </si>
  <si>
    <t>New reduced Level</t>
  </si>
  <si>
    <t>Required formation</t>
  </si>
  <si>
    <t>Depth of Exc (+) or Fill (-)</t>
  </si>
  <si>
    <t>Fill</t>
  </si>
  <si>
    <t>Cut</t>
  </si>
  <si>
    <t>Exc to red lvls ne 0.25m</t>
  </si>
  <si>
    <t>Exc to red lvls ne 1.0m</t>
  </si>
  <si>
    <t>Fill to make up ne 0.25m</t>
  </si>
  <si>
    <t>Fill to make up ne 1.0m</t>
  </si>
  <si>
    <t>Fill to make up ne 2.0m</t>
  </si>
  <si>
    <t>Check</t>
  </si>
  <si>
    <t>C/L of Perim. Trenches</t>
  </si>
  <si>
    <t>Adjustments to Perimeter</t>
  </si>
  <si>
    <t>Act C/L of Perim. Trenches</t>
  </si>
  <si>
    <t>C/L of Party W. Trenches (Ext Face to Ext Face)</t>
  </si>
  <si>
    <t>C/L of Internal Trenches</t>
  </si>
  <si>
    <t>Surface Area of Perim Trenches</t>
  </si>
  <si>
    <t>Surface Area of Party Wall Trenches x 50%</t>
  </si>
  <si>
    <t>Surface Area of Internal Trenches</t>
  </si>
  <si>
    <t>Surface Area of Trenches</t>
  </si>
  <si>
    <t>Max lvl of trench - based on min dim from FFL to U/S of conc</t>
  </si>
  <si>
    <t>U/S of fill less 100mm scrape into "virgin" earth</t>
  </si>
  <si>
    <t>Trench depth = Required Formation less Btm of Trench</t>
  </si>
  <si>
    <t>Exc Trench  ne 0.25m dp</t>
  </si>
  <si>
    <t>Exc Trench  ne 1.00m dp</t>
  </si>
  <si>
    <t>Exc Trench ne 2.00m dp</t>
  </si>
  <si>
    <t>Exc Trench thru fill ne 0.25m dp</t>
  </si>
  <si>
    <t>Exc Trench thru fill ne 1.00m dp</t>
  </si>
  <si>
    <t>Exc Trench thru fill ne 2.00m dp</t>
  </si>
  <si>
    <t>Compact btms of excns (includes Perimeter Paths)</t>
  </si>
  <si>
    <t>Top of Concrete in Footing</t>
  </si>
  <si>
    <t>Thickness of Concrete</t>
  </si>
  <si>
    <t>Volume of Concrete</t>
  </si>
  <si>
    <t>C/L of 100mm blockwork to Perim.</t>
  </si>
  <si>
    <t>C/L of 100mm block to Party Walls</t>
  </si>
  <si>
    <t>C/L of 100 Block to Int. Walls</t>
  </si>
  <si>
    <t>C/L of140 Blockwork to Perim.</t>
  </si>
  <si>
    <t>C/L for Forming Cavity 100wide (Perim)</t>
  </si>
  <si>
    <t>Ditto Party Wall</t>
  </si>
  <si>
    <t>C/L of Conc Fill to Hollow Walls</t>
  </si>
  <si>
    <t>DPC to Outer Skin</t>
  </si>
  <si>
    <t>Comp. Fill. Arising From Exc.</t>
  </si>
  <si>
    <t>G</t>
  </si>
  <si>
    <t>BeamBlockSlabBuildUp</t>
  </si>
  <si>
    <t>CONSTANTS</t>
  </si>
  <si>
    <t>Assumed Topsoil Thickness (Extg)</t>
  </si>
  <si>
    <t>mm</t>
  </si>
  <si>
    <t>OR</t>
  </si>
  <si>
    <t xml:space="preserve">NewTopsoil Thickness </t>
  </si>
  <si>
    <t>Spread</t>
  </si>
  <si>
    <t>Min Dept from EGL to Bot.of Trench</t>
  </si>
  <si>
    <t>Screed</t>
  </si>
  <si>
    <t>Beam</t>
  </si>
  <si>
    <t>Void</t>
  </si>
  <si>
    <t>Total Floor Lab Thickness (from FFL)</t>
  </si>
  <si>
    <t>Hieght of Vertical DPM to int face of ext wall</t>
  </si>
  <si>
    <t>TRENCH WIDTHS</t>
  </si>
  <si>
    <t>Perimeter of House Plots</t>
  </si>
  <si>
    <t>Party Walls</t>
  </si>
  <si>
    <t>Internal Structural Walls</t>
  </si>
  <si>
    <t>TRENCH DEPTHS</t>
  </si>
  <si>
    <t>Facings from FFL to cut block</t>
  </si>
  <si>
    <t>cut block depth</t>
  </si>
  <si>
    <t>Blocks from cut block to top of conc in ftg</t>
  </si>
  <si>
    <t>FFL to top of conc in footing</t>
  </si>
  <si>
    <t>min thickness of conc footing</t>
  </si>
  <si>
    <t>Min dim from FFL to U/S of conc footing</t>
  </si>
  <si>
    <t>WALLS</t>
  </si>
  <si>
    <t>External Face to C/L</t>
  </si>
  <si>
    <t>External Skin</t>
  </si>
  <si>
    <t>Clear Cavity</t>
  </si>
  <si>
    <t>Insulation Thickness</t>
  </si>
  <si>
    <t>Internal Skin</t>
  </si>
  <si>
    <t>External Wall Build up</t>
  </si>
  <si>
    <t>C/L of Ext. Skin to C/L of Int. Skin</t>
  </si>
  <si>
    <t>Ext Face to C/L of Cavity</t>
  </si>
  <si>
    <t>Height of Conc Fill in Cavity</t>
  </si>
  <si>
    <t>Omission from Perimeter for Beam &amp; Block Floor</t>
  </si>
  <si>
    <t>Party Wall:</t>
  </si>
  <si>
    <t>Skin</t>
  </si>
  <si>
    <t>Cavity</t>
  </si>
  <si>
    <t>Party Wall Build up</t>
  </si>
  <si>
    <t>Omission from Perimeter for Beam &amp; Block Floor (from C/L)</t>
  </si>
  <si>
    <t>Revised FFL</t>
  </si>
  <si>
    <t>REVISED LEVELS</t>
  </si>
  <si>
    <t>ORIGINAL LEVELS</t>
  </si>
  <si>
    <t>DIFFERENCE</t>
  </si>
  <si>
    <t>ORIG FFL</t>
  </si>
  <si>
    <t>Adjustment For Change in Levels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</si>
  <si>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</si>
  <si>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</si>
  <si>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</si>
  <si>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</si>
  <si>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</si>
  <si>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</si>
  <si>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</si>
  <si>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</si>
  <si>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</si>
  <si>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</si>
  <si>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</si>
  <si>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</si>
  <si>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</si>
  <si>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</si>
  <si>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</si>
  <si>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Excavate to reduce level ne 0.25 deep</t>
  </si>
  <si>
    <t>Fill to make up levels in selected excavated material ne 0.25m dp</t>
  </si>
  <si>
    <t>Ditto ne 1m dp</t>
  </si>
  <si>
    <t>Ditto ne 2m dp</t>
  </si>
  <si>
    <t>Excavate trench  ne 1m deep</t>
  </si>
  <si>
    <t>Ditto not exc 2m deep</t>
  </si>
  <si>
    <t>Vol of concrete in trenches</t>
  </si>
  <si>
    <t>Orig qty</t>
  </si>
  <si>
    <t>Revd Qty</t>
  </si>
  <si>
    <t>Rate</t>
  </si>
  <si>
    <t>UoM</t>
  </si>
  <si>
    <t>m3</t>
  </si>
  <si>
    <t>Roads</t>
  </si>
  <si>
    <t>Substructures of properties (Plots 1,2,24,25,59 - 62)</t>
  </si>
  <si>
    <t>Needs Checking</t>
  </si>
  <si>
    <t>Assumed to Chain Point 22m into Second Phase</t>
  </si>
  <si>
    <t>Surf</t>
  </si>
  <si>
    <t>Adopted Roads</t>
  </si>
  <si>
    <t>Site Red Lvl</t>
  </si>
  <si>
    <t>Binder</t>
  </si>
  <si>
    <t>Tarmac</t>
  </si>
  <si>
    <t>wetmix</t>
  </si>
  <si>
    <t>Type 1</t>
  </si>
  <si>
    <t>Type 3 - Open</t>
  </si>
  <si>
    <t>FINISHED LEVELS</t>
  </si>
  <si>
    <t>Loc Ref</t>
  </si>
  <si>
    <t>Location</t>
  </si>
  <si>
    <t>Chain From</t>
  </si>
  <si>
    <t>Chain to</t>
  </si>
  <si>
    <t>Area</t>
  </si>
  <si>
    <t>Lower Chain Existing Level</t>
  </si>
  <si>
    <t>Higher Chain Existing Level</t>
  </si>
  <si>
    <t>Average Existing Level</t>
  </si>
  <si>
    <t>Surf Lvl (Lower Chain - Side)</t>
  </si>
  <si>
    <t>Surf Lvl (Lower Chain- Mid)</t>
  </si>
  <si>
    <t>Surf Lvl (Higher Chain Side)</t>
  </si>
  <si>
    <t>Surf Lvl (Mid Chain Side)</t>
  </si>
  <si>
    <t>Av Surf Lvl (Lower)</t>
  </si>
  <si>
    <t>Av Surf Lvl (Higher)</t>
  </si>
  <si>
    <t>Average Surface Level</t>
  </si>
  <si>
    <t>Form Lvl (Lower)</t>
  </si>
  <si>
    <t>Form Lvl (Higher)</t>
  </si>
  <si>
    <t>Form Lvl (Average)</t>
  </si>
  <si>
    <t>Average Exc (+) or Fill (-)</t>
  </si>
  <si>
    <t>Fill to make up over 0.25</t>
  </si>
  <si>
    <t>Compact btms of excns</t>
  </si>
  <si>
    <t>Type 1 as Eng Dwg - Item 10</t>
  </si>
  <si>
    <t>GeoTerxtile as Eng Dwg - Item 11</t>
  </si>
  <si>
    <t>Wet Mix as dwg - 150 thick</t>
  </si>
  <si>
    <t>Road 1</t>
  </si>
  <si>
    <t>Road 2</t>
  </si>
  <si>
    <t>Road 3</t>
  </si>
  <si>
    <t xml:space="preserve">Corners at Roads 1 &amp; 2 </t>
  </si>
  <si>
    <t>Nett Monthly Cashflow</t>
  </si>
  <si>
    <t>Ditto Less 50% of retention</t>
  </si>
  <si>
    <t>%</t>
  </si>
  <si>
    <t>Contract Sum / Est FA</t>
  </si>
  <si>
    <t>UWTSD  New retail and accomodation development, SA1 Campus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</si>
</sst>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5" formatCode="&quot;£&quot;#,##0;\-&quot;£&quot;#,##0"/>
    <numFmt numFmtId="6" formatCode="&quot;£&quot;#,##0;[Red]\-&quot;£&quot;#,##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&quot;£&quot;#,##0.00"/>
    <numFmt numFmtId="165" formatCode="0.000_ ;[Red]\-0.000\ "/>
    <numFmt numFmtId="166" formatCode="0_ ;[Red]\-0\ "/>
    <numFmt numFmtId="167" formatCode="_-* #,##0_-;\-* #,##0_-;_-* &quot;-&quot;??_-;_-@_-"/>
    <numFmt numFmtId="168" formatCode="&quot;£&quot;#,##0"/>
    <numFmt numFmtId="169" formatCode="0.0000000%"/>
    <numFmt numFmtId="170" formatCode="#,##0.000000"/>
    <numFmt numFmtId="171" formatCode="0.000"/>
    <numFmt numFmtId="172" formatCode="0.0%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1"/>
      <name val="Arial"/>
      <family val="2"/>
    </font>
    <font>
      <b/>
      <i/>
      <sz val="11"/>
      <name val="Arial"/>
      <family val="2"/>
    </font>
    <font>
      <i/>
      <sz val="11"/>
      <name val="Calibri"/>
      <family val="2"/>
      <scheme val="minor"/>
    </font>
    <font>
      <sz val="10"/>
      <name val="Bodoni MT"/>
      <family val="1"/>
    </font>
    <font>
      <b/>
      <sz val="10"/>
      <name val="Bodoni MT"/>
      <family val="1"/>
    </font>
    <font>
      <b/>
      <u/>
      <sz val="10"/>
      <color rgb="FFFF0000"/>
      <name val="Bodoni MT"/>
      <family val="1"/>
    </font>
    <font>
      <b/>
      <sz val="18"/>
      <color rgb="FFFF0000"/>
      <name val="Bodoni MT"/>
      <family val="1"/>
    </font>
    <font>
      <sz val="10"/>
      <color rgb="FFFF0000"/>
      <name val="Bodoni MT"/>
      <family val="1"/>
    </font>
    <font>
      <b/>
      <sz val="10"/>
      <color rgb="FFFF0000"/>
      <name val="Bodoni MT"/>
      <family val="1"/>
    </font>
    <font>
      <sz val="11"/>
      <color theme="1"/>
      <name val="Bodoni MT"/>
      <family val="1"/>
    </font>
    <font>
      <sz val="10"/>
      <color indexed="12"/>
      <name val="Bodoni MT"/>
      <family val="1"/>
    </font>
    <font>
      <b/>
      <sz val="10"/>
      <color indexed="12"/>
      <name val="Bodoni MT"/>
      <family val="1"/>
    </font>
    <font>
      <sz val="10"/>
      <color rgb="FF00B050"/>
      <name val="Bodoni MT"/>
      <family val="1"/>
    </font>
    <font>
      <sz val="9"/>
      <name val="Bodoni MT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mediumGray"/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theme="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3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ck">
        <color theme="3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ck">
        <color theme="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3"/>
      </left>
      <right style="thin">
        <color auto="1"/>
      </right>
      <top style="thick">
        <color rgb="FF00B050"/>
      </top>
      <bottom style="thin">
        <color auto="1"/>
      </bottom>
      <diagonal/>
    </border>
    <border>
      <left style="thin">
        <color auto="1"/>
      </left>
      <right style="thick">
        <color rgb="FF00B050"/>
      </right>
      <top style="thick">
        <color rgb="FF00B050"/>
      </top>
      <bottom style="thin">
        <color auto="1"/>
      </bottom>
      <diagonal/>
    </border>
    <border>
      <left style="thin">
        <color auto="1"/>
      </left>
      <right style="thick">
        <color rgb="FF00B050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rgb="FF00B050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08">
    <xf numFmtId="0" fontId="0" fillId="0" borderId="0" xfId="0"/>
    <xf numFmtId="0" fontId="1" fillId="0" borderId="0" xfId="2" applyFont="1"/>
    <xf numFmtId="0" fontId="1" fillId="0" borderId="0" xfId="3" applyFont="1"/>
    <xf numFmtId="0" fontId="2" fillId="0" borderId="0" xfId="3" applyFont="1"/>
    <xf numFmtId="0" fontId="2" fillId="0" borderId="0" xfId="3" applyFont="1" applyBorder="1"/>
    <xf numFmtId="0" fontId="1" fillId="0" borderId="0" xfId="3" applyFont="1" applyBorder="1"/>
    <xf numFmtId="0" fontId="1" fillId="0" borderId="10" xfId="3" applyFont="1" applyBorder="1"/>
    <xf numFmtId="0" fontId="1" fillId="0" borderId="0" xfId="3" applyFont="1" applyAlignment="1">
      <alignment horizontal="left"/>
    </xf>
    <xf numFmtId="0" fontId="4" fillId="0" borderId="0" xfId="3"/>
    <xf numFmtId="0" fontId="2" fillId="0" borderId="0" xfId="3" applyFont="1" applyAlignment="1">
      <alignment vertical="top"/>
    </xf>
    <xf numFmtId="0" fontId="1" fillId="0" borderId="10" xfId="3" applyFont="1" applyBorder="1" applyAlignment="1">
      <alignment horizontal="left" vertical="top" wrapText="1"/>
    </xf>
    <xf numFmtId="0" fontId="1" fillId="0" borderId="2" xfId="3" applyFont="1" applyBorder="1"/>
    <xf numFmtId="0" fontId="2" fillId="0" borderId="3" xfId="3" applyFont="1" applyBorder="1"/>
    <xf numFmtId="165" fontId="1" fillId="0" borderId="3" xfId="3" applyNumberFormat="1" applyFont="1" applyBorder="1"/>
    <xf numFmtId="0" fontId="1" fillId="0" borderId="3" xfId="3" applyFont="1" applyBorder="1"/>
    <xf numFmtId="0" fontId="1" fillId="0" borderId="4" xfId="3" applyFont="1" applyBorder="1"/>
    <xf numFmtId="0" fontId="1" fillId="0" borderId="5" xfId="3" applyFont="1" applyBorder="1"/>
    <xf numFmtId="43" fontId="5" fillId="2" borderId="0" xfId="4" applyNumberFormat="1" applyFont="1" applyFill="1" applyBorder="1" applyProtection="1">
      <protection locked="0"/>
    </xf>
    <xf numFmtId="6" fontId="1" fillId="0" borderId="0" xfId="4" applyNumberFormat="1" applyFont="1" applyBorder="1" applyProtection="1">
      <protection locked="0"/>
    </xf>
    <xf numFmtId="165" fontId="1" fillId="0" borderId="0" xfId="3" applyNumberFormat="1" applyFont="1" applyBorder="1"/>
    <xf numFmtId="6" fontId="1" fillId="3" borderId="0" xfId="3" applyNumberFormat="1" applyFont="1" applyFill="1" applyBorder="1"/>
    <xf numFmtId="0" fontId="1" fillId="0" borderId="6" xfId="3" applyFont="1" applyBorder="1"/>
    <xf numFmtId="6" fontId="5" fillId="0" borderId="0" xfId="4" applyNumberFormat="1" applyFont="1" applyBorder="1"/>
    <xf numFmtId="6" fontId="1" fillId="0" borderId="0" xfId="4" applyNumberFormat="1" applyFont="1" applyBorder="1"/>
    <xf numFmtId="167" fontId="1" fillId="0" borderId="0" xfId="1" applyNumberFormat="1" applyFont="1" applyBorder="1" applyProtection="1">
      <protection locked="0"/>
    </xf>
    <xf numFmtId="1" fontId="1" fillId="3" borderId="0" xfId="3" applyNumberFormat="1" applyFont="1" applyFill="1" applyBorder="1"/>
    <xf numFmtId="167" fontId="1" fillId="0" borderId="0" xfId="1" applyNumberFormat="1" applyFont="1" applyBorder="1"/>
    <xf numFmtId="9" fontId="1" fillId="0" borderId="0" xfId="5" applyFont="1" applyBorder="1" applyProtection="1">
      <protection locked="0"/>
    </xf>
    <xf numFmtId="0" fontId="1" fillId="0" borderId="0" xfId="3" applyFont="1" applyFill="1" applyBorder="1"/>
    <xf numFmtId="9" fontId="1" fillId="0" borderId="0" xfId="5" applyFont="1" applyBorder="1"/>
    <xf numFmtId="0" fontId="2" fillId="0" borderId="0" xfId="3" quotePrefix="1" applyFont="1" applyBorder="1" applyAlignment="1">
      <alignment horizontal="left"/>
    </xf>
    <xf numFmtId="166" fontId="1" fillId="0" borderId="0" xfId="3" applyNumberFormat="1" applyFont="1" applyBorder="1" applyProtection="1">
      <protection locked="0"/>
    </xf>
    <xf numFmtId="14" fontId="1" fillId="0" borderId="0" xfId="3" applyNumberFormat="1" applyFont="1" applyBorder="1"/>
    <xf numFmtId="0" fontId="1" fillId="0" borderId="9" xfId="3" applyFont="1" applyBorder="1"/>
    <xf numFmtId="0" fontId="1" fillId="0" borderId="10" xfId="3" quotePrefix="1" applyFont="1" applyBorder="1" applyAlignment="1">
      <alignment horizontal="left"/>
    </xf>
    <xf numFmtId="166" fontId="1" fillId="0" borderId="10" xfId="3" applyNumberFormat="1" applyFont="1" applyBorder="1"/>
    <xf numFmtId="165" fontId="1" fillId="0" borderId="10" xfId="3" applyNumberFormat="1" applyFont="1" applyBorder="1"/>
    <xf numFmtId="0" fontId="1" fillId="0" borderId="11" xfId="3" applyFont="1" applyBorder="1"/>
    <xf numFmtId="0" fontId="1" fillId="0" borderId="0" xfId="3" quotePrefix="1" applyFont="1" applyAlignment="1">
      <alignment horizontal="left"/>
    </xf>
    <xf numFmtId="166" fontId="1" fillId="0" borderId="0" xfId="3" applyNumberFormat="1" applyFont="1"/>
    <xf numFmtId="165" fontId="1" fillId="0" borderId="0" xfId="3" applyNumberFormat="1" applyFont="1"/>
    <xf numFmtId="0" fontId="1" fillId="0" borderId="3" xfId="3" quotePrefix="1" applyFont="1" applyBorder="1" applyAlignment="1">
      <alignment horizontal="left"/>
    </xf>
    <xf numFmtId="166" fontId="1" fillId="0" borderId="3" xfId="3" applyNumberFormat="1" applyFont="1" applyBorder="1"/>
    <xf numFmtId="166" fontId="8" fillId="0" borderId="3" xfId="3" applyNumberFormat="1" applyFont="1" applyBorder="1"/>
    <xf numFmtId="0" fontId="2" fillId="0" borderId="0" xfId="3" applyFont="1" applyBorder="1" applyAlignment="1">
      <alignment horizontal="center" vertical="top" wrapText="1"/>
    </xf>
    <xf numFmtId="0" fontId="9" fillId="0" borderId="0" xfId="3" applyFont="1" applyBorder="1" applyAlignment="1">
      <alignment horizontal="center" vertical="top" wrapText="1"/>
    </xf>
    <xf numFmtId="0" fontId="1" fillId="0" borderId="10" xfId="3" applyFont="1" applyBorder="1" applyAlignment="1">
      <alignment horizontal="center" vertical="top" wrapText="1"/>
    </xf>
    <xf numFmtId="0" fontId="8" fillId="0" borderId="10" xfId="3" applyFont="1" applyBorder="1" applyAlignment="1">
      <alignment horizontal="center" vertical="top" wrapText="1"/>
    </xf>
    <xf numFmtId="0" fontId="8" fillId="0" borderId="0" xfId="3" applyFont="1" applyBorder="1"/>
    <xf numFmtId="168" fontId="1" fillId="0" borderId="0" xfId="3" applyNumberFormat="1" applyFont="1" applyBorder="1"/>
    <xf numFmtId="168" fontId="8" fillId="0" borderId="0" xfId="3" applyNumberFormat="1" applyFont="1" applyBorder="1"/>
    <xf numFmtId="168" fontId="1" fillId="0" borderId="0" xfId="3" quotePrefix="1" applyNumberFormat="1" applyFont="1" applyBorder="1"/>
    <xf numFmtId="168" fontId="1" fillId="0" borderId="6" xfId="3" applyNumberFormat="1" applyFont="1" applyBorder="1"/>
    <xf numFmtId="168" fontId="1" fillId="0" borderId="10" xfId="3" applyNumberFormat="1" applyFont="1" applyBorder="1"/>
    <xf numFmtId="168" fontId="1" fillId="0" borderId="11" xfId="3" applyNumberFormat="1" applyFont="1" applyBorder="1"/>
    <xf numFmtId="165" fontId="4" fillId="0" borderId="0" xfId="3" applyNumberFormat="1"/>
    <xf numFmtId="169" fontId="7" fillId="0" borderId="0" xfId="3" applyNumberFormat="1" applyFont="1"/>
    <xf numFmtId="14" fontId="10" fillId="0" borderId="0" xfId="0" applyNumberFormat="1" applyFont="1"/>
    <xf numFmtId="0" fontId="10" fillId="0" borderId="0" xfId="0" applyFont="1"/>
    <xf numFmtId="0" fontId="10" fillId="0" borderId="0" xfId="0" applyFont="1" applyFill="1" applyAlignment="1">
      <alignment wrapText="1"/>
    </xf>
    <xf numFmtId="0" fontId="10" fillId="0" borderId="0" xfId="0" applyFont="1" applyFill="1"/>
    <xf numFmtId="14" fontId="10" fillId="0" borderId="0" xfId="0" applyNumberFormat="1" applyFont="1" applyFill="1" applyBorder="1"/>
    <xf numFmtId="0" fontId="10" fillId="0" borderId="0" xfId="0" applyFont="1" applyFill="1" applyBorder="1"/>
    <xf numFmtId="164" fontId="10" fillId="0" borderId="0" xfId="0" applyNumberFormat="1" applyFont="1" applyFill="1"/>
    <xf numFmtId="167" fontId="2" fillId="0" borderId="0" xfId="1" applyNumberFormat="1" applyFont="1" applyFill="1" applyBorder="1"/>
    <xf numFmtId="9" fontId="2" fillId="0" borderId="0" xfId="5" applyFont="1" applyFill="1" applyBorder="1" applyProtection="1">
      <protection locked="0"/>
    </xf>
    <xf numFmtId="166" fontId="2" fillId="0" borderId="0" xfId="3" applyNumberFormat="1" applyFont="1" applyFill="1" applyBorder="1" applyProtection="1">
      <protection locked="0"/>
    </xf>
    <xf numFmtId="167" fontId="11" fillId="2" borderId="0" xfId="1" applyNumberFormat="1" applyFont="1" applyFill="1" applyBorder="1" applyProtection="1">
      <protection locked="0"/>
    </xf>
    <xf numFmtId="167" fontId="11" fillId="2" borderId="0" xfId="5" applyNumberFormat="1" applyFont="1" applyFill="1" applyBorder="1"/>
    <xf numFmtId="168" fontId="1" fillId="0" borderId="0" xfId="3" applyNumberFormat="1" applyFont="1"/>
    <xf numFmtId="168" fontId="4" fillId="0" borderId="0" xfId="3" applyNumberFormat="1"/>
    <xf numFmtId="0" fontId="0" fillId="0" borderId="0" xfId="0" applyFill="1"/>
    <xf numFmtId="14" fontId="10" fillId="4" borderId="8" xfId="0" applyNumberFormat="1" applyFont="1" applyFill="1" applyBorder="1"/>
    <xf numFmtId="0" fontId="10" fillId="4" borderId="8" xfId="0" applyFont="1" applyFill="1" applyBorder="1"/>
    <xf numFmtId="0" fontId="0" fillId="2" borderId="0" xfId="0" applyFill="1"/>
    <xf numFmtId="0" fontId="0" fillId="4" borderId="0" xfId="0" applyFill="1"/>
    <xf numFmtId="164" fontId="10" fillId="4" borderId="0" xfId="0" applyNumberFormat="1" applyFont="1" applyFill="1"/>
    <xf numFmtId="14" fontId="10" fillId="0" borderId="0" xfId="0" applyNumberFormat="1" applyFont="1" applyFill="1" applyBorder="1" applyAlignment="1">
      <alignment wrapText="1"/>
    </xf>
    <xf numFmtId="0" fontId="13" fillId="0" borderId="8" xfId="0" applyFont="1" applyBorder="1" applyAlignment="1">
      <alignment horizontal="center" vertical="top" wrapText="1"/>
    </xf>
    <xf numFmtId="0" fontId="13" fillId="0" borderId="8" xfId="0" applyFont="1" applyBorder="1" applyAlignment="1">
      <alignment horizontal="center" vertical="top"/>
    </xf>
    <xf numFmtId="0" fontId="0" fillId="0" borderId="8" xfId="0" applyBorder="1"/>
    <xf numFmtId="14" fontId="0" fillId="0" borderId="8" xfId="0" applyNumberFormat="1" applyBorder="1"/>
    <xf numFmtId="170" fontId="0" fillId="0" borderId="8" xfId="0" applyNumberFormat="1" applyBorder="1"/>
    <xf numFmtId="168" fontId="0" fillId="0" borderId="8" xfId="0" applyNumberFormat="1" applyBorder="1"/>
    <xf numFmtId="164" fontId="0" fillId="0" borderId="8" xfId="0" quotePrefix="1" applyNumberFormat="1" applyBorder="1"/>
    <xf numFmtId="14" fontId="0" fillId="2" borderId="8" xfId="0" applyNumberFormat="1" applyFill="1" applyBorder="1"/>
    <xf numFmtId="170" fontId="0" fillId="2" borderId="8" xfId="0" applyNumberFormat="1" applyFill="1" applyBorder="1"/>
    <xf numFmtId="164" fontId="0" fillId="2" borderId="8" xfId="0" quotePrefix="1" applyNumberFormat="1" applyFill="1" applyBorder="1"/>
    <xf numFmtId="43" fontId="11" fillId="2" borderId="0" xfId="4" applyNumberFormat="1" applyFont="1" applyFill="1" applyBorder="1" applyProtection="1">
      <protection locked="0"/>
    </xf>
    <xf numFmtId="0" fontId="2" fillId="0" borderId="6" xfId="3" applyFont="1" applyBorder="1" applyAlignment="1">
      <alignment horizontal="center" wrapText="1"/>
    </xf>
    <xf numFmtId="0" fontId="2" fillId="0" borderId="10" xfId="3" applyFont="1" applyBorder="1" applyAlignment="1">
      <alignment horizontal="center" vertical="top" wrapText="1"/>
    </xf>
    <xf numFmtId="168" fontId="2" fillId="0" borderId="11" xfId="3" applyNumberFormat="1" applyFont="1" applyBorder="1"/>
    <xf numFmtId="166" fontId="15" fillId="2" borderId="0" xfId="3" quotePrefix="1" applyNumberFormat="1" applyFont="1" applyFill="1" applyAlignment="1">
      <alignment vertical="center"/>
    </xf>
    <xf numFmtId="14" fontId="11" fillId="2" borderId="10" xfId="3" applyNumberFormat="1" applyFont="1" applyFill="1" applyBorder="1" applyAlignment="1">
      <alignment horizontal="center" vertical="center" wrapText="1"/>
    </xf>
    <xf numFmtId="164" fontId="10" fillId="2" borderId="0" xfId="0" applyNumberFormat="1" applyFont="1" applyFill="1"/>
    <xf numFmtId="14" fontId="0" fillId="0" borderId="8" xfId="0" applyNumberFormat="1" applyFill="1" applyBorder="1"/>
    <xf numFmtId="170" fontId="0" fillId="0" borderId="8" xfId="0" applyNumberFormat="1" applyFill="1" applyBorder="1"/>
    <xf numFmtId="164" fontId="0" fillId="0" borderId="8" xfId="0" quotePrefix="1" applyNumberFormat="1" applyFill="1" applyBorder="1"/>
    <xf numFmtId="168" fontId="10" fillId="4" borderId="0" xfId="0" applyNumberFormat="1" applyFont="1" applyFill="1"/>
    <xf numFmtId="168" fontId="10" fillId="0" borderId="0" xfId="0" applyNumberFormat="1" applyFont="1" applyFill="1"/>
    <xf numFmtId="168" fontId="10" fillId="0" borderId="0" xfId="0" applyNumberFormat="1" applyFont="1" applyFill="1" applyBorder="1"/>
    <xf numFmtId="168" fontId="10" fillId="4" borderId="0" xfId="0" applyNumberFormat="1" applyFont="1" applyFill="1" applyBorder="1"/>
    <xf numFmtId="0" fontId="10" fillId="0" borderId="14" xfId="0" applyFont="1" applyBorder="1"/>
    <xf numFmtId="0" fontId="10" fillId="0" borderId="15" xfId="0" applyFont="1" applyBorder="1"/>
    <xf numFmtId="0" fontId="10" fillId="0" borderId="16" xfId="0" applyFont="1" applyBorder="1"/>
    <xf numFmtId="168" fontId="10" fillId="4" borderId="17" xfId="0" applyNumberFormat="1" applyFont="1" applyFill="1" applyBorder="1"/>
    <xf numFmtId="10" fontId="10" fillId="4" borderId="13" xfId="0" applyNumberFormat="1" applyFont="1" applyFill="1" applyBorder="1"/>
    <xf numFmtId="0" fontId="11" fillId="2" borderId="0" xfId="3" applyFont="1" applyFill="1" applyBorder="1"/>
    <xf numFmtId="14" fontId="0" fillId="0" borderId="0" xfId="0" applyNumberFormat="1" applyFill="1"/>
    <xf numFmtId="14" fontId="5" fillId="2" borderId="0" xfId="3" applyNumberFormat="1" applyFont="1" applyFill="1" applyBorder="1"/>
    <xf numFmtId="0" fontId="17" fillId="0" borderId="0" xfId="6" applyFill="1"/>
    <xf numFmtId="0" fontId="17" fillId="0" borderId="8" xfId="6" applyFill="1" applyBorder="1"/>
    <xf numFmtId="0" fontId="10" fillId="0" borderId="0" xfId="0" applyFont="1" applyFill="1" applyAlignment="1">
      <alignment horizontal="right" wrapText="1"/>
    </xf>
    <xf numFmtId="0" fontId="1" fillId="5" borderId="5" xfId="3" applyFont="1" applyFill="1" applyBorder="1"/>
    <xf numFmtId="168" fontId="7" fillId="4" borderId="0" xfId="3" applyNumberFormat="1" applyFont="1" applyFill="1"/>
    <xf numFmtId="168" fontId="1" fillId="4" borderId="0" xfId="3" applyNumberFormat="1" applyFont="1" applyFill="1"/>
    <xf numFmtId="168" fontId="4" fillId="4" borderId="0" xfId="3" applyNumberFormat="1" applyFill="1"/>
    <xf numFmtId="166" fontId="4" fillId="4" borderId="0" xfId="3" applyNumberFormat="1" applyFill="1"/>
    <xf numFmtId="0" fontId="13" fillId="0" borderId="12" xfId="0" applyFont="1" applyBorder="1" applyAlignment="1">
      <alignment horizontal="center" vertical="top" wrapText="1"/>
    </xf>
    <xf numFmtId="0" fontId="0" fillId="0" borderId="12" xfId="0" applyBorder="1"/>
    <xf numFmtId="0" fontId="0" fillId="0" borderId="12" xfId="0" applyFill="1" applyBorder="1"/>
    <xf numFmtId="0" fontId="0" fillId="2" borderId="12" xfId="0" applyFill="1" applyBorder="1"/>
    <xf numFmtId="0" fontId="13" fillId="0" borderId="23" xfId="0" applyFont="1" applyBorder="1" applyAlignment="1">
      <alignment horizontal="center" vertical="top"/>
    </xf>
    <xf numFmtId="0" fontId="13" fillId="0" borderId="24" xfId="0" applyFont="1" applyBorder="1" applyAlignment="1">
      <alignment horizontal="center" vertical="top"/>
    </xf>
    <xf numFmtId="0" fontId="13" fillId="0" borderId="25" xfId="0" applyFont="1" applyBorder="1" applyAlignment="1">
      <alignment horizontal="center" vertical="top" wrapText="1"/>
    </xf>
    <xf numFmtId="14" fontId="0" fillId="0" borderId="26" xfId="0" applyNumberFormat="1" applyBorder="1"/>
    <xf numFmtId="168" fontId="0" fillId="0" borderId="22" xfId="0" applyNumberFormat="1" applyBorder="1"/>
    <xf numFmtId="14" fontId="0" fillId="0" borderId="26" xfId="0" applyNumberFormat="1" applyFill="1" applyBorder="1"/>
    <xf numFmtId="168" fontId="0" fillId="0" borderId="22" xfId="0" applyNumberFormat="1" applyFill="1" applyBorder="1"/>
    <xf numFmtId="14" fontId="0" fillId="2" borderId="26" xfId="0" applyNumberFormat="1" applyFill="1" applyBorder="1"/>
    <xf numFmtId="168" fontId="0" fillId="2" borderId="22" xfId="0" applyNumberFormat="1" applyFill="1" applyBorder="1"/>
    <xf numFmtId="14" fontId="0" fillId="0" borderId="27" xfId="0" applyNumberFormat="1" applyBorder="1"/>
    <xf numFmtId="170" fontId="0" fillId="0" borderId="28" xfId="0" applyNumberFormat="1" applyBorder="1"/>
    <xf numFmtId="168" fontId="0" fillId="0" borderId="29" xfId="0" applyNumberFormat="1" applyBorder="1"/>
    <xf numFmtId="0" fontId="13" fillId="0" borderId="30" xfId="0" applyFont="1" applyBorder="1" applyAlignment="1">
      <alignment horizontal="center" vertical="top" wrapText="1"/>
    </xf>
    <xf numFmtId="0" fontId="13" fillId="0" borderId="31" xfId="0" applyFont="1" applyFill="1" applyBorder="1" applyAlignment="1">
      <alignment horizontal="center" vertical="top" wrapText="1"/>
    </xf>
    <xf numFmtId="0" fontId="13" fillId="0" borderId="31" xfId="0" applyFont="1" applyBorder="1" applyAlignment="1">
      <alignment horizontal="center" vertical="top" wrapText="1"/>
    </xf>
    <xf numFmtId="0" fontId="14" fillId="0" borderId="31" xfId="0" applyFont="1" applyBorder="1" applyAlignment="1">
      <alignment vertical="top" wrapText="1"/>
    </xf>
    <xf numFmtId="0" fontId="14" fillId="0" borderId="32" xfId="0" applyFont="1" applyBorder="1" applyAlignment="1">
      <alignment vertical="top" wrapText="1"/>
    </xf>
    <xf numFmtId="164" fontId="0" fillId="0" borderId="26" xfId="0" applyNumberFormat="1" applyBorder="1"/>
    <xf numFmtId="0" fontId="0" fillId="0" borderId="33" xfId="0" quotePrefix="1" applyBorder="1"/>
    <xf numFmtId="164" fontId="0" fillId="0" borderId="26" xfId="0" applyNumberFormat="1" applyFill="1" applyBorder="1"/>
    <xf numFmtId="0" fontId="0" fillId="0" borderId="33" xfId="0" quotePrefix="1" applyFill="1" applyBorder="1"/>
    <xf numFmtId="164" fontId="0" fillId="2" borderId="26" xfId="0" applyNumberFormat="1" applyFill="1" applyBorder="1"/>
    <xf numFmtId="0" fontId="0" fillId="2" borderId="33" xfId="0" quotePrefix="1" applyFill="1" applyBorder="1"/>
    <xf numFmtId="164" fontId="0" fillId="0" borderId="34" xfId="0" applyNumberFormat="1" applyBorder="1"/>
    <xf numFmtId="0" fontId="0" fillId="0" borderId="36" xfId="0" quotePrefix="1" applyBorder="1"/>
    <xf numFmtId="0" fontId="0" fillId="0" borderId="8" xfId="0" applyBorder="1" applyAlignment="1">
      <alignment horizontal="center"/>
    </xf>
    <xf numFmtId="0" fontId="0" fillId="6" borderId="0" xfId="0" applyFill="1"/>
    <xf numFmtId="168" fontId="0" fillId="0" borderId="37" xfId="0" applyNumberFormat="1" applyBorder="1"/>
    <xf numFmtId="0" fontId="0" fillId="0" borderId="40" xfId="0" applyBorder="1"/>
    <xf numFmtId="0" fontId="12" fillId="6" borderId="0" xfId="0" applyFont="1" applyFill="1" applyAlignment="1">
      <alignment horizontal="center"/>
    </xf>
    <xf numFmtId="0" fontId="12" fillId="6" borderId="0" xfId="0" applyFont="1" applyFill="1" applyAlignment="1">
      <alignment horizontal="center" wrapText="1"/>
    </xf>
    <xf numFmtId="164" fontId="12" fillId="6" borderId="0" xfId="0" applyNumberFormat="1" applyFont="1" applyFill="1" applyAlignment="1">
      <alignment horizontal="center"/>
    </xf>
    <xf numFmtId="14" fontId="12" fillId="6" borderId="0" xfId="0" applyNumberFormat="1" applyFont="1" applyFill="1" applyBorder="1" applyAlignment="1">
      <alignment horizontal="center"/>
    </xf>
    <xf numFmtId="164" fontId="12" fillId="6" borderId="0" xfId="0" applyNumberFormat="1" applyFont="1" applyFill="1" applyBorder="1" applyAlignment="1">
      <alignment horizontal="center"/>
    </xf>
    <xf numFmtId="0" fontId="16" fillId="0" borderId="39" xfId="0" applyFont="1" applyBorder="1" applyAlignment="1">
      <alignment vertical="top" wrapText="1"/>
    </xf>
    <xf numFmtId="168" fontId="0" fillId="0" borderId="8" xfId="0" quotePrefix="1" applyNumberFormat="1" applyBorder="1"/>
    <xf numFmtId="168" fontId="0" fillId="0" borderId="35" xfId="0" quotePrefix="1" applyNumberFormat="1" applyBorder="1"/>
    <xf numFmtId="168" fontId="0" fillId="0" borderId="0" xfId="0" applyNumberFormat="1"/>
    <xf numFmtId="168" fontId="0" fillId="0" borderId="0" xfId="0" applyNumberFormat="1" applyFill="1"/>
    <xf numFmtId="168" fontId="14" fillId="0" borderId="38" xfId="0" applyNumberFormat="1" applyFont="1" applyBorder="1" applyAlignment="1">
      <alignment horizontal="center" vertical="top"/>
    </xf>
    <xf numFmtId="168" fontId="14" fillId="0" borderId="43" xfId="0" applyNumberFormat="1" applyFont="1" applyBorder="1" applyAlignment="1">
      <alignment horizontal="center" vertical="top"/>
    </xf>
    <xf numFmtId="3" fontId="0" fillId="0" borderId="1" xfId="0" applyNumberFormat="1" applyBorder="1"/>
    <xf numFmtId="1" fontId="0" fillId="0" borderId="0" xfId="0" applyNumberFormat="1"/>
    <xf numFmtId="1" fontId="0" fillId="0" borderId="0" xfId="0" applyNumberFormat="1" applyFill="1"/>
    <xf numFmtId="0" fontId="0" fillId="2" borderId="8" xfId="0" applyFill="1" applyBorder="1"/>
    <xf numFmtId="0" fontId="17" fillId="0" borderId="0" xfId="6" applyFill="1" applyAlignment="1">
      <alignment horizontal="center"/>
    </xf>
    <xf numFmtId="0" fontId="0" fillId="0" borderId="0" xfId="0"/>
    <xf numFmtId="0" fontId="17" fillId="0" borderId="19" xfId="6" applyBorder="1"/>
    <xf numFmtId="0" fontId="17" fillId="0" borderId="0" xfId="6"/>
    <xf numFmtId="0" fontId="20" fillId="0" borderId="0" xfId="6" applyFont="1" applyAlignment="1">
      <alignment horizontal="left"/>
    </xf>
    <xf numFmtId="0" fontId="24" fillId="0" borderId="0" xfId="6" applyFont="1" applyAlignment="1"/>
    <xf numFmtId="0" fontId="17" fillId="0" borderId="0" xfId="6" applyAlignment="1"/>
    <xf numFmtId="0" fontId="17" fillId="6" borderId="0" xfId="6" applyFill="1"/>
    <xf numFmtId="0" fontId="24" fillId="0" borderId="0" xfId="6" applyFont="1"/>
    <xf numFmtId="171" fontId="24" fillId="2" borderId="0" xfId="6" applyNumberFormat="1" applyFont="1" applyFill="1"/>
    <xf numFmtId="0" fontId="20" fillId="0" borderId="0" xfId="6" applyFont="1" applyAlignment="1">
      <alignment horizontal="center"/>
    </xf>
    <xf numFmtId="0" fontId="20" fillId="0" borderId="0" xfId="6" applyFont="1"/>
    <xf numFmtId="0" fontId="19" fillId="0" borderId="0" xfId="6" applyFont="1"/>
    <xf numFmtId="0" fontId="17" fillId="0" borderId="0" xfId="6" applyAlignment="1">
      <alignment horizontal="center"/>
    </xf>
    <xf numFmtId="0" fontId="17" fillId="0" borderId="0" xfId="6" applyAlignment="1">
      <alignment wrapText="1"/>
    </xf>
    <xf numFmtId="0" fontId="17" fillId="0" borderId="0" xfId="6" applyFill="1" applyAlignment="1">
      <alignment wrapText="1"/>
    </xf>
    <xf numFmtId="0" fontId="17" fillId="0" borderId="19" xfId="6" applyBorder="1" applyAlignment="1">
      <alignment wrapText="1"/>
    </xf>
    <xf numFmtId="2" fontId="17" fillId="0" borderId="0" xfId="6" applyNumberFormat="1"/>
    <xf numFmtId="2" fontId="17" fillId="0" borderId="0" xfId="6" applyNumberFormat="1" applyAlignment="1">
      <alignment horizontal="center"/>
    </xf>
    <xf numFmtId="171" fontId="20" fillId="0" borderId="0" xfId="6" applyNumberFormat="1" applyFont="1"/>
    <xf numFmtId="0" fontId="20" fillId="0" borderId="0" xfId="6" applyFont="1" applyFill="1" applyAlignment="1">
      <alignment horizontal="left"/>
    </xf>
    <xf numFmtId="0" fontId="24" fillId="0" borderId="0" xfId="6" applyFont="1" applyAlignment="1">
      <alignment horizontal="center"/>
    </xf>
    <xf numFmtId="2" fontId="24" fillId="0" borderId="0" xfId="6" applyNumberFormat="1" applyFont="1" applyFill="1"/>
    <xf numFmtId="2" fontId="19" fillId="0" borderId="0" xfId="6" applyNumberFormat="1" applyFont="1" applyFill="1" applyAlignment="1">
      <alignment wrapText="1"/>
    </xf>
    <xf numFmtId="0" fontId="17" fillId="0" borderId="0" xfId="6" applyFill="1" applyAlignment="1">
      <alignment horizontal="left"/>
    </xf>
    <xf numFmtId="0" fontId="17" fillId="0" borderId="0" xfId="6" applyFill="1" applyAlignment="1">
      <alignment horizontal="center" vertical="center" wrapText="1"/>
    </xf>
    <xf numFmtId="2" fontId="17" fillId="0" borderId="0" xfId="6" applyNumberFormat="1" applyFill="1"/>
    <xf numFmtId="0" fontId="20" fillId="0" borderId="8" xfId="2" applyFont="1" applyBorder="1" applyAlignment="1">
      <alignment horizontal="center" vertical="top" wrapText="1"/>
    </xf>
    <xf numFmtId="0" fontId="20" fillId="0" borderId="8" xfId="6" applyFont="1" applyFill="1" applyBorder="1" applyAlignment="1">
      <alignment horizontal="center" vertical="top" wrapText="1"/>
    </xf>
    <xf numFmtId="0" fontId="20" fillId="0" borderId="8" xfId="6" applyFont="1" applyBorder="1" applyAlignment="1">
      <alignment horizontal="center" vertical="top" wrapText="1"/>
    </xf>
    <xf numFmtId="0" fontId="20" fillId="7" borderId="8" xfId="6" applyFont="1" applyFill="1" applyBorder="1" applyAlignment="1">
      <alignment horizontal="center" vertical="top" wrapText="1"/>
    </xf>
    <xf numFmtId="2" fontId="20" fillId="7" borderId="8" xfId="6" applyNumberFormat="1" applyFont="1" applyFill="1" applyBorder="1" applyAlignment="1">
      <alignment horizontal="center" vertical="top" wrapText="1"/>
    </xf>
    <xf numFmtId="2" fontId="20" fillId="0" borderId="8" xfId="6" applyNumberFormat="1" applyFont="1" applyBorder="1" applyAlignment="1">
      <alignment horizontal="center" vertical="top" wrapText="1"/>
    </xf>
    <xf numFmtId="0" fontId="20" fillId="7" borderId="8" xfId="6" applyFont="1" applyFill="1" applyBorder="1" applyAlignment="1">
      <alignment vertical="top" wrapText="1"/>
    </xf>
    <xf numFmtId="0" fontId="17" fillId="0" borderId="0" xfId="6" applyFont="1" applyAlignment="1">
      <alignment vertical="top" wrapText="1"/>
    </xf>
    <xf numFmtId="0" fontId="17" fillId="0" borderId="0" xfId="6" applyAlignment="1">
      <alignment vertical="top" wrapText="1"/>
    </xf>
    <xf numFmtId="0" fontId="20" fillId="0" borderId="8" xfId="6" applyFont="1" applyBorder="1" applyAlignment="1">
      <alignment horizontal="center"/>
    </xf>
    <xf numFmtId="0" fontId="20" fillId="0" borderId="8" xfId="6" applyFont="1" applyFill="1" applyBorder="1" applyAlignment="1">
      <alignment horizontal="center"/>
    </xf>
    <xf numFmtId="2" fontId="17" fillId="0" borderId="8" xfId="6" applyNumberFormat="1" applyBorder="1" applyAlignment="1">
      <alignment wrapText="1"/>
    </xf>
    <xf numFmtId="2" fontId="17" fillId="7" borderId="8" xfId="6" applyNumberFormat="1" applyFill="1" applyBorder="1" applyAlignment="1">
      <alignment wrapText="1"/>
    </xf>
    <xf numFmtId="2" fontId="17" fillId="7" borderId="8" xfId="6" quotePrefix="1" applyNumberFormat="1" applyFill="1" applyBorder="1" applyAlignment="1">
      <alignment horizontal="right" wrapText="1"/>
    </xf>
    <xf numFmtId="2" fontId="17" fillId="7" borderId="8" xfId="6" quotePrefix="1" applyNumberFormat="1" applyFill="1" applyBorder="1" applyAlignment="1">
      <alignment wrapText="1"/>
    </xf>
    <xf numFmtId="2" fontId="17" fillId="0" borderId="8" xfId="6" applyNumberFormat="1" applyFill="1" applyBorder="1" applyAlignment="1">
      <alignment wrapText="1"/>
    </xf>
    <xf numFmtId="2" fontId="17" fillId="0" borderId="8" xfId="6" quotePrefix="1" applyNumberFormat="1" applyFill="1" applyBorder="1" applyAlignment="1">
      <alignment wrapText="1"/>
    </xf>
    <xf numFmtId="0" fontId="17" fillId="0" borderId="0" xfId="6" applyBorder="1" applyAlignment="1">
      <alignment wrapText="1"/>
    </xf>
    <xf numFmtId="0" fontId="17" fillId="0" borderId="0" xfId="6" applyBorder="1"/>
    <xf numFmtId="0" fontId="17" fillId="0" borderId="8" xfId="6" applyBorder="1"/>
    <xf numFmtId="171" fontId="20" fillId="0" borderId="8" xfId="6" applyNumberFormat="1" applyFont="1" applyFill="1" applyBorder="1" applyAlignment="1">
      <alignment horizontal="center"/>
    </xf>
    <xf numFmtId="2" fontId="17" fillId="0" borderId="8" xfId="6" applyNumberFormat="1" applyFill="1" applyBorder="1"/>
    <xf numFmtId="0" fontId="20" fillId="0" borderId="0" xfId="6" applyFont="1" applyFill="1" applyAlignment="1">
      <alignment horizontal="center"/>
    </xf>
    <xf numFmtId="171" fontId="17" fillId="0" borderId="0" xfId="6" applyNumberFormat="1" applyFill="1"/>
    <xf numFmtId="171" fontId="17" fillId="0" borderId="0" xfId="6" applyNumberFormat="1"/>
    <xf numFmtId="0" fontId="20" fillId="0" borderId="0" xfId="6" applyFont="1" applyFill="1" applyAlignment="1"/>
    <xf numFmtId="0" fontId="1" fillId="0" borderId="0" xfId="2"/>
    <xf numFmtId="171" fontId="1" fillId="0" borderId="0" xfId="2" applyNumberFormat="1" applyAlignment="1"/>
    <xf numFmtId="2" fontId="24" fillId="0" borderId="0" xfId="6" applyNumberFormat="1" applyFont="1" applyAlignment="1">
      <alignment horizontal="left" wrapText="1"/>
    </xf>
    <xf numFmtId="0" fontId="1" fillId="0" borderId="0" xfId="2" applyAlignment="1">
      <alignment wrapText="1"/>
    </xf>
    <xf numFmtId="2" fontId="26" fillId="0" borderId="0" xfId="6" applyNumberFormat="1" applyFont="1" applyAlignment="1">
      <alignment horizontal="left" wrapText="1"/>
    </xf>
    <xf numFmtId="1" fontId="20" fillId="0" borderId="0" xfId="6" applyNumberFormat="1" applyFont="1" applyAlignment="1">
      <alignment horizontal="left"/>
    </xf>
    <xf numFmtId="0" fontId="20" fillId="0" borderId="0" xfId="6" applyFont="1" applyAlignment="1"/>
    <xf numFmtId="0" fontId="27" fillId="0" borderId="0" xfId="6" applyFont="1" applyAlignment="1">
      <alignment horizontal="left"/>
    </xf>
    <xf numFmtId="0" fontId="27" fillId="0" borderId="0" xfId="6" applyFont="1" applyFill="1" applyAlignment="1"/>
    <xf numFmtId="0" fontId="5" fillId="0" borderId="0" xfId="2" applyFont="1"/>
    <xf numFmtId="0" fontId="20" fillId="0" borderId="44" xfId="6" applyFont="1" applyBorder="1" applyAlignment="1">
      <alignment horizontal="left"/>
    </xf>
    <xf numFmtId="0" fontId="20" fillId="0" borderId="44" xfId="6" applyFont="1" applyFill="1" applyBorder="1" applyAlignment="1"/>
    <xf numFmtId="0" fontId="1" fillId="0" borderId="44" xfId="2" applyFont="1" applyBorder="1"/>
    <xf numFmtId="0" fontId="1" fillId="0" borderId="47" xfId="2" applyBorder="1"/>
    <xf numFmtId="0" fontId="20" fillId="0" borderId="0" xfId="6" applyFont="1" applyBorder="1" applyAlignment="1">
      <alignment horizontal="left"/>
    </xf>
    <xf numFmtId="0" fontId="20" fillId="0" borderId="0" xfId="6" applyFont="1" applyFill="1" applyBorder="1" applyAlignment="1"/>
    <xf numFmtId="0" fontId="1" fillId="0" borderId="0" xfId="2" applyBorder="1"/>
    <xf numFmtId="0" fontId="1" fillId="0" borderId="20" xfId="2" applyBorder="1"/>
    <xf numFmtId="0" fontId="20" fillId="0" borderId="18" xfId="6" applyFont="1" applyBorder="1" applyAlignment="1">
      <alignment horizontal="left"/>
    </xf>
    <xf numFmtId="0" fontId="20" fillId="0" borderId="18" xfId="6" applyFont="1" applyFill="1" applyBorder="1" applyAlignment="1"/>
    <xf numFmtId="0" fontId="1" fillId="0" borderId="18" xfId="2" applyBorder="1"/>
    <xf numFmtId="0" fontId="1" fillId="0" borderId="21" xfId="2" applyBorder="1"/>
    <xf numFmtId="0" fontId="23" fillId="0" borderId="0" xfId="6" applyFont="1" applyAlignment="1">
      <alignment horizontal="left"/>
    </xf>
    <xf numFmtId="0" fontId="23" fillId="0" borderId="0" xfId="6" applyFont="1" applyFill="1" applyAlignment="1"/>
    <xf numFmtId="0" fontId="11" fillId="0" borderId="0" xfId="2" applyFont="1"/>
    <xf numFmtId="0" fontId="17" fillId="0" borderId="0" xfId="6" applyBorder="1" applyAlignment="1">
      <alignment horizontal="center" wrapText="1"/>
    </xf>
    <xf numFmtId="0" fontId="22" fillId="0" borderId="0" xfId="6" applyFont="1" applyBorder="1"/>
    <xf numFmtId="0" fontId="17" fillId="0" borderId="0" xfId="6" applyFill="1" applyBorder="1" applyAlignment="1">
      <alignment horizontal="left"/>
    </xf>
    <xf numFmtId="0" fontId="17" fillId="0" borderId="0" xfId="6" applyFill="1" applyBorder="1"/>
    <xf numFmtId="2" fontId="17" fillId="0" borderId="0" xfId="6" applyNumberFormat="1" applyFill="1" applyBorder="1"/>
    <xf numFmtId="171" fontId="20" fillId="0" borderId="8" xfId="6" applyNumberFormat="1" applyFont="1" applyBorder="1"/>
    <xf numFmtId="2" fontId="24" fillId="0" borderId="8" xfId="6" applyNumberFormat="1" applyFont="1" applyFill="1" applyBorder="1"/>
    <xf numFmtId="2" fontId="19" fillId="0" borderId="8" xfId="6" applyNumberFormat="1" applyFont="1" applyFill="1" applyBorder="1" applyAlignment="1">
      <alignment wrapText="1"/>
    </xf>
    <xf numFmtId="0" fontId="17" fillId="0" borderId="8" xfId="6" applyFill="1" applyBorder="1" applyAlignment="1">
      <alignment horizontal="left"/>
    </xf>
    <xf numFmtId="0" fontId="17" fillId="0" borderId="8" xfId="6" applyFill="1" applyBorder="1" applyAlignment="1">
      <alignment horizontal="center" vertical="center" wrapText="1"/>
    </xf>
    <xf numFmtId="0" fontId="20" fillId="0" borderId="0" xfId="6" applyFont="1" applyFill="1" applyBorder="1" applyAlignment="1">
      <alignment horizontal="left"/>
    </xf>
    <xf numFmtId="0" fontId="24" fillId="0" borderId="0" xfId="6" applyFont="1" applyFill="1" applyBorder="1" applyAlignment="1"/>
    <xf numFmtId="0" fontId="17" fillId="0" borderId="0" xfId="6" applyFill="1" applyBorder="1" applyAlignment="1"/>
    <xf numFmtId="0" fontId="24" fillId="0" borderId="0" xfId="6" applyFont="1" applyFill="1" applyBorder="1"/>
    <xf numFmtId="171" fontId="24" fillId="0" borderId="0" xfId="6" applyNumberFormat="1" applyFont="1" applyFill="1" applyBorder="1"/>
    <xf numFmtId="0" fontId="20" fillId="0" borderId="0" xfId="6" applyFont="1" applyFill="1" applyBorder="1" applyAlignment="1">
      <alignment horizontal="center"/>
    </xf>
    <xf numFmtId="0" fontId="20" fillId="0" borderId="0" xfId="6" applyFont="1" applyFill="1" applyBorder="1"/>
    <xf numFmtId="0" fontId="19" fillId="0" borderId="0" xfId="6" applyFont="1" applyFill="1" applyBorder="1"/>
    <xf numFmtId="0" fontId="17" fillId="0" borderId="0" xfId="6" applyFill="1" applyBorder="1" applyAlignment="1">
      <alignment horizontal="center"/>
    </xf>
    <xf numFmtId="2" fontId="17" fillId="0" borderId="0" xfId="6" applyNumberFormat="1" applyFill="1" applyBorder="1" applyAlignment="1">
      <alignment horizontal="center"/>
    </xf>
    <xf numFmtId="171" fontId="20" fillId="0" borderId="0" xfId="6" applyNumberFormat="1" applyFont="1" applyFill="1" applyBorder="1"/>
    <xf numFmtId="0" fontId="24" fillId="0" borderId="8" xfId="6" applyFont="1" applyFill="1" applyBorder="1" applyAlignment="1">
      <alignment horizontal="left"/>
    </xf>
    <xf numFmtId="0" fontId="16" fillId="0" borderId="8" xfId="6" applyFont="1" applyFill="1" applyBorder="1" applyAlignment="1">
      <alignment horizontal="left" vertical="top" wrapText="1"/>
    </xf>
    <xf numFmtId="0" fontId="1" fillId="0" borderId="8" xfId="2" applyFill="1" applyBorder="1" applyAlignment="1">
      <alignment horizontal="left" wrapText="1"/>
    </xf>
    <xf numFmtId="171" fontId="20" fillId="0" borderId="8" xfId="6" applyNumberFormat="1" applyFont="1" applyFill="1" applyBorder="1"/>
    <xf numFmtId="0" fontId="24" fillId="0" borderId="8" xfId="6" applyFont="1" applyFill="1" applyBorder="1" applyAlignment="1">
      <alignment horizontal="center"/>
    </xf>
    <xf numFmtId="0" fontId="20" fillId="0" borderId="8" xfId="6" applyFont="1" applyFill="1" applyBorder="1"/>
    <xf numFmtId="0" fontId="20" fillId="0" borderId="8" xfId="2" applyFont="1" applyFill="1" applyBorder="1" applyAlignment="1">
      <alignment horizontal="center" vertical="top" wrapText="1"/>
    </xf>
    <xf numFmtId="171" fontId="20" fillId="0" borderId="8" xfId="6" applyNumberFormat="1" applyFont="1" applyFill="1" applyBorder="1" applyAlignment="1">
      <alignment horizontal="center" vertical="top" wrapText="1"/>
    </xf>
    <xf numFmtId="2" fontId="20" fillId="0" borderId="8" xfId="6" applyNumberFormat="1" applyFont="1" applyFill="1" applyBorder="1" applyAlignment="1">
      <alignment horizontal="center" vertical="top" wrapText="1"/>
    </xf>
    <xf numFmtId="171" fontId="24" fillId="0" borderId="8" xfId="6" applyNumberFormat="1" applyFont="1" applyFill="1" applyBorder="1" applyAlignment="1">
      <alignment horizontal="center" vertical="top" wrapText="1"/>
    </xf>
    <xf numFmtId="0" fontId="20" fillId="0" borderId="8" xfId="6" applyFont="1" applyFill="1" applyBorder="1" applyAlignment="1">
      <alignment vertical="top" wrapText="1"/>
    </xf>
    <xf numFmtId="0" fontId="19" fillId="0" borderId="8" xfId="6" applyFont="1" applyFill="1" applyBorder="1" applyAlignment="1">
      <alignment vertical="top" wrapText="1"/>
    </xf>
    <xf numFmtId="0" fontId="17" fillId="0" borderId="8" xfId="6" applyFill="1" applyBorder="1" applyAlignment="1">
      <alignment vertical="top" wrapText="1"/>
    </xf>
    <xf numFmtId="0" fontId="25" fillId="0" borderId="8" xfId="6" applyFont="1" applyFill="1" applyBorder="1" applyAlignment="1">
      <alignment horizontal="center" vertical="top" wrapText="1"/>
    </xf>
    <xf numFmtId="0" fontId="17" fillId="0" borderId="8" xfId="6" applyFont="1" applyFill="1" applyBorder="1" applyAlignment="1">
      <alignment vertical="top" wrapText="1"/>
    </xf>
    <xf numFmtId="2" fontId="20" fillId="0" borderId="8" xfId="6" applyNumberFormat="1" applyFont="1" applyFill="1" applyBorder="1" applyAlignment="1">
      <alignment horizontal="center"/>
    </xf>
    <xf numFmtId="2" fontId="20" fillId="0" borderId="8" xfId="6" applyNumberFormat="1" applyFont="1" applyFill="1" applyBorder="1" applyAlignment="1">
      <alignment horizontal="center" wrapText="1"/>
    </xf>
    <xf numFmtId="171" fontId="20" fillId="0" borderId="8" xfId="6" applyNumberFormat="1" applyFont="1" applyFill="1" applyBorder="1" applyAlignment="1">
      <alignment horizontal="center" wrapText="1"/>
    </xf>
    <xf numFmtId="171" fontId="24" fillId="0" borderId="8" xfId="6" applyNumberFormat="1" applyFont="1" applyFill="1" applyBorder="1" applyAlignment="1">
      <alignment horizontal="center" wrapText="1"/>
    </xf>
    <xf numFmtId="171" fontId="24" fillId="0" borderId="8" xfId="6" applyNumberFormat="1" applyFont="1" applyFill="1" applyBorder="1" applyAlignment="1">
      <alignment horizontal="center"/>
    </xf>
    <xf numFmtId="2" fontId="24" fillId="0" borderId="8" xfId="6" quotePrefix="1" applyNumberFormat="1" applyFont="1" applyFill="1" applyBorder="1" applyAlignment="1">
      <alignment horizontal="center"/>
    </xf>
    <xf numFmtId="2" fontId="20" fillId="0" borderId="8" xfId="6" applyNumberFormat="1" applyFont="1" applyFill="1" applyBorder="1" applyAlignment="1">
      <alignment wrapText="1"/>
    </xf>
    <xf numFmtId="2" fontId="20" fillId="0" borderId="8" xfId="6" applyNumberFormat="1" applyFont="1" applyFill="1" applyBorder="1"/>
    <xf numFmtId="2" fontId="20" fillId="0" borderId="8" xfId="6" quotePrefix="1" applyNumberFormat="1" applyFont="1" applyFill="1" applyBorder="1"/>
    <xf numFmtId="2" fontId="17" fillId="0" borderId="8" xfId="6" applyNumberFormat="1" applyFill="1" applyBorder="1" applyAlignment="1">
      <alignment horizontal="center" wrapText="1"/>
    </xf>
    <xf numFmtId="1" fontId="17" fillId="0" borderId="8" xfId="6" applyNumberFormat="1" applyFill="1" applyBorder="1" applyAlignment="1">
      <alignment horizontal="center" wrapText="1"/>
    </xf>
    <xf numFmtId="0" fontId="17" fillId="0" borderId="8" xfId="6" quotePrefix="1" applyFill="1" applyBorder="1" applyAlignment="1">
      <alignment wrapText="1"/>
    </xf>
    <xf numFmtId="0" fontId="17" fillId="0" borderId="8" xfId="6" applyFill="1" applyBorder="1" applyAlignment="1">
      <alignment wrapText="1"/>
    </xf>
    <xf numFmtId="1" fontId="17" fillId="0" borderId="8" xfId="6" applyNumberFormat="1" applyFill="1" applyBorder="1" applyAlignment="1">
      <alignment wrapText="1"/>
    </xf>
    <xf numFmtId="0" fontId="20" fillId="0" borderId="8" xfId="2" applyFont="1" applyFill="1" applyBorder="1" applyAlignment="1">
      <alignment horizontal="center"/>
    </xf>
    <xf numFmtId="171" fontId="24" fillId="0" borderId="8" xfId="6" applyNumberFormat="1" applyFont="1" applyFill="1" applyBorder="1"/>
    <xf numFmtId="0" fontId="20" fillId="0" borderId="0" xfId="2" applyFont="1" applyFill="1" applyAlignment="1">
      <alignment horizontal="center"/>
    </xf>
    <xf numFmtId="0" fontId="20" fillId="0" borderId="0" xfId="6" applyFont="1" applyFill="1"/>
    <xf numFmtId="2" fontId="20" fillId="0" borderId="0" xfId="6" applyNumberFormat="1" applyFont="1" applyFill="1"/>
    <xf numFmtId="2" fontId="20" fillId="0" borderId="0" xfId="6" applyNumberFormat="1" applyFont="1" applyFill="1" applyAlignment="1">
      <alignment horizontal="center"/>
    </xf>
    <xf numFmtId="2" fontId="20" fillId="0" borderId="0" xfId="2" applyNumberFormat="1" applyFont="1" applyFill="1" applyAlignment="1">
      <alignment horizontal="center"/>
    </xf>
    <xf numFmtId="0" fontId="19" fillId="0" borderId="0" xfId="6" applyFont="1" applyFill="1"/>
    <xf numFmtId="0" fontId="0" fillId="0" borderId="0" xfId="6" applyFont="1" applyFill="1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6" fillId="0" borderId="0" xfId="0" applyFont="1"/>
    <xf numFmtId="2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164" fontId="0" fillId="0" borderId="0" xfId="0" applyNumberFormat="1"/>
    <xf numFmtId="164" fontId="16" fillId="0" borderId="0" xfId="0" applyNumberFormat="1" applyFont="1"/>
    <xf numFmtId="2" fontId="16" fillId="0" borderId="0" xfId="6" applyNumberFormat="1" applyFont="1"/>
    <xf numFmtId="2" fontId="16" fillId="0" borderId="0" xfId="6" applyNumberFormat="1" applyFont="1" applyAlignment="1">
      <alignment horizontal="center"/>
    </xf>
    <xf numFmtId="1" fontId="20" fillId="0" borderId="0" xfId="6" applyNumberFormat="1" applyFont="1"/>
    <xf numFmtId="171" fontId="20" fillId="0" borderId="0" xfId="6" applyNumberFormat="1" applyFont="1" applyAlignment="1">
      <alignment horizontal="center"/>
    </xf>
    <xf numFmtId="0" fontId="24" fillId="0" borderId="0" xfId="6" applyFont="1" applyFill="1"/>
    <xf numFmtId="1" fontId="20" fillId="0" borderId="0" xfId="6" applyNumberFormat="1" applyFont="1" applyAlignment="1">
      <alignment horizontal="center"/>
    </xf>
    <xf numFmtId="0" fontId="1" fillId="0" borderId="0" xfId="2" applyAlignment="1"/>
    <xf numFmtId="2" fontId="1" fillId="0" borderId="0" xfId="2" applyNumberFormat="1" applyFont="1" applyAlignment="1"/>
    <xf numFmtId="2" fontId="1" fillId="0" borderId="0" xfId="2" applyNumberFormat="1" applyAlignment="1"/>
    <xf numFmtId="171" fontId="24" fillId="0" borderId="0" xfId="6" applyNumberFormat="1" applyFont="1" applyAlignment="1">
      <alignment horizontal="center"/>
    </xf>
    <xf numFmtId="0" fontId="16" fillId="0" borderId="8" xfId="6" applyFont="1" applyBorder="1" applyAlignment="1">
      <alignment horizontal="center" vertical="top"/>
    </xf>
    <xf numFmtId="2" fontId="2" fillId="0" borderId="8" xfId="2" applyNumberFormat="1" applyFont="1" applyBorder="1" applyAlignment="1"/>
    <xf numFmtId="0" fontId="21" fillId="0" borderId="8" xfId="2" applyFont="1" applyBorder="1" applyAlignment="1">
      <alignment horizontal="center" vertical="center" wrapText="1"/>
    </xf>
    <xf numFmtId="0" fontId="16" fillId="0" borderId="8" xfId="6" applyFont="1" applyBorder="1" applyAlignment="1">
      <alignment horizontal="center" wrapText="1"/>
    </xf>
    <xf numFmtId="0" fontId="2" fillId="0" borderId="8" xfId="2" applyFont="1" applyBorder="1" applyAlignment="1">
      <alignment wrapText="1"/>
    </xf>
    <xf numFmtId="2" fontId="28" fillId="0" borderId="8" xfId="6" applyNumberFormat="1" applyFont="1" applyFill="1" applyBorder="1"/>
    <xf numFmtId="2" fontId="29" fillId="0" borderId="8" xfId="2" applyNumberFormat="1" applyFont="1" applyFill="1" applyBorder="1" applyAlignment="1"/>
    <xf numFmtId="171" fontId="24" fillId="7" borderId="8" xfId="6" applyNumberFormat="1" applyFont="1" applyFill="1" applyBorder="1" applyAlignment="1">
      <alignment horizontal="center" vertical="top" wrapText="1"/>
    </xf>
    <xf numFmtId="0" fontId="19" fillId="7" borderId="8" xfId="6" applyFont="1" applyFill="1" applyBorder="1" applyAlignment="1">
      <alignment vertical="top" wrapText="1"/>
    </xf>
    <xf numFmtId="0" fontId="20" fillId="0" borderId="7" xfId="6" applyFont="1" applyBorder="1" applyAlignment="1">
      <alignment horizontal="center"/>
    </xf>
    <xf numFmtId="2" fontId="20" fillId="0" borderId="7" xfId="6" applyNumberFormat="1" applyFont="1" applyFill="1" applyBorder="1" applyAlignment="1">
      <alignment horizontal="center"/>
    </xf>
    <xf numFmtId="2" fontId="20" fillId="0" borderId="7" xfId="6" applyNumberFormat="1" applyFont="1" applyBorder="1" applyAlignment="1">
      <alignment horizontal="center"/>
    </xf>
    <xf numFmtId="2" fontId="20" fillId="7" borderId="7" xfId="6" applyNumberFormat="1" applyFont="1" applyFill="1" applyBorder="1" applyAlignment="1">
      <alignment horizontal="center"/>
    </xf>
    <xf numFmtId="171" fontId="20" fillId="0" borderId="7" xfId="6" applyNumberFormat="1" applyFont="1" applyBorder="1" applyAlignment="1">
      <alignment horizontal="center" wrapText="1"/>
    </xf>
    <xf numFmtId="171" fontId="20" fillId="7" borderId="7" xfId="6" applyNumberFormat="1" applyFont="1" applyFill="1" applyBorder="1" applyAlignment="1">
      <alignment horizontal="center" wrapText="1"/>
    </xf>
    <xf numFmtId="171" fontId="30" fillId="0" borderId="7" xfId="6" applyNumberFormat="1" applyFont="1" applyBorder="1" applyAlignment="1">
      <alignment horizontal="center"/>
    </xf>
    <xf numFmtId="171" fontId="20" fillId="0" borderId="7" xfId="6" applyNumberFormat="1" applyFont="1" applyBorder="1" applyAlignment="1">
      <alignment horizontal="center"/>
    </xf>
    <xf numFmtId="171" fontId="20" fillId="7" borderId="7" xfId="6" applyNumberFormat="1" applyFont="1" applyFill="1" applyBorder="1" applyAlignment="1">
      <alignment horizontal="center"/>
    </xf>
    <xf numFmtId="2" fontId="20" fillId="7" borderId="7" xfId="6" quotePrefix="1" applyNumberFormat="1" applyFont="1" applyFill="1" applyBorder="1" applyAlignment="1">
      <alignment horizontal="center"/>
    </xf>
    <xf numFmtId="2" fontId="20" fillId="7" borderId="7" xfId="6" applyNumberFormat="1" applyFont="1" applyFill="1" applyBorder="1" applyAlignment="1">
      <alignment wrapText="1"/>
    </xf>
    <xf numFmtId="2" fontId="20" fillId="7" borderId="7" xfId="6" applyNumberFormat="1" applyFont="1" applyFill="1" applyBorder="1"/>
    <xf numFmtId="2" fontId="19" fillId="7" borderId="7" xfId="6" applyNumberFormat="1" applyFont="1" applyFill="1" applyBorder="1" applyAlignment="1">
      <alignment wrapText="1"/>
    </xf>
    <xf numFmtId="2" fontId="17" fillId="7" borderId="7" xfId="6" applyNumberFormat="1" applyFill="1" applyBorder="1" applyAlignment="1">
      <alignment wrapText="1"/>
    </xf>
    <xf numFmtId="0" fontId="17" fillId="0" borderId="7" xfId="6" applyBorder="1"/>
    <xf numFmtId="0" fontId="20" fillId="0" borderId="7" xfId="2" applyFont="1" applyBorder="1" applyAlignment="1">
      <alignment horizontal="center"/>
    </xf>
    <xf numFmtId="171" fontId="30" fillId="0" borderId="7" xfId="6" applyNumberFormat="1" applyFont="1" applyBorder="1" applyAlignment="1">
      <alignment horizontal="center" wrapText="1"/>
    </xf>
    <xf numFmtId="0" fontId="0" fillId="2" borderId="8" xfId="0" applyFill="1" applyBorder="1" applyAlignment="1">
      <alignment horizontal="center"/>
    </xf>
    <xf numFmtId="168" fontId="0" fillId="2" borderId="8" xfId="0" applyNumberFormat="1" applyFill="1" applyBorder="1"/>
    <xf numFmtId="168" fontId="0" fillId="2" borderId="8" xfId="0" quotePrefix="1" applyNumberFormat="1" applyFill="1" applyBorder="1"/>
    <xf numFmtId="3" fontId="0" fillId="2" borderId="1" xfId="0" applyNumberFormat="1" applyFill="1" applyBorder="1"/>
    <xf numFmtId="0" fontId="0" fillId="2" borderId="40" xfId="0" applyFill="1" applyBorder="1"/>
    <xf numFmtId="1" fontId="0" fillId="2" borderId="0" xfId="0" applyNumberFormat="1" applyFill="1"/>
    <xf numFmtId="14" fontId="10" fillId="0" borderId="8" xfId="0" applyNumberFormat="1" applyFont="1" applyFill="1" applyBorder="1"/>
    <xf numFmtId="165" fontId="3" fillId="0" borderId="10" xfId="3" applyNumberFormat="1" applyFont="1" applyBorder="1" applyAlignment="1">
      <alignment horizontal="left" vertical="top" wrapText="1"/>
    </xf>
    <xf numFmtId="0" fontId="3" fillId="0" borderId="10" xfId="3" applyFont="1" applyBorder="1" applyAlignment="1">
      <alignment horizontal="left" vertical="top" wrapText="1"/>
    </xf>
    <xf numFmtId="165" fontId="1" fillId="0" borderId="0" xfId="3" applyNumberFormat="1" applyFont="1" applyBorder="1" applyAlignment="1">
      <alignment horizontal="right" wrapText="1"/>
    </xf>
    <xf numFmtId="0" fontId="4" fillId="0" borderId="0" xfId="3" applyAlignment="1">
      <alignment horizontal="right" wrapText="1"/>
    </xf>
    <xf numFmtId="165" fontId="1" fillId="0" borderId="0" xfId="3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10" fillId="0" borderId="0" xfId="0" applyFont="1" applyFill="1" applyAlignment="1">
      <alignment horizontal="right" wrapText="1"/>
    </xf>
    <xf numFmtId="0" fontId="10" fillId="0" borderId="0" xfId="0" applyFont="1" applyFill="1" applyAlignment="1">
      <alignment horizontal="left" wrapText="1"/>
    </xf>
    <xf numFmtId="0" fontId="0" fillId="0" borderId="0" xfId="0" applyAlignment="1">
      <alignment horizontal="left" wrapText="1"/>
    </xf>
    <xf numFmtId="0" fontId="10" fillId="0" borderId="0" xfId="0" applyFont="1" applyAlignment="1">
      <alignment horizontal="left" wrapText="1"/>
    </xf>
    <xf numFmtId="0" fontId="0" fillId="0" borderId="6" xfId="0" applyBorder="1" applyAlignment="1">
      <alignment horizontal="left" wrapText="1"/>
    </xf>
    <xf numFmtId="0" fontId="16" fillId="0" borderId="8" xfId="6" applyFont="1" applyBorder="1" applyAlignment="1">
      <alignment horizontal="center" wrapText="1"/>
    </xf>
    <xf numFmtId="0" fontId="24" fillId="0" borderId="0" xfId="6" applyFont="1" applyAlignment="1">
      <alignment wrapText="1"/>
    </xf>
    <xf numFmtId="0" fontId="1" fillId="0" borderId="0" xfId="2" applyAlignment="1">
      <alignment wrapText="1"/>
    </xf>
    <xf numFmtId="0" fontId="26" fillId="0" borderId="0" xfId="6" applyFont="1" applyAlignment="1">
      <alignment wrapText="1"/>
    </xf>
    <xf numFmtId="0" fontId="6" fillId="0" borderId="0" xfId="2" applyFont="1" applyAlignment="1">
      <alignment wrapText="1"/>
    </xf>
    <xf numFmtId="0" fontId="27" fillId="0" borderId="0" xfId="6" applyFont="1" applyAlignment="1">
      <alignment wrapText="1"/>
    </xf>
    <xf numFmtId="0" fontId="11" fillId="0" borderId="0" xfId="2" applyFont="1" applyAlignment="1">
      <alignment wrapText="1"/>
    </xf>
    <xf numFmtId="0" fontId="5" fillId="0" borderId="0" xfId="2" applyFont="1" applyAlignment="1">
      <alignment wrapText="1"/>
    </xf>
    <xf numFmtId="0" fontId="24" fillId="0" borderId="19" xfId="6" applyFont="1" applyBorder="1" applyAlignment="1">
      <alignment wrapText="1"/>
    </xf>
    <xf numFmtId="0" fontId="1" fillId="0" borderId="0" xfId="2" applyBorder="1" applyAlignment="1">
      <alignment wrapText="1"/>
    </xf>
    <xf numFmtId="0" fontId="24" fillId="0" borderId="46" xfId="6" applyFont="1" applyBorder="1" applyAlignment="1">
      <alignment wrapText="1"/>
    </xf>
    <xf numFmtId="0" fontId="1" fillId="0" borderId="18" xfId="2" applyBorder="1" applyAlignment="1">
      <alignment wrapText="1"/>
    </xf>
    <xf numFmtId="2" fontId="24" fillId="0" borderId="0" xfId="6" applyNumberFormat="1" applyFont="1" applyAlignment="1">
      <alignment horizontal="left" wrapText="1"/>
    </xf>
    <xf numFmtId="0" fontId="24" fillId="0" borderId="42" xfId="6" applyFont="1" applyBorder="1" applyAlignment="1">
      <alignment wrapText="1"/>
    </xf>
    <xf numFmtId="0" fontId="1" fillId="0" borderId="45" xfId="2" applyBorder="1" applyAlignment="1">
      <alignment wrapText="1"/>
    </xf>
    <xf numFmtId="2" fontId="26" fillId="0" borderId="0" xfId="6" applyNumberFormat="1" applyFont="1" applyAlignment="1">
      <alignment horizontal="left" wrapText="1"/>
    </xf>
    <xf numFmtId="0" fontId="31" fillId="0" borderId="41" xfId="3" applyFont="1" applyBorder="1"/>
    <xf numFmtId="0" fontId="31" fillId="0" borderId="44" xfId="3" applyFont="1" applyBorder="1"/>
    <xf numFmtId="0" fontId="32" fillId="0" borderId="2" xfId="3" applyFont="1" applyBorder="1" applyAlignment="1">
      <alignment vertical="top"/>
    </xf>
    <xf numFmtId="0" fontId="32" fillId="0" borderId="3" xfId="3" applyFont="1" applyBorder="1"/>
    <xf numFmtId="165" fontId="33" fillId="0" borderId="1" xfId="3" applyNumberFormat="1" applyFont="1" applyBorder="1" applyAlignment="1">
      <alignment horizontal="left" vertical="top" wrapText="1"/>
    </xf>
    <xf numFmtId="0" fontId="33" fillId="0" borderId="1" xfId="3" applyFont="1" applyBorder="1" applyAlignment="1">
      <alignment horizontal="left" vertical="top" wrapText="1"/>
    </xf>
    <xf numFmtId="0" fontId="31" fillId="0" borderId="1" xfId="3" applyFont="1" applyBorder="1" applyAlignment="1">
      <alignment horizontal="left" vertical="top" wrapText="1"/>
    </xf>
    <xf numFmtId="166" fontId="34" fillId="0" borderId="3" xfId="3" quotePrefix="1" applyNumberFormat="1" applyFont="1" applyFill="1" applyBorder="1" applyAlignment="1">
      <alignment vertical="center"/>
    </xf>
    <xf numFmtId="14" fontId="32" fillId="0" borderId="54" xfId="3" applyNumberFormat="1" applyFont="1" applyFill="1" applyBorder="1" applyAlignment="1">
      <alignment horizontal="center" vertical="center" wrapText="1"/>
    </xf>
    <xf numFmtId="0" fontId="31" fillId="0" borderId="3" xfId="3" applyFont="1" applyFill="1" applyBorder="1"/>
    <xf numFmtId="0" fontId="31" fillId="0" borderId="4" xfId="3" applyFont="1" applyFill="1" applyBorder="1"/>
    <xf numFmtId="0" fontId="31" fillId="0" borderId="0" xfId="3" applyFont="1" applyBorder="1"/>
    <xf numFmtId="0" fontId="31" fillId="0" borderId="0" xfId="3" applyFont="1"/>
    <xf numFmtId="0" fontId="31" fillId="0" borderId="19" xfId="3" applyFont="1" applyBorder="1"/>
    <xf numFmtId="0" fontId="31" fillId="8" borderId="2" xfId="3" applyFont="1" applyFill="1" applyBorder="1"/>
    <xf numFmtId="0" fontId="32" fillId="8" borderId="2" xfId="3" applyFont="1" applyFill="1" applyBorder="1"/>
    <xf numFmtId="0" fontId="32" fillId="8" borderId="3" xfId="3" applyFont="1" applyFill="1" applyBorder="1"/>
    <xf numFmtId="165" fontId="31" fillId="8" borderId="3" xfId="3" applyNumberFormat="1" applyFont="1" applyFill="1" applyBorder="1"/>
    <xf numFmtId="0" fontId="31" fillId="8" borderId="3" xfId="3" applyFont="1" applyFill="1" applyBorder="1"/>
    <xf numFmtId="0" fontId="31" fillId="8" borderId="4" xfId="3" applyFont="1" applyFill="1" applyBorder="1"/>
    <xf numFmtId="0" fontId="31" fillId="8" borderId="5" xfId="3" applyFont="1" applyFill="1" applyBorder="1"/>
    <xf numFmtId="0" fontId="32" fillId="8" borderId="5" xfId="3" applyFont="1" applyFill="1" applyBorder="1"/>
    <xf numFmtId="0" fontId="32" fillId="8" borderId="0" xfId="3" applyFont="1" applyFill="1" applyBorder="1"/>
    <xf numFmtId="43" fontId="35" fillId="8" borderId="0" xfId="4" applyNumberFormat="1" applyFont="1" applyFill="1" applyBorder="1" applyProtection="1">
      <protection locked="0"/>
    </xf>
    <xf numFmtId="5" fontId="36" fillId="0" borderId="8" xfId="4" applyNumberFormat="1" applyFont="1" applyFill="1" applyBorder="1" applyProtection="1">
      <protection locked="0"/>
    </xf>
    <xf numFmtId="6" fontId="31" fillId="8" borderId="0" xfId="4" applyNumberFormat="1" applyFont="1" applyFill="1" applyBorder="1" applyProtection="1">
      <protection locked="0"/>
    </xf>
    <xf numFmtId="165" fontId="31" fillId="8" borderId="0" xfId="3" applyNumberFormat="1" applyFont="1" applyFill="1" applyBorder="1"/>
    <xf numFmtId="0" fontId="31" fillId="8" borderId="0" xfId="3" applyFont="1" applyFill="1" applyBorder="1"/>
    <xf numFmtId="6" fontId="31" fillId="8" borderId="0" xfId="3" applyNumberFormat="1" applyFont="1" applyFill="1" applyBorder="1"/>
    <xf numFmtId="0" fontId="31" fillId="8" borderId="6" xfId="3" applyFont="1" applyFill="1" applyBorder="1"/>
    <xf numFmtId="6" fontId="35" fillId="8" borderId="0" xfId="4" applyNumberFormat="1" applyFont="1" applyFill="1" applyBorder="1"/>
    <xf numFmtId="6" fontId="31" fillId="8" borderId="0" xfId="4" applyNumberFormat="1" applyFont="1" applyFill="1" applyBorder="1"/>
    <xf numFmtId="167" fontId="36" fillId="8" borderId="0" xfId="1" applyNumberFormat="1" applyFont="1" applyFill="1" applyBorder="1" applyProtection="1">
      <protection locked="0"/>
    </xf>
    <xf numFmtId="167" fontId="31" fillId="8" borderId="0" xfId="1" applyNumberFormat="1" applyFont="1" applyFill="1" applyBorder="1" applyProtection="1">
      <protection locked="0"/>
    </xf>
    <xf numFmtId="165" fontId="31" fillId="8" borderId="0" xfId="3" applyNumberFormat="1" applyFont="1" applyFill="1" applyBorder="1" applyAlignment="1">
      <alignment horizontal="right" wrapText="1"/>
    </xf>
    <xf numFmtId="0" fontId="31" fillId="8" borderId="0" xfId="3" applyFont="1" applyFill="1" applyBorder="1" applyAlignment="1">
      <alignment horizontal="right" wrapText="1"/>
    </xf>
    <xf numFmtId="1" fontId="31" fillId="8" borderId="0" xfId="3" applyNumberFormat="1" applyFont="1" applyFill="1" applyBorder="1"/>
    <xf numFmtId="167" fontId="36" fillId="0" borderId="8" xfId="1" applyNumberFormat="1" applyFont="1" applyFill="1" applyBorder="1"/>
    <xf numFmtId="167" fontId="31" fillId="8" borderId="0" xfId="1" applyNumberFormat="1" applyFont="1" applyFill="1" applyBorder="1"/>
    <xf numFmtId="9" fontId="36" fillId="0" borderId="8" xfId="5" applyFont="1" applyFill="1" applyBorder="1" applyProtection="1">
      <protection locked="0"/>
    </xf>
    <xf numFmtId="9" fontId="31" fillId="8" borderId="0" xfId="5" applyFont="1" applyFill="1" applyBorder="1" applyProtection="1">
      <protection locked="0"/>
    </xf>
    <xf numFmtId="165" fontId="31" fillId="8" borderId="0" xfId="3" applyNumberFormat="1" applyFont="1" applyFill="1" applyBorder="1" applyAlignment="1">
      <alignment horizontal="right"/>
    </xf>
    <xf numFmtId="0" fontId="37" fillId="8" borderId="0" xfId="0" applyFont="1" applyFill="1" applyBorder="1" applyAlignment="1">
      <alignment horizontal="right"/>
    </xf>
    <xf numFmtId="14" fontId="35" fillId="0" borderId="8" xfId="3" applyNumberFormat="1" applyFont="1" applyFill="1" applyBorder="1"/>
    <xf numFmtId="167" fontId="32" fillId="8" borderId="0" xfId="5" applyNumberFormat="1" applyFont="1" applyFill="1" applyBorder="1"/>
    <xf numFmtId="9" fontId="31" fillId="8" borderId="0" xfId="5" applyFont="1" applyFill="1" applyBorder="1"/>
    <xf numFmtId="0" fontId="32" fillId="0" borderId="8" xfId="3" applyFont="1" applyFill="1" applyBorder="1"/>
    <xf numFmtId="0" fontId="32" fillId="8" borderId="5" xfId="3" quotePrefix="1" applyFont="1" applyFill="1" applyBorder="1" applyAlignment="1">
      <alignment horizontal="left"/>
    </xf>
    <xf numFmtId="0" fontId="32" fillId="8" borderId="0" xfId="3" quotePrefix="1" applyFont="1" applyFill="1" applyBorder="1" applyAlignment="1">
      <alignment horizontal="left"/>
    </xf>
    <xf numFmtId="166" fontId="36" fillId="0" borderId="8" xfId="3" applyNumberFormat="1" applyFont="1" applyFill="1" applyBorder="1" applyProtection="1">
      <protection locked="0"/>
    </xf>
    <xf numFmtId="166" fontId="31" fillId="8" borderId="0" xfId="3" applyNumberFormat="1" applyFont="1" applyFill="1" applyBorder="1" applyProtection="1">
      <protection locked="0"/>
    </xf>
    <xf numFmtId="14" fontId="35" fillId="8" borderId="3" xfId="3" applyNumberFormat="1" applyFont="1" applyFill="1" applyBorder="1"/>
    <xf numFmtId="0" fontId="31" fillId="8" borderId="9" xfId="3" applyFont="1" applyFill="1" applyBorder="1"/>
    <xf numFmtId="0" fontId="31" fillId="8" borderId="9" xfId="3" quotePrefix="1" applyFont="1" applyFill="1" applyBorder="1" applyAlignment="1">
      <alignment horizontal="left"/>
    </xf>
    <xf numFmtId="0" fontId="31" fillId="8" borderId="10" xfId="3" quotePrefix="1" applyFont="1" applyFill="1" applyBorder="1" applyAlignment="1">
      <alignment horizontal="left"/>
    </xf>
    <xf numFmtId="166" fontId="31" fillId="8" borderId="10" xfId="3" applyNumberFormat="1" applyFont="1" applyFill="1" applyBorder="1"/>
    <xf numFmtId="165" fontId="31" fillId="8" borderId="10" xfId="3" applyNumberFormat="1" applyFont="1" applyFill="1" applyBorder="1"/>
    <xf numFmtId="0" fontId="31" fillId="8" borderId="10" xfId="3" applyFont="1" applyFill="1" applyBorder="1"/>
    <xf numFmtId="0" fontId="31" fillId="8" borderId="11" xfId="3" applyFont="1" applyFill="1" applyBorder="1"/>
    <xf numFmtId="0" fontId="31" fillId="0" borderId="5" xfId="3" quotePrefix="1" applyFont="1" applyBorder="1" applyAlignment="1">
      <alignment horizontal="left"/>
    </xf>
    <xf numFmtId="0" fontId="31" fillId="0" borderId="0" xfId="3" quotePrefix="1" applyFont="1" applyBorder="1" applyAlignment="1">
      <alignment horizontal="left"/>
    </xf>
    <xf numFmtId="166" fontId="31" fillId="0" borderId="0" xfId="3" applyNumberFormat="1" applyFont="1" applyBorder="1"/>
    <xf numFmtId="165" fontId="31" fillId="0" borderId="0" xfId="3" applyNumberFormat="1" applyFont="1" applyBorder="1"/>
    <xf numFmtId="0" fontId="31" fillId="0" borderId="6" xfId="3" applyFont="1" applyBorder="1"/>
    <xf numFmtId="0" fontId="31" fillId="0" borderId="54" xfId="3" applyFont="1" applyBorder="1"/>
    <xf numFmtId="0" fontId="31" fillId="0" borderId="2" xfId="3" applyFont="1" applyBorder="1"/>
    <xf numFmtId="0" fontId="31" fillId="0" borderId="2" xfId="3" quotePrefix="1" applyFont="1" applyBorder="1" applyAlignment="1">
      <alignment horizontal="left"/>
    </xf>
    <xf numFmtId="0" fontId="31" fillId="0" borderId="3" xfId="3" quotePrefix="1" applyFont="1" applyBorder="1" applyAlignment="1">
      <alignment horizontal="left"/>
    </xf>
    <xf numFmtId="166" fontId="31" fillId="0" borderId="3" xfId="3" applyNumberFormat="1" applyFont="1" applyBorder="1"/>
    <xf numFmtId="166" fontId="38" fillId="0" borderId="3" xfId="3" applyNumberFormat="1" applyFont="1" applyBorder="1"/>
    <xf numFmtId="165" fontId="31" fillId="0" borderId="3" xfId="3" applyNumberFormat="1" applyFont="1" applyBorder="1"/>
    <xf numFmtId="0" fontId="31" fillId="0" borderId="3" xfId="3" applyFont="1" applyBorder="1"/>
    <xf numFmtId="0" fontId="31" fillId="0" borderId="4" xfId="3" applyFont="1" applyBorder="1"/>
    <xf numFmtId="0" fontId="31" fillId="0" borderId="12" xfId="3" applyFont="1" applyBorder="1"/>
    <xf numFmtId="0" fontId="32" fillId="0" borderId="8" xfId="3" applyFont="1" applyBorder="1" applyAlignment="1">
      <alignment horizontal="center" vertical="top" wrapText="1"/>
    </xf>
    <xf numFmtId="0" fontId="39" fillId="0" borderId="8" xfId="3" applyFont="1" applyBorder="1" applyAlignment="1">
      <alignment horizontal="center" vertical="top" wrapText="1"/>
    </xf>
    <xf numFmtId="0" fontId="31" fillId="0" borderId="8" xfId="3" applyFont="1" applyBorder="1" applyAlignment="1">
      <alignment horizontal="center"/>
    </xf>
    <xf numFmtId="0" fontId="32" fillId="0" borderId="8" xfId="3" applyFont="1" applyBorder="1" applyAlignment="1">
      <alignment horizontal="center" vertical="center" wrapText="1"/>
    </xf>
    <xf numFmtId="0" fontId="31" fillId="0" borderId="9" xfId="3" applyFont="1" applyBorder="1"/>
    <xf numFmtId="0" fontId="31" fillId="0" borderId="9" xfId="3" applyFont="1" applyBorder="1" applyAlignment="1">
      <alignment horizontal="center" vertical="top" wrapText="1"/>
    </xf>
    <xf numFmtId="0" fontId="31" fillId="0" borderId="10" xfId="3" applyFont="1" applyBorder="1" applyAlignment="1">
      <alignment horizontal="center" vertical="top" wrapText="1"/>
    </xf>
    <xf numFmtId="0" fontId="38" fillId="0" borderId="10" xfId="3" applyFont="1" applyBorder="1" applyAlignment="1">
      <alignment horizontal="center" vertical="top" wrapText="1"/>
    </xf>
    <xf numFmtId="0" fontId="32" fillId="0" borderId="11" xfId="3" applyFont="1" applyBorder="1" applyAlignment="1">
      <alignment horizontal="center" vertical="top" wrapText="1"/>
    </xf>
    <xf numFmtId="0" fontId="31" fillId="0" borderId="11" xfId="3" applyFont="1" applyBorder="1"/>
    <xf numFmtId="0" fontId="31" fillId="0" borderId="48" xfId="3" applyFont="1" applyBorder="1"/>
    <xf numFmtId="0" fontId="31" fillId="0" borderId="49" xfId="3" applyFont="1" applyBorder="1"/>
    <xf numFmtId="0" fontId="31" fillId="6" borderId="49" xfId="3" applyFont="1" applyFill="1" applyBorder="1"/>
    <xf numFmtId="0" fontId="38" fillId="6" borderId="49" xfId="3" applyFont="1" applyFill="1" applyBorder="1"/>
    <xf numFmtId="168" fontId="31" fillId="6" borderId="49" xfId="3" applyNumberFormat="1" applyFont="1" applyFill="1" applyBorder="1" applyAlignment="1">
      <alignment horizontal="right"/>
    </xf>
    <xf numFmtId="0" fontId="40" fillId="6" borderId="49" xfId="3" applyFont="1" applyFill="1" applyBorder="1"/>
    <xf numFmtId="168" fontId="31" fillId="6" borderId="49" xfId="3" applyNumberFormat="1" applyFont="1" applyFill="1" applyBorder="1" applyAlignment="1">
      <alignment horizontal="left"/>
    </xf>
    <xf numFmtId="0" fontId="31" fillId="0" borderId="50" xfId="3" applyFont="1" applyBorder="1"/>
    <xf numFmtId="0" fontId="31" fillId="0" borderId="8" xfId="3" applyFont="1" applyBorder="1"/>
    <xf numFmtId="14" fontId="31" fillId="0" borderId="8" xfId="3" applyNumberFormat="1" applyFont="1" applyBorder="1"/>
    <xf numFmtId="168" fontId="31" fillId="0" borderId="8" xfId="3" applyNumberFormat="1" applyFont="1" applyBorder="1"/>
    <xf numFmtId="168" fontId="38" fillId="0" borderId="8" xfId="3" applyNumberFormat="1" applyFont="1" applyBorder="1"/>
    <xf numFmtId="168" fontId="31" fillId="0" borderId="8" xfId="3" quotePrefix="1" applyNumberFormat="1" applyFont="1" applyBorder="1"/>
    <xf numFmtId="172" fontId="41" fillId="0" borderId="8" xfId="3" quotePrefix="1" applyNumberFormat="1" applyFont="1" applyBorder="1"/>
    <xf numFmtId="0" fontId="31" fillId="0" borderId="0" xfId="3" quotePrefix="1" applyFont="1" applyBorder="1"/>
    <xf numFmtId="0" fontId="31" fillId="5" borderId="12" xfId="3" applyFont="1" applyFill="1" applyBorder="1"/>
    <xf numFmtId="172" fontId="41" fillId="0" borderId="8" xfId="3" applyNumberFormat="1" applyFont="1" applyBorder="1"/>
    <xf numFmtId="0" fontId="31" fillId="0" borderId="51" xfId="3" applyFont="1" applyBorder="1"/>
    <xf numFmtId="0" fontId="31" fillId="5" borderId="52" xfId="3" applyFont="1" applyFill="1" applyBorder="1"/>
    <xf numFmtId="14" fontId="31" fillId="0" borderId="51" xfId="3" applyNumberFormat="1" applyFont="1" applyBorder="1"/>
    <xf numFmtId="168" fontId="38" fillId="0" borderId="51" xfId="3" applyNumberFormat="1" applyFont="1" applyBorder="1"/>
    <xf numFmtId="168" fontId="31" fillId="0" borderId="51" xfId="3" applyNumberFormat="1" applyFont="1" applyBorder="1"/>
    <xf numFmtId="168" fontId="31" fillId="0" borderId="51" xfId="3" quotePrefix="1" applyNumberFormat="1" applyFont="1" applyBorder="1"/>
    <xf numFmtId="172" fontId="41" fillId="0" borderId="51" xfId="3" applyNumberFormat="1" applyFont="1" applyBorder="1"/>
    <xf numFmtId="0" fontId="31" fillId="5" borderId="49" xfId="3" applyFont="1" applyFill="1" applyBorder="1"/>
    <xf numFmtId="14" fontId="31" fillId="0" borderId="49" xfId="3" applyNumberFormat="1" applyFont="1" applyBorder="1"/>
    <xf numFmtId="168" fontId="38" fillId="0" borderId="49" xfId="3" applyNumberFormat="1" applyFont="1" applyBorder="1"/>
    <xf numFmtId="168" fontId="31" fillId="0" borderId="49" xfId="3" applyNumberFormat="1" applyFont="1" applyBorder="1"/>
    <xf numFmtId="168" fontId="31" fillId="0" borderId="49" xfId="3" quotePrefix="1" applyNumberFormat="1" applyFont="1" applyBorder="1"/>
    <xf numFmtId="172" fontId="41" fillId="0" borderId="49" xfId="3" applyNumberFormat="1" applyFont="1" applyBorder="1"/>
    <xf numFmtId="0" fontId="31" fillId="5" borderId="8" xfId="3" applyFont="1" applyFill="1" applyBorder="1"/>
    <xf numFmtId="0" fontId="31" fillId="0" borderId="53" xfId="3" applyFont="1" applyBorder="1"/>
    <xf numFmtId="0" fontId="31" fillId="5" borderId="53" xfId="3" applyFont="1" applyFill="1" applyBorder="1"/>
    <xf numFmtId="14" fontId="31" fillId="0" borderId="53" xfId="3" applyNumberFormat="1" applyFont="1" applyBorder="1"/>
    <xf numFmtId="168" fontId="31" fillId="0" borderId="53" xfId="3" applyNumberFormat="1" applyFont="1" applyBorder="1"/>
    <xf numFmtId="168" fontId="38" fillId="0" borderId="53" xfId="3" applyNumberFormat="1" applyFont="1" applyBorder="1"/>
    <xf numFmtId="168" fontId="31" fillId="0" borderId="53" xfId="3" quotePrefix="1" applyNumberFormat="1" applyFont="1" applyBorder="1"/>
    <xf numFmtId="172" fontId="41" fillId="0" borderId="53" xfId="3" applyNumberFormat="1" applyFont="1" applyBorder="1"/>
    <xf numFmtId="0" fontId="31" fillId="0" borderId="0" xfId="3" quotePrefix="1" applyFont="1" applyAlignment="1">
      <alignment horizontal="left"/>
    </xf>
    <xf numFmtId="166" fontId="31" fillId="0" borderId="0" xfId="3" applyNumberFormat="1" applyFont="1"/>
    <xf numFmtId="165" fontId="31" fillId="0" borderId="0" xfId="3" applyNumberFormat="1" applyFont="1"/>
    <xf numFmtId="0" fontId="31" fillId="0" borderId="0" xfId="3" applyFont="1" applyAlignment="1">
      <alignment horizontal="left"/>
    </xf>
  </cellXfs>
  <cellStyles count="11">
    <cellStyle name="Comma" xfId="1" builtinId="3"/>
    <cellStyle name="Comma 2" xfId="7" xr:uid="{00000000-0005-0000-0000-000001000000}"/>
    <cellStyle name="Comma 2 2" xfId="8" xr:uid="{00000000-0005-0000-0000-000002000000}"/>
    <cellStyle name="Comma 3" xfId="9" xr:uid="{00000000-0005-0000-0000-000003000000}"/>
    <cellStyle name="Comma 3 2" xfId="10" xr:uid="{00000000-0005-0000-0000-000004000000}"/>
    <cellStyle name="Currency 2" xfId="4" xr:uid="{00000000-0005-0000-0000-000005000000}"/>
    <cellStyle name="Normal" xfId="0" builtinId="0"/>
    <cellStyle name="Normal 2" xfId="2" xr:uid="{00000000-0005-0000-0000-000007000000}"/>
    <cellStyle name="Normal 3" xfId="3" xr:uid="{00000000-0005-0000-0000-000008000000}"/>
    <cellStyle name="Normal 3 2" xfId="6" xr:uid="{00000000-0005-0000-0000-000009000000}"/>
    <cellStyle name="Percent 2" xfId="5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581036145618904E-2"/>
          <c:y val="1.4495296163989002E-2"/>
          <c:w val="0.71381047661546881"/>
          <c:h val="0.78436867600576055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multiLvlStrRef>
              <c:f>CashFlow!$C$16:$D$40</c:f>
              <c:multiLvlStrCache>
                <c:ptCount val="25"/>
                <c:lvl>
                  <c:pt idx="0">
                    <c:v>21/07/2021</c:v>
                  </c:pt>
                  <c:pt idx="1">
                    <c:v>23/08/2021</c:v>
                  </c:pt>
                  <c:pt idx="2">
                    <c:v>20/09/2021</c:v>
                  </c:pt>
                  <c:pt idx="3">
                    <c:v>31/10/2021</c:v>
                  </c:pt>
                  <c:pt idx="4">
                    <c:v>23/11/2021</c:v>
                  </c:pt>
                  <c:pt idx="5">
                    <c:v>21/12/2021</c:v>
                  </c:pt>
                  <c:pt idx="6">
                    <c:v>24/01/2022</c:v>
                  </c:pt>
                  <c:pt idx="7">
                    <c:v>21/02/2022</c:v>
                  </c:pt>
                  <c:pt idx="8">
                    <c:v>21/03/2022</c:v>
                  </c:pt>
                  <c:pt idx="9">
                    <c:v>29/03/2022</c:v>
                  </c:pt>
                  <c:pt idx="10">
                    <c:v>28/04/2022</c:v>
                  </c:pt>
                  <c:pt idx="11">
                    <c:v>29/05/2022</c:v>
                  </c:pt>
                  <c:pt idx="12">
                    <c:v>28/06/2022</c:v>
                  </c:pt>
                  <c:pt idx="13">
                    <c:v>29/07/2022</c:v>
                  </c:pt>
                  <c:pt idx="14">
                    <c:v>28/08/2022</c:v>
                  </c:pt>
                  <c:pt idx="15">
                    <c:v>28/09/2022</c:v>
                  </c:pt>
                  <c:pt idx="16">
                    <c:v>28/10/2022</c:v>
                  </c:pt>
                  <c:pt idx="17">
                    <c:v>28/11/2022</c:v>
                  </c:pt>
                  <c:pt idx="18">
                    <c:v>28/12/2022</c:v>
                  </c:pt>
                  <c:pt idx="19">
                    <c:v>28/01/2023</c:v>
                  </c:pt>
                  <c:pt idx="20">
                    <c:v>27/02/2023</c:v>
                  </c:pt>
                  <c:pt idx="21">
                    <c:v>30/03/2023</c:v>
                  </c:pt>
                  <c:pt idx="22">
                    <c:v>29/04/2023</c:v>
                  </c:pt>
                  <c:pt idx="23">
                    <c:v>30/05/2023</c:v>
                  </c:pt>
                  <c:pt idx="24">
                    <c:v>29/06/2023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</c:lvl>
              </c:multiLvlStrCache>
            </c:multiLvlStrRef>
          </c:cat>
          <c:val>
            <c:numRef>
              <c:f>CashFlow!$E$16:$E$40</c:f>
              <c:numCache>
                <c:formatCode>"£"#,##0</c:formatCode>
                <c:ptCount val="25"/>
                <c:pt idx="0">
                  <c:v>151002.89097365705</c:v>
                </c:pt>
                <c:pt idx="1">
                  <c:v>220919.93816988415</c:v>
                </c:pt>
                <c:pt idx="2">
                  <c:v>302964.50024316437</c:v>
                </c:pt>
                <c:pt idx="3">
                  <c:v>467159.71578125429</c:v>
                </c:pt>
                <c:pt idx="4">
                  <c:v>593977.45560909063</c:v>
                </c:pt>
                <c:pt idx="5">
                  <c:v>777776.9360969566</c:v>
                </c:pt>
                <c:pt idx="6">
                  <c:v>1055184.7034824584</c:v>
                </c:pt>
                <c:pt idx="7">
                  <c:v>1339776.7335241372</c:v>
                </c:pt>
                <c:pt idx="8">
                  <c:v>1570385.2192858607</c:v>
                </c:pt>
                <c:pt idx="9">
                  <c:v>1605522.1465269553</c:v>
                </c:pt>
                <c:pt idx="10">
                  <c:v>2029144.9532188354</c:v>
                </c:pt>
                <c:pt idx="11">
                  <c:v>2497593.8648828622</c:v>
                </c:pt>
                <c:pt idx="12">
                  <c:v>3053752.6006210269</c:v>
                </c:pt>
                <c:pt idx="13">
                  <c:v>3700373.6389624556</c:v>
                </c:pt>
                <c:pt idx="14">
                  <c:v>4307636.0001710653</c:v>
                </c:pt>
                <c:pt idx="15">
                  <c:v>5042107.8837964162</c:v>
                </c:pt>
                <c:pt idx="16">
                  <c:v>5760837.5087597892</c:v>
                </c:pt>
                <c:pt idx="17">
                  <c:v>6439661.8016614746</c:v>
                </c:pt>
                <c:pt idx="18">
                  <c:v>7117898.827033136</c:v>
                </c:pt>
                <c:pt idx="19">
                  <c:v>7735367.0635894369</c:v>
                </c:pt>
                <c:pt idx="20">
                  <c:v>8243323.9292331412</c:v>
                </c:pt>
                <c:pt idx="21">
                  <c:v>8508262.0601410866</c:v>
                </c:pt>
                <c:pt idx="22">
                  <c:v>8843115.8658597786</c:v>
                </c:pt>
                <c:pt idx="23">
                  <c:v>9056819.4450464156</c:v>
                </c:pt>
                <c:pt idx="24">
                  <c:v>9119824.2599999998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D5-4582-BCAE-4183A73EA2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2278656"/>
        <c:axId val="66519040"/>
      </c:barChart>
      <c:catAx>
        <c:axId val="1222786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6519040"/>
        <c:crosses val="autoZero"/>
        <c:auto val="1"/>
        <c:lblAlgn val="ctr"/>
        <c:lblOffset val="100"/>
        <c:noMultiLvlLbl val="0"/>
      </c:catAx>
      <c:valAx>
        <c:axId val="66519040"/>
        <c:scaling>
          <c:orientation val="minMax"/>
        </c:scaling>
        <c:delete val="0"/>
        <c:axPos val="l"/>
        <c:majorGridlines/>
        <c:numFmt formatCode="&quot;£&quot;#,##0" sourceLinked="1"/>
        <c:majorTickMark val="out"/>
        <c:minorTickMark val="none"/>
        <c:tickLblPos val="nextTo"/>
        <c:crossAx val="122278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855" l="0.70000000000000062" r="0.70000000000000062" t="0.750000000000008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317500</xdr:colOff>
      <xdr:row>0</xdr:row>
      <xdr:rowOff>292100</xdr:rowOff>
    </xdr:from>
    <xdr:to>
      <xdr:col>32</xdr:col>
      <xdr:colOff>139700</xdr:colOff>
      <xdr:row>33</xdr:row>
      <xdr:rowOff>241300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ld%20Server\Company\W%20B%20Griffiths%20&amp;%20Son%20Ltd\CONTRACTS\CONTRACTING\Millbay%20Homes%20-%20Crundale%2018th%20December%202014\I%20=%20Sub%20Contractors,%20WIP\4%20=%20GroundWorks%20-%20DKAN\Cardigan%20Slade%20DKAN%20-%20DRAFT%20FINAL%20ACCOUNT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ld%20Server\Company\W%20B%20Griffiths%20&amp;%20Son%20Ltd\CONTRACTS\CONTRACTING\FIR%20TREE%20CLOSE\B%20=%20Valuations\Valuations%20%20sent\Valuation%20Template%20REv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 Template"/>
      <sheetName val="Ticksheet-SUBS"/>
      <sheetName val="Subs.Block.Msre"/>
      <sheetName val="Final Account"/>
      <sheetName val="FillAnalysis"/>
      <sheetName val="SUBS"/>
      <sheetName val="PLOTPATHS"/>
      <sheetName val="HARDSTAND"/>
      <sheetName val="ADOPTEDROADS"/>
      <sheetName val="ADOPTEDPATHS"/>
      <sheetName val="WALLS"/>
      <sheetName val="KERBS"/>
      <sheetName val="GARDENS"/>
      <sheetName val="COM_AREA"/>
      <sheetName val="Area Check"/>
      <sheetName val="Constants"/>
    </sheetNames>
    <sheetDataSet>
      <sheetData sheetId="0">
        <row r="38">
          <cell r="B38">
            <v>35</v>
          </cell>
          <cell r="D38" t="str">
            <v>Substructures</v>
          </cell>
        </row>
        <row r="39">
          <cell r="B39">
            <v>36</v>
          </cell>
          <cell r="C39" t="str">
            <v>D20</v>
          </cell>
          <cell r="D39" t="str">
            <v>Exc. tr. width &gt;0.30m, max depth n.e. 1.00m</v>
          </cell>
          <cell r="E39">
            <v>24</v>
          </cell>
          <cell r="F39">
            <v>192</v>
          </cell>
          <cell r="G39">
            <v>17</v>
          </cell>
          <cell r="H39">
            <v>153</v>
          </cell>
          <cell r="I39">
            <v>19</v>
          </cell>
          <cell r="J39">
            <v>114</v>
          </cell>
          <cell r="K39">
            <v>22</v>
          </cell>
          <cell r="L39">
            <v>66</v>
          </cell>
          <cell r="M39">
            <v>23</v>
          </cell>
          <cell r="N39">
            <v>92</v>
          </cell>
          <cell r="O39">
            <v>26</v>
          </cell>
          <cell r="P39">
            <v>52</v>
          </cell>
          <cell r="Q39">
            <v>15</v>
          </cell>
          <cell r="R39">
            <v>105</v>
          </cell>
          <cell r="T39">
            <v>774</v>
          </cell>
          <cell r="V39" t="str">
            <v>m3</v>
          </cell>
          <cell r="X39">
            <v>9</v>
          </cell>
          <cell r="Y39">
            <v>6966</v>
          </cell>
        </row>
        <row r="40">
          <cell r="B40">
            <v>37</v>
          </cell>
          <cell r="Y40" t="str">
            <v>20% Prov Allow</v>
          </cell>
        </row>
        <row r="41">
          <cell r="B41">
            <v>38</v>
          </cell>
          <cell r="C41" t="str">
            <v>D20</v>
          </cell>
          <cell r="D41" t="str">
            <v>Filling to excvns. av. thickness &gt;0.25m, arising from excvns,</v>
          </cell>
          <cell r="E41">
            <v>9</v>
          </cell>
          <cell r="F41">
            <v>72</v>
          </cell>
          <cell r="G41">
            <v>6</v>
          </cell>
          <cell r="H41">
            <v>54</v>
          </cell>
          <cell r="I41">
            <v>7</v>
          </cell>
          <cell r="J41">
            <v>42</v>
          </cell>
          <cell r="K41">
            <v>9</v>
          </cell>
          <cell r="L41">
            <v>27</v>
          </cell>
          <cell r="M41">
            <v>9</v>
          </cell>
          <cell r="N41">
            <v>36</v>
          </cell>
          <cell r="O41">
            <v>11</v>
          </cell>
          <cell r="P41">
            <v>22</v>
          </cell>
          <cell r="Q41">
            <v>5</v>
          </cell>
          <cell r="R41">
            <v>35</v>
          </cell>
          <cell r="T41">
            <v>288</v>
          </cell>
          <cell r="V41" t="str">
            <v>m3</v>
          </cell>
          <cell r="X41">
            <v>6.3</v>
          </cell>
          <cell r="Y41">
            <v>1814.3999999999999</v>
          </cell>
        </row>
        <row r="42">
          <cell r="B42">
            <v>39</v>
          </cell>
        </row>
        <row r="43">
          <cell r="B43">
            <v>40</v>
          </cell>
          <cell r="C43" t="str">
            <v>D20</v>
          </cell>
          <cell r="D43" t="str">
            <v>Filling to excvns. av. thickness &gt;0.25m, arising from excvns,</v>
          </cell>
          <cell r="V43" t="str">
            <v>m3</v>
          </cell>
          <cell r="X43">
            <v>6.3</v>
          </cell>
          <cell r="Y43" t="str">
            <v>Prov Allowance</v>
          </cell>
        </row>
        <row r="44">
          <cell r="B44">
            <v>41</v>
          </cell>
        </row>
        <row r="45">
          <cell r="B45">
            <v>42</v>
          </cell>
        </row>
        <row r="46">
          <cell r="B46">
            <v>43</v>
          </cell>
        </row>
        <row r="47">
          <cell r="B47">
            <v>44</v>
          </cell>
        </row>
        <row r="48">
          <cell r="B48">
            <v>45</v>
          </cell>
        </row>
        <row r="49">
          <cell r="B49">
            <v>46</v>
          </cell>
        </row>
        <row r="50">
          <cell r="B50">
            <v>47</v>
          </cell>
        </row>
        <row r="51">
          <cell r="B51">
            <v>48</v>
          </cell>
        </row>
        <row r="52">
          <cell r="B52">
            <v>49</v>
          </cell>
        </row>
        <row r="53">
          <cell r="B53">
            <v>50</v>
          </cell>
        </row>
        <row r="54">
          <cell r="B54">
            <v>51</v>
          </cell>
          <cell r="C54" t="str">
            <v>D20</v>
          </cell>
          <cell r="D54" t="str">
            <v>Compacting bottom of excvns.</v>
          </cell>
          <cell r="E54">
            <v>29</v>
          </cell>
          <cell r="F54">
            <v>232</v>
          </cell>
          <cell r="G54">
            <v>21</v>
          </cell>
          <cell r="H54">
            <v>189</v>
          </cell>
          <cell r="I54">
            <v>23</v>
          </cell>
          <cell r="J54">
            <v>138</v>
          </cell>
          <cell r="K54">
            <v>27</v>
          </cell>
          <cell r="L54">
            <v>81</v>
          </cell>
          <cell r="M54">
            <v>28</v>
          </cell>
          <cell r="N54">
            <v>112</v>
          </cell>
          <cell r="O54">
            <v>31</v>
          </cell>
          <cell r="P54">
            <v>62</v>
          </cell>
          <cell r="Q54">
            <v>18</v>
          </cell>
          <cell r="R54">
            <v>126</v>
          </cell>
          <cell r="T54">
            <v>940</v>
          </cell>
          <cell r="V54" t="str">
            <v>m2</v>
          </cell>
          <cell r="X54">
            <v>0.69</v>
          </cell>
          <cell r="Y54">
            <v>648.59999999999991</v>
          </cell>
        </row>
        <row r="55">
          <cell r="B55">
            <v>52</v>
          </cell>
        </row>
        <row r="56">
          <cell r="B56">
            <v>53</v>
          </cell>
          <cell r="C56" t="str">
            <v>E10</v>
          </cell>
          <cell r="D56" t="str">
            <v>Insitu conc fdn, mix Gen 3 poured on or against earth</v>
          </cell>
          <cell r="E56">
            <v>9</v>
          </cell>
          <cell r="F56">
            <v>72</v>
          </cell>
          <cell r="G56">
            <v>6</v>
          </cell>
          <cell r="H56">
            <v>54</v>
          </cell>
          <cell r="I56">
            <v>7</v>
          </cell>
          <cell r="J56">
            <v>42</v>
          </cell>
          <cell r="K56">
            <v>8</v>
          </cell>
          <cell r="L56">
            <v>24</v>
          </cell>
          <cell r="M56">
            <v>8</v>
          </cell>
          <cell r="N56">
            <v>32</v>
          </cell>
          <cell r="O56">
            <v>9</v>
          </cell>
          <cell r="P56">
            <v>18</v>
          </cell>
          <cell r="Q56">
            <v>5</v>
          </cell>
          <cell r="R56">
            <v>35</v>
          </cell>
          <cell r="T56">
            <v>277</v>
          </cell>
          <cell r="V56" t="str">
            <v>m3</v>
          </cell>
          <cell r="X56">
            <v>15.5</v>
          </cell>
          <cell r="Y56">
            <v>4293.5</v>
          </cell>
        </row>
        <row r="57">
          <cell r="B57">
            <v>54</v>
          </cell>
        </row>
        <row r="58">
          <cell r="B58">
            <v>55</v>
          </cell>
        </row>
        <row r="59">
          <cell r="B59">
            <v>56</v>
          </cell>
          <cell r="Y59" t="str">
            <v>Prov Amt</v>
          </cell>
        </row>
        <row r="60">
          <cell r="B60">
            <v>57</v>
          </cell>
          <cell r="C60" t="str">
            <v>F10</v>
          </cell>
          <cell r="D60" t="str">
            <v>Block work walls, thickness 100mm dense conc, in c.m 1:3</v>
          </cell>
          <cell r="E60">
            <v>25</v>
          </cell>
          <cell r="F60">
            <v>200</v>
          </cell>
          <cell r="G60">
            <v>18</v>
          </cell>
          <cell r="H60">
            <v>162</v>
          </cell>
          <cell r="I60">
            <v>20</v>
          </cell>
          <cell r="J60">
            <v>120</v>
          </cell>
          <cell r="K60">
            <v>24</v>
          </cell>
          <cell r="L60">
            <v>72</v>
          </cell>
          <cell r="M60">
            <v>25</v>
          </cell>
          <cell r="N60">
            <v>100</v>
          </cell>
          <cell r="O60">
            <v>28</v>
          </cell>
          <cell r="P60">
            <v>56</v>
          </cell>
          <cell r="Q60">
            <v>15</v>
          </cell>
          <cell r="R60">
            <v>105</v>
          </cell>
          <cell r="T60">
            <v>815</v>
          </cell>
          <cell r="V60" t="str">
            <v>m2</v>
          </cell>
          <cell r="X60">
            <v>12</v>
          </cell>
          <cell r="Y60">
            <v>9780</v>
          </cell>
        </row>
        <row r="61">
          <cell r="B61">
            <v>58</v>
          </cell>
        </row>
        <row r="62">
          <cell r="B62">
            <v>59</v>
          </cell>
          <cell r="C62" t="str">
            <v>F10</v>
          </cell>
          <cell r="D62" t="str">
            <v>Block work walls, thickness 140mm dense conc, in c.m 1:3</v>
          </cell>
          <cell r="E62">
            <v>22</v>
          </cell>
          <cell r="F62">
            <v>176</v>
          </cell>
          <cell r="G62">
            <v>18</v>
          </cell>
          <cell r="H62">
            <v>162</v>
          </cell>
          <cell r="I62">
            <v>19</v>
          </cell>
          <cell r="J62">
            <v>114</v>
          </cell>
          <cell r="K62">
            <v>21</v>
          </cell>
          <cell r="L62">
            <v>63</v>
          </cell>
          <cell r="M62">
            <v>22</v>
          </cell>
          <cell r="N62">
            <v>88</v>
          </cell>
          <cell r="O62">
            <v>22</v>
          </cell>
          <cell r="P62">
            <v>44</v>
          </cell>
          <cell r="Q62">
            <v>15</v>
          </cell>
          <cell r="R62">
            <v>105</v>
          </cell>
          <cell r="T62">
            <v>752</v>
          </cell>
          <cell r="V62" t="str">
            <v>m2</v>
          </cell>
          <cell r="X62">
            <v>15</v>
          </cell>
          <cell r="Y62">
            <v>11280</v>
          </cell>
        </row>
        <row r="63">
          <cell r="B63">
            <v>60</v>
          </cell>
        </row>
        <row r="64">
          <cell r="B64">
            <v>61</v>
          </cell>
          <cell r="C64" t="str">
            <v>F10</v>
          </cell>
          <cell r="D64" t="str">
            <v xml:space="preserve">Brick walls, thickness 102.5mm, £400/1000 stret bond </v>
          </cell>
        </row>
        <row r="65">
          <cell r="B65">
            <v>62</v>
          </cell>
          <cell r="D65" t="str">
            <v>with coloured mortar</v>
          </cell>
          <cell r="E65">
            <v>8</v>
          </cell>
          <cell r="F65">
            <v>64</v>
          </cell>
          <cell r="G65">
            <v>6</v>
          </cell>
          <cell r="H65">
            <v>54</v>
          </cell>
          <cell r="I65">
            <v>7</v>
          </cell>
          <cell r="J65">
            <v>42</v>
          </cell>
          <cell r="K65">
            <v>7</v>
          </cell>
          <cell r="L65">
            <v>21</v>
          </cell>
          <cell r="M65">
            <v>8</v>
          </cell>
          <cell r="N65">
            <v>32</v>
          </cell>
          <cell r="O65">
            <v>8</v>
          </cell>
          <cell r="P65">
            <v>16</v>
          </cell>
          <cell r="Q65">
            <v>5</v>
          </cell>
          <cell r="R65">
            <v>35</v>
          </cell>
          <cell r="T65">
            <v>264</v>
          </cell>
          <cell r="V65" t="str">
            <v>m2</v>
          </cell>
          <cell r="X65">
            <v>29</v>
          </cell>
          <cell r="Y65">
            <v>7656</v>
          </cell>
        </row>
        <row r="66">
          <cell r="B66">
            <v>63</v>
          </cell>
        </row>
        <row r="67">
          <cell r="B67">
            <v>64</v>
          </cell>
          <cell r="C67" t="str">
            <v>F30</v>
          </cell>
          <cell r="D67" t="str">
            <v>Form cav. in holl wall, width 100mm inc. ( 5no/m2 ) s/s</v>
          </cell>
          <cell r="E67">
            <v>22</v>
          </cell>
          <cell r="F67">
            <v>176</v>
          </cell>
          <cell r="G67">
            <v>18</v>
          </cell>
          <cell r="H67">
            <v>162</v>
          </cell>
          <cell r="I67">
            <v>19</v>
          </cell>
          <cell r="J67">
            <v>114</v>
          </cell>
          <cell r="K67">
            <v>21</v>
          </cell>
          <cell r="L67">
            <v>63</v>
          </cell>
          <cell r="M67">
            <v>22</v>
          </cell>
          <cell r="N67">
            <v>88</v>
          </cell>
          <cell r="O67">
            <v>22</v>
          </cell>
          <cell r="P67">
            <v>44</v>
          </cell>
          <cell r="Q67">
            <v>15</v>
          </cell>
          <cell r="R67">
            <v>105</v>
          </cell>
          <cell r="T67">
            <v>752</v>
          </cell>
          <cell r="V67" t="str">
            <v>m2</v>
          </cell>
          <cell r="X67">
            <v>1.5</v>
          </cell>
          <cell r="Y67">
            <v>1128</v>
          </cell>
        </row>
        <row r="68">
          <cell r="B68">
            <v>65</v>
          </cell>
        </row>
        <row r="69">
          <cell r="B69">
            <v>66</v>
          </cell>
          <cell r="C69" t="str">
            <v>E10</v>
          </cell>
          <cell r="D69" t="str">
            <v>Insitu conc (1:6) filling holl walls, thickness n.e. 150mm</v>
          </cell>
          <cell r="E69">
            <v>3</v>
          </cell>
          <cell r="F69">
            <v>24</v>
          </cell>
          <cell r="G69">
            <v>3</v>
          </cell>
          <cell r="H69">
            <v>27</v>
          </cell>
          <cell r="I69">
            <v>3</v>
          </cell>
          <cell r="J69">
            <v>18</v>
          </cell>
          <cell r="K69">
            <v>3</v>
          </cell>
          <cell r="L69">
            <v>9</v>
          </cell>
          <cell r="M69">
            <v>3</v>
          </cell>
          <cell r="N69">
            <v>12</v>
          </cell>
          <cell r="O69">
            <v>3</v>
          </cell>
          <cell r="P69">
            <v>6</v>
          </cell>
          <cell r="Q69">
            <v>2</v>
          </cell>
          <cell r="R69">
            <v>14</v>
          </cell>
          <cell r="T69">
            <v>784</v>
          </cell>
          <cell r="V69" t="str">
            <v>m2</v>
          </cell>
          <cell r="X69">
            <v>7</v>
          </cell>
          <cell r="Y69">
            <v>5488</v>
          </cell>
        </row>
        <row r="70">
          <cell r="B70">
            <v>67</v>
          </cell>
        </row>
        <row r="71">
          <cell r="B71">
            <v>68</v>
          </cell>
          <cell r="C71" t="str">
            <v>F30</v>
          </cell>
          <cell r="D71" t="str">
            <v>Dpc, width n.e. 225mm hor. single layer</v>
          </cell>
          <cell r="E71">
            <v>11</v>
          </cell>
          <cell r="F71">
            <v>88</v>
          </cell>
          <cell r="G71">
            <v>8</v>
          </cell>
          <cell r="H71">
            <v>72</v>
          </cell>
          <cell r="I71">
            <v>8</v>
          </cell>
          <cell r="J71">
            <v>48</v>
          </cell>
          <cell r="K71">
            <v>9</v>
          </cell>
          <cell r="L71">
            <v>27</v>
          </cell>
          <cell r="M71">
            <v>10</v>
          </cell>
          <cell r="N71">
            <v>40</v>
          </cell>
          <cell r="O71">
            <v>10</v>
          </cell>
          <cell r="P71">
            <v>20</v>
          </cell>
          <cell r="Q71">
            <v>6</v>
          </cell>
          <cell r="R71">
            <v>42</v>
          </cell>
          <cell r="T71">
            <v>2407</v>
          </cell>
          <cell r="V71" t="str">
            <v>m</v>
          </cell>
          <cell r="X71">
            <v>1.55</v>
          </cell>
          <cell r="Y71">
            <v>3730.85</v>
          </cell>
        </row>
        <row r="72">
          <cell r="B72">
            <v>69</v>
          </cell>
          <cell r="D72" t="str">
            <v>(OMIT 100mm DPC IF NECC)</v>
          </cell>
        </row>
        <row r="73">
          <cell r="B73">
            <v>70</v>
          </cell>
        </row>
        <row r="74">
          <cell r="B74">
            <v>71</v>
          </cell>
          <cell r="D74" t="str">
            <v xml:space="preserve"> Floor</v>
          </cell>
        </row>
        <row r="75">
          <cell r="B75">
            <v>72</v>
          </cell>
          <cell r="C75" t="str">
            <v>D20</v>
          </cell>
          <cell r="D75" t="str">
            <v>Filling to make up levels, av. thickness n.e. 0.25m,obtnd off site, 75mm crusher run</v>
          </cell>
          <cell r="E75">
            <v>18</v>
          </cell>
          <cell r="F75">
            <v>144</v>
          </cell>
          <cell r="G75">
            <v>11</v>
          </cell>
          <cell r="H75">
            <v>99</v>
          </cell>
          <cell r="I75">
            <v>13</v>
          </cell>
          <cell r="J75">
            <v>78</v>
          </cell>
          <cell r="K75">
            <v>16</v>
          </cell>
          <cell r="L75">
            <v>48</v>
          </cell>
          <cell r="M75">
            <v>17</v>
          </cell>
          <cell r="N75">
            <v>68</v>
          </cell>
          <cell r="O75">
            <v>16</v>
          </cell>
          <cell r="P75">
            <v>32</v>
          </cell>
          <cell r="Q75">
            <v>8</v>
          </cell>
          <cell r="R75">
            <v>56</v>
          </cell>
          <cell r="T75">
            <v>99</v>
          </cell>
          <cell r="V75" t="str">
            <v>m3</v>
          </cell>
          <cell r="X75">
            <v>7.2</v>
          </cell>
          <cell r="Y75">
            <v>712.80000000000007</v>
          </cell>
        </row>
        <row r="76">
          <cell r="B76">
            <v>73</v>
          </cell>
        </row>
        <row r="77">
          <cell r="B77">
            <v>74</v>
          </cell>
        </row>
        <row r="78">
          <cell r="B78">
            <v>75</v>
          </cell>
          <cell r="C78" t="str">
            <v>D20</v>
          </cell>
          <cell r="D78" t="str">
            <v>Ditto, av. thickness n.e. 0.25m, obtnd off site, Sand blinding</v>
          </cell>
          <cell r="E78">
            <v>3</v>
          </cell>
          <cell r="F78">
            <v>24</v>
          </cell>
          <cell r="G78">
            <v>2</v>
          </cell>
          <cell r="H78">
            <v>18</v>
          </cell>
          <cell r="I78">
            <v>2</v>
          </cell>
          <cell r="J78">
            <v>12</v>
          </cell>
          <cell r="K78">
            <v>3</v>
          </cell>
          <cell r="L78">
            <v>9</v>
          </cell>
          <cell r="M78">
            <v>3</v>
          </cell>
          <cell r="N78">
            <v>12</v>
          </cell>
          <cell r="O78">
            <v>3</v>
          </cell>
          <cell r="P78">
            <v>6</v>
          </cell>
          <cell r="Q78">
            <v>1</v>
          </cell>
          <cell r="R78">
            <v>7</v>
          </cell>
          <cell r="T78">
            <v>18</v>
          </cell>
          <cell r="V78" t="str">
            <v>m3</v>
          </cell>
          <cell r="X78">
            <v>7.92</v>
          </cell>
          <cell r="Y78">
            <v>142.56</v>
          </cell>
        </row>
        <row r="79">
          <cell r="B79">
            <v>76</v>
          </cell>
        </row>
        <row r="80">
          <cell r="B80">
            <v>77</v>
          </cell>
          <cell r="C80" t="str">
            <v>D20</v>
          </cell>
          <cell r="D80" t="str">
            <v>Surface treatment, compacting filling</v>
          </cell>
          <cell r="E80">
            <v>60</v>
          </cell>
          <cell r="F80">
            <v>480</v>
          </cell>
          <cell r="G80">
            <v>38</v>
          </cell>
          <cell r="H80">
            <v>342</v>
          </cell>
          <cell r="I80">
            <v>43</v>
          </cell>
          <cell r="J80">
            <v>258</v>
          </cell>
          <cell r="K80">
            <v>53</v>
          </cell>
          <cell r="L80">
            <v>159</v>
          </cell>
          <cell r="M80">
            <v>57</v>
          </cell>
          <cell r="N80">
            <v>228</v>
          </cell>
          <cell r="O80">
            <v>52</v>
          </cell>
          <cell r="P80">
            <v>104</v>
          </cell>
          <cell r="Q80">
            <v>27</v>
          </cell>
          <cell r="R80">
            <v>189</v>
          </cell>
          <cell r="T80">
            <v>258</v>
          </cell>
          <cell r="V80" t="str">
            <v>m2</v>
          </cell>
          <cell r="X80">
            <v>1.96</v>
          </cell>
          <cell r="Y80">
            <v>505.68</v>
          </cell>
        </row>
        <row r="81">
          <cell r="B81">
            <v>78</v>
          </cell>
        </row>
        <row r="82">
          <cell r="B82">
            <v>79</v>
          </cell>
          <cell r="C82" t="str">
            <v>D20</v>
          </cell>
          <cell r="D82" t="str">
            <v>Ditto, sand blinding</v>
          </cell>
          <cell r="E82">
            <v>60</v>
          </cell>
          <cell r="F82">
            <v>480</v>
          </cell>
          <cell r="G82">
            <v>38</v>
          </cell>
          <cell r="H82">
            <v>342</v>
          </cell>
          <cell r="I82">
            <v>43</v>
          </cell>
          <cell r="J82">
            <v>258</v>
          </cell>
          <cell r="K82">
            <v>53</v>
          </cell>
          <cell r="L82">
            <v>159</v>
          </cell>
          <cell r="M82">
            <v>57</v>
          </cell>
          <cell r="N82">
            <v>228</v>
          </cell>
          <cell r="O82">
            <v>52</v>
          </cell>
          <cell r="P82">
            <v>104</v>
          </cell>
          <cell r="Q82">
            <v>27</v>
          </cell>
          <cell r="R82">
            <v>189</v>
          </cell>
          <cell r="T82">
            <v>258</v>
          </cell>
          <cell r="V82" t="str">
            <v>m2</v>
          </cell>
          <cell r="X82">
            <v>2.3199999999999998</v>
          </cell>
          <cell r="Y82">
            <v>598.55999999999995</v>
          </cell>
        </row>
        <row r="83">
          <cell r="B83">
            <v>80</v>
          </cell>
        </row>
        <row r="84">
          <cell r="B84">
            <v>81</v>
          </cell>
          <cell r="C84" t="str">
            <v>J40</v>
          </cell>
          <cell r="D84" t="str">
            <v>Dpm hor. Polythene, RADON protection</v>
          </cell>
          <cell r="E84">
            <v>60</v>
          </cell>
          <cell r="F84">
            <v>480</v>
          </cell>
          <cell r="G84">
            <v>38</v>
          </cell>
          <cell r="H84">
            <v>342</v>
          </cell>
          <cell r="I84">
            <v>43</v>
          </cell>
          <cell r="J84">
            <v>258</v>
          </cell>
          <cell r="K84">
            <v>53</v>
          </cell>
          <cell r="L84">
            <v>159</v>
          </cell>
          <cell r="M84">
            <v>57</v>
          </cell>
          <cell r="N84">
            <v>228</v>
          </cell>
          <cell r="O84">
            <v>52</v>
          </cell>
          <cell r="P84">
            <v>104</v>
          </cell>
          <cell r="Q84">
            <v>27</v>
          </cell>
          <cell r="R84">
            <v>189</v>
          </cell>
          <cell r="T84">
            <v>1760</v>
          </cell>
          <cell r="V84" t="str">
            <v>m2</v>
          </cell>
          <cell r="X84">
            <v>0.92</v>
          </cell>
          <cell r="Y84">
            <v>1619.2</v>
          </cell>
        </row>
        <row r="85">
          <cell r="B85">
            <v>82</v>
          </cell>
        </row>
        <row r="86">
          <cell r="B86">
            <v>83</v>
          </cell>
          <cell r="C86" t="str">
            <v>E10</v>
          </cell>
          <cell r="D86" t="str">
            <v xml:space="preserve">Insitu conc bed, thickness n.e. 150mm, mix </v>
          </cell>
          <cell r="E86">
            <v>9</v>
          </cell>
          <cell r="F86">
            <v>72</v>
          </cell>
          <cell r="G86">
            <v>6</v>
          </cell>
          <cell r="H86">
            <v>54</v>
          </cell>
          <cell r="I86">
            <v>6</v>
          </cell>
          <cell r="J86">
            <v>36</v>
          </cell>
          <cell r="K86">
            <v>8</v>
          </cell>
          <cell r="L86">
            <v>24</v>
          </cell>
          <cell r="M86">
            <v>9</v>
          </cell>
          <cell r="N86">
            <v>36</v>
          </cell>
          <cell r="O86">
            <v>8</v>
          </cell>
          <cell r="P86">
            <v>16</v>
          </cell>
          <cell r="Q86">
            <v>4</v>
          </cell>
          <cell r="R86">
            <v>28</v>
          </cell>
          <cell r="T86">
            <v>36</v>
          </cell>
          <cell r="V86" t="str">
            <v>m3</v>
          </cell>
          <cell r="X86">
            <v>19</v>
          </cell>
          <cell r="Y86">
            <v>684</v>
          </cell>
        </row>
        <row r="87">
          <cell r="B87">
            <v>84</v>
          </cell>
        </row>
        <row r="88">
          <cell r="B88">
            <v>85</v>
          </cell>
          <cell r="C88" t="str">
            <v>E20</v>
          </cell>
          <cell r="D88" t="str">
            <v>Insulation; 100mm thick celotex</v>
          </cell>
          <cell r="E88">
            <v>60</v>
          </cell>
          <cell r="F88">
            <v>480</v>
          </cell>
          <cell r="G88">
            <v>38</v>
          </cell>
          <cell r="H88">
            <v>342</v>
          </cell>
          <cell r="I88">
            <v>43</v>
          </cell>
          <cell r="J88">
            <v>258</v>
          </cell>
          <cell r="K88">
            <v>53</v>
          </cell>
          <cell r="L88">
            <v>159</v>
          </cell>
          <cell r="M88">
            <v>57</v>
          </cell>
          <cell r="N88">
            <v>228</v>
          </cell>
          <cell r="O88">
            <v>52</v>
          </cell>
          <cell r="P88">
            <v>104</v>
          </cell>
          <cell r="Q88">
            <v>27</v>
          </cell>
          <cell r="R88">
            <v>189</v>
          </cell>
          <cell r="T88">
            <v>1760</v>
          </cell>
          <cell r="V88" t="str">
            <v>m2</v>
          </cell>
          <cell r="X88">
            <v>2.25</v>
          </cell>
          <cell r="Y88">
            <v>3960</v>
          </cell>
        </row>
        <row r="89">
          <cell r="B89">
            <v>86</v>
          </cell>
        </row>
        <row r="90">
          <cell r="B90">
            <v>87</v>
          </cell>
          <cell r="C90" t="str">
            <v>J40</v>
          </cell>
          <cell r="D90" t="str">
            <v>Extra Over for Sump and pipe</v>
          </cell>
          <cell r="E90">
            <v>1</v>
          </cell>
          <cell r="F90">
            <v>8</v>
          </cell>
          <cell r="G90">
            <v>1</v>
          </cell>
          <cell r="H90">
            <v>9</v>
          </cell>
          <cell r="I90">
            <v>1</v>
          </cell>
          <cell r="J90">
            <v>6</v>
          </cell>
          <cell r="K90">
            <v>1</v>
          </cell>
          <cell r="L90">
            <v>3</v>
          </cell>
          <cell r="M90">
            <v>1</v>
          </cell>
          <cell r="N90">
            <v>4</v>
          </cell>
          <cell r="O90">
            <v>1</v>
          </cell>
          <cell r="P90">
            <v>2</v>
          </cell>
          <cell r="Q90">
            <v>1</v>
          </cell>
          <cell r="R90">
            <v>7</v>
          </cell>
          <cell r="T90">
            <v>39</v>
          </cell>
          <cell r="V90" t="str">
            <v>no</v>
          </cell>
          <cell r="X90">
            <v>37.5</v>
          </cell>
          <cell r="Y90">
            <v>1462.5</v>
          </cell>
        </row>
        <row r="91">
          <cell r="B91">
            <v>87.1</v>
          </cell>
        </row>
        <row r="92">
          <cell r="B92">
            <v>87.2</v>
          </cell>
          <cell r="D92" t="str">
            <v>75mm concrete screed , 10mm agreggate</v>
          </cell>
          <cell r="E92">
            <v>60</v>
          </cell>
          <cell r="F92">
            <v>480</v>
          </cell>
          <cell r="G92">
            <v>38</v>
          </cell>
          <cell r="H92">
            <v>342</v>
          </cell>
          <cell r="I92">
            <v>43</v>
          </cell>
          <cell r="J92">
            <v>258</v>
          </cell>
          <cell r="K92">
            <v>53</v>
          </cell>
          <cell r="L92">
            <v>159</v>
          </cell>
          <cell r="M92">
            <v>57</v>
          </cell>
          <cell r="N92">
            <v>228</v>
          </cell>
          <cell r="O92">
            <v>52</v>
          </cell>
          <cell r="P92">
            <v>104</v>
          </cell>
          <cell r="Q92">
            <v>27</v>
          </cell>
          <cell r="R92">
            <v>189</v>
          </cell>
          <cell r="T92">
            <v>1760</v>
          </cell>
          <cell r="V92" t="str">
            <v>m2</v>
          </cell>
        </row>
        <row r="93">
          <cell r="B93">
            <v>88</v>
          </cell>
        </row>
        <row r="94">
          <cell r="B94">
            <v>89</v>
          </cell>
          <cell r="D94" t="str">
            <v xml:space="preserve"> Extra Over for Suspended Slabs</v>
          </cell>
        </row>
        <row r="95">
          <cell r="B95">
            <v>90</v>
          </cell>
        </row>
        <row r="96">
          <cell r="B96">
            <v>91</v>
          </cell>
          <cell r="C96" t="str">
            <v>D20</v>
          </cell>
          <cell r="D96" t="str">
            <v>Exc. tr. width &gt;0.30m, max depth n.e. 1.00m</v>
          </cell>
          <cell r="F96">
            <v>0</v>
          </cell>
          <cell r="H96">
            <v>0</v>
          </cell>
          <cell r="J96">
            <v>0</v>
          </cell>
          <cell r="L96">
            <v>0</v>
          </cell>
          <cell r="N96">
            <v>0</v>
          </cell>
          <cell r="P96">
            <v>0</v>
          </cell>
          <cell r="R96">
            <v>0</v>
          </cell>
          <cell r="T96">
            <v>387</v>
          </cell>
          <cell r="V96" t="str">
            <v>m3</v>
          </cell>
          <cell r="X96">
            <v>9</v>
          </cell>
          <cell r="Y96">
            <v>3483</v>
          </cell>
        </row>
        <row r="97">
          <cell r="B97">
            <v>92</v>
          </cell>
        </row>
        <row r="98">
          <cell r="B98">
            <v>93</v>
          </cell>
          <cell r="C98" t="str">
            <v>E10</v>
          </cell>
          <cell r="D98" t="str">
            <v>Insitu conc fdn, mix Gen 3 poured on or against earth</v>
          </cell>
          <cell r="F98">
            <v>0</v>
          </cell>
          <cell r="H98">
            <v>0</v>
          </cell>
          <cell r="J98">
            <v>0</v>
          </cell>
          <cell r="L98">
            <v>0</v>
          </cell>
          <cell r="N98">
            <v>0</v>
          </cell>
          <cell r="P98">
            <v>0</v>
          </cell>
          <cell r="R98">
            <v>0</v>
          </cell>
          <cell r="T98">
            <v>387</v>
          </cell>
          <cell r="V98" t="str">
            <v>m3</v>
          </cell>
          <cell r="X98">
            <v>15.5</v>
          </cell>
          <cell r="Y98">
            <v>5998.5</v>
          </cell>
        </row>
        <row r="99">
          <cell r="B99">
            <v>94</v>
          </cell>
        </row>
        <row r="100">
          <cell r="B100">
            <v>95</v>
          </cell>
          <cell r="C100" t="str">
            <v>E10</v>
          </cell>
          <cell r="D100" t="str">
            <v>Beam &amp; Block flooring, precast concrete. 155,, deep</v>
          </cell>
          <cell r="E100">
            <v>60</v>
          </cell>
          <cell r="F100">
            <v>480</v>
          </cell>
          <cell r="G100">
            <v>0</v>
          </cell>
          <cell r="H100">
            <v>0</v>
          </cell>
          <cell r="I100">
            <v>43</v>
          </cell>
          <cell r="J100">
            <v>258</v>
          </cell>
          <cell r="K100">
            <v>53</v>
          </cell>
          <cell r="L100">
            <v>159</v>
          </cell>
          <cell r="M100">
            <v>57</v>
          </cell>
          <cell r="N100">
            <v>228</v>
          </cell>
          <cell r="O100">
            <v>52</v>
          </cell>
          <cell r="P100">
            <v>104</v>
          </cell>
          <cell r="Q100">
            <v>27</v>
          </cell>
          <cell r="R100">
            <v>189</v>
          </cell>
          <cell r="T100">
            <v>1418</v>
          </cell>
          <cell r="V100" t="str">
            <v>m2</v>
          </cell>
          <cell r="X100">
            <v>19</v>
          </cell>
          <cell r="Y100">
            <v>26942</v>
          </cell>
        </row>
        <row r="101">
          <cell r="B101">
            <v>96</v>
          </cell>
        </row>
        <row r="102">
          <cell r="B102">
            <v>97</v>
          </cell>
          <cell r="C102" t="str">
            <v>F10</v>
          </cell>
          <cell r="D102" t="str">
            <v>Tree protection; clay boarding</v>
          </cell>
          <cell r="F102">
            <v>0</v>
          </cell>
          <cell r="H102">
            <v>0</v>
          </cell>
          <cell r="J102">
            <v>0</v>
          </cell>
          <cell r="L102">
            <v>0</v>
          </cell>
          <cell r="N102">
            <v>0</v>
          </cell>
          <cell r="P102">
            <v>0</v>
          </cell>
          <cell r="R102">
            <v>0</v>
          </cell>
          <cell r="T102">
            <v>234</v>
          </cell>
          <cell r="V102" t="str">
            <v>m2</v>
          </cell>
          <cell r="X102">
            <v>6</v>
          </cell>
          <cell r="Y102">
            <v>1404</v>
          </cell>
        </row>
        <row r="103">
          <cell r="B103">
            <v>98</v>
          </cell>
        </row>
      </sheetData>
      <sheetData sheetId="1">
        <row r="2">
          <cell r="D2">
            <v>36</v>
          </cell>
          <cell r="E2">
            <v>38</v>
          </cell>
          <cell r="F2">
            <v>40</v>
          </cell>
          <cell r="G2">
            <v>51</v>
          </cell>
          <cell r="H2">
            <v>53</v>
          </cell>
          <cell r="I2">
            <v>57</v>
          </cell>
          <cell r="J2">
            <v>59</v>
          </cell>
          <cell r="K2">
            <v>61</v>
          </cell>
          <cell r="L2">
            <v>64</v>
          </cell>
          <cell r="M2">
            <v>66</v>
          </cell>
          <cell r="N2">
            <v>68</v>
          </cell>
          <cell r="O2">
            <v>72</v>
          </cell>
          <cell r="P2">
            <v>75</v>
          </cell>
          <cell r="Q2">
            <v>77</v>
          </cell>
          <cell r="R2">
            <v>79</v>
          </cell>
          <cell r="S2">
            <v>81</v>
          </cell>
          <cell r="T2">
            <v>83</v>
          </cell>
          <cell r="U2">
            <v>85</v>
          </cell>
          <cell r="V2">
            <v>87</v>
          </cell>
          <cell r="W2">
            <v>87.2</v>
          </cell>
          <cell r="X2">
            <v>95</v>
          </cell>
        </row>
        <row r="3">
          <cell r="D3" t="str">
            <v>Exc. tr. width &gt;0.30m, max depth n.e. 1.00m</v>
          </cell>
          <cell r="E3" t="str">
            <v>Filling to excvns. av. thickness &gt;0.25m, arising from excvns,</v>
          </cell>
          <cell r="F3" t="str">
            <v>Filling to excvns. av. thickness &gt;0.25m, arising from excvns,</v>
          </cell>
          <cell r="G3" t="str">
            <v>Compacting bottom of excvns.</v>
          </cell>
          <cell r="H3" t="str">
            <v>Insitu conc fdn, mix Gen 3 poured on or against earth</v>
          </cell>
          <cell r="I3" t="str">
            <v>Block work walls, thickness 100mm dense conc, in c.m 1:3</v>
          </cell>
          <cell r="J3" t="str">
            <v>Block work walls, thickness 140mm dense conc, in c.m 1:3</v>
          </cell>
          <cell r="K3" t="str">
            <v xml:space="preserve">Brick walls, thickness 102.5mm, £400/1000 stret bond </v>
          </cell>
          <cell r="L3" t="str">
            <v>Form cav. in holl wall, width 100mm inc. ( 5no/m2 ) s/s</v>
          </cell>
          <cell r="M3" t="str">
            <v>Insitu conc (1:6) filling holl walls, thickness n.e. 150mm</v>
          </cell>
          <cell r="N3" t="str">
            <v>Dpc, width n.e. 225mm hor. single layer</v>
          </cell>
          <cell r="O3" t="str">
            <v>Filling to make up levels, av. thickness n.e. 0.25m,obtnd off site, 75mm crusher run</v>
          </cell>
          <cell r="P3" t="str">
            <v>Ditto, av. thickness n.e. 0.25m, obtnd off site, Sand blinding</v>
          </cell>
          <cell r="Q3" t="str">
            <v>Surface treatment, compacting filling</v>
          </cell>
          <cell r="R3" t="str">
            <v>Ditto, sand blinding</v>
          </cell>
          <cell r="S3" t="str">
            <v>Dpm hor. Polythene, RADON protection</v>
          </cell>
          <cell r="T3" t="str">
            <v xml:space="preserve">Insitu conc bed, thickness n.e. 150mm, mix </v>
          </cell>
          <cell r="U3" t="str">
            <v>Insulation; 100mm thick celotex</v>
          </cell>
          <cell r="V3" t="str">
            <v>Extra Over for Sump and pipe</v>
          </cell>
          <cell r="W3" t="str">
            <v>75mm concrete screed , 10mm agreggate</v>
          </cell>
          <cell r="X3" t="str">
            <v>Beam &amp; Block flooring, precast concrete. 155,, deep</v>
          </cell>
        </row>
        <row r="10">
          <cell r="D10">
            <v>1</v>
          </cell>
          <cell r="E10">
            <v>1</v>
          </cell>
          <cell r="F10">
            <v>1</v>
          </cell>
          <cell r="G10">
            <v>1</v>
          </cell>
          <cell r="H10">
            <v>1</v>
          </cell>
          <cell r="I10">
            <v>0</v>
          </cell>
          <cell r="J10">
            <v>0</v>
          </cell>
          <cell r="K10">
            <v>0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>
            <v>1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X10">
            <v>1</v>
          </cell>
        </row>
        <row r="11"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0</v>
          </cell>
          <cell r="J11">
            <v>0</v>
          </cell>
          <cell r="K11">
            <v>0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X11">
            <v>1</v>
          </cell>
        </row>
        <row r="12">
          <cell r="D12">
            <v>1</v>
          </cell>
          <cell r="E12">
            <v>1</v>
          </cell>
          <cell r="F12">
            <v>1</v>
          </cell>
          <cell r="G12">
            <v>1</v>
          </cell>
          <cell r="H12">
            <v>1</v>
          </cell>
          <cell r="I12">
            <v>0</v>
          </cell>
          <cell r="J12">
            <v>0</v>
          </cell>
          <cell r="K12">
            <v>0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X12">
            <v>1</v>
          </cell>
        </row>
        <row r="13">
          <cell r="D13">
            <v>1</v>
          </cell>
          <cell r="E13">
            <v>1</v>
          </cell>
          <cell r="F13">
            <v>1</v>
          </cell>
          <cell r="G13">
            <v>1</v>
          </cell>
          <cell r="H13">
            <v>1</v>
          </cell>
          <cell r="I13">
            <v>0</v>
          </cell>
          <cell r="J13">
            <v>0</v>
          </cell>
          <cell r="K13">
            <v>0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1</v>
          </cell>
        </row>
        <row r="14">
          <cell r="D14">
            <v>1</v>
          </cell>
          <cell r="E14">
            <v>1</v>
          </cell>
          <cell r="F14">
            <v>1</v>
          </cell>
          <cell r="G14">
            <v>1</v>
          </cell>
          <cell r="H14">
            <v>1</v>
          </cell>
          <cell r="I14">
            <v>0</v>
          </cell>
          <cell r="J14">
            <v>0</v>
          </cell>
          <cell r="K14">
            <v>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X14">
            <v>1</v>
          </cell>
        </row>
        <row r="15">
          <cell r="D15">
            <v>1</v>
          </cell>
          <cell r="E15">
            <v>1</v>
          </cell>
          <cell r="F15">
            <v>1</v>
          </cell>
          <cell r="G15">
            <v>1</v>
          </cell>
          <cell r="H15">
            <v>1</v>
          </cell>
          <cell r="I15">
            <v>0</v>
          </cell>
          <cell r="J15">
            <v>0</v>
          </cell>
          <cell r="K15">
            <v>0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  <cell r="V15">
            <v>1</v>
          </cell>
          <cell r="W15">
            <v>1</v>
          </cell>
          <cell r="X15">
            <v>1</v>
          </cell>
        </row>
        <row r="16">
          <cell r="D16">
            <v>1</v>
          </cell>
          <cell r="E16">
            <v>1</v>
          </cell>
          <cell r="F16">
            <v>1</v>
          </cell>
          <cell r="G16">
            <v>1</v>
          </cell>
          <cell r="H16">
            <v>1</v>
          </cell>
          <cell r="I16">
            <v>0</v>
          </cell>
          <cell r="J16">
            <v>0</v>
          </cell>
          <cell r="K16">
            <v>0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Q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X16">
            <v>1</v>
          </cell>
        </row>
        <row r="17">
          <cell r="D17">
            <v>1</v>
          </cell>
          <cell r="E17">
            <v>1</v>
          </cell>
          <cell r="F17">
            <v>1</v>
          </cell>
          <cell r="G17">
            <v>1</v>
          </cell>
          <cell r="H17">
            <v>1</v>
          </cell>
          <cell r="I17">
            <v>0</v>
          </cell>
          <cell r="J17">
            <v>0</v>
          </cell>
          <cell r="K17">
            <v>0</v>
          </cell>
          <cell r="L17">
            <v>1</v>
          </cell>
          <cell r="M17">
            <v>1</v>
          </cell>
          <cell r="N17">
            <v>1</v>
          </cell>
          <cell r="O17">
            <v>1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X17">
            <v>1</v>
          </cell>
        </row>
        <row r="18">
          <cell r="D18">
            <v>1</v>
          </cell>
          <cell r="E18">
            <v>1</v>
          </cell>
          <cell r="F18">
            <v>1</v>
          </cell>
          <cell r="G18">
            <v>1</v>
          </cell>
          <cell r="H18">
            <v>1</v>
          </cell>
          <cell r="I18">
            <v>0</v>
          </cell>
          <cell r="J18">
            <v>0</v>
          </cell>
          <cell r="K18">
            <v>0</v>
          </cell>
          <cell r="L18">
            <v>1</v>
          </cell>
          <cell r="M18">
            <v>1</v>
          </cell>
          <cell r="N18">
            <v>1</v>
          </cell>
          <cell r="O18">
            <v>1</v>
          </cell>
          <cell r="P18">
            <v>1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X18">
            <v>1</v>
          </cell>
        </row>
        <row r="19">
          <cell r="D19">
            <v>1</v>
          </cell>
          <cell r="E19">
            <v>1</v>
          </cell>
          <cell r="F19">
            <v>1</v>
          </cell>
          <cell r="G19">
            <v>1</v>
          </cell>
          <cell r="H19">
            <v>1</v>
          </cell>
          <cell r="I19">
            <v>0</v>
          </cell>
          <cell r="J19">
            <v>0</v>
          </cell>
          <cell r="K19">
            <v>0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X19">
            <v>1</v>
          </cell>
        </row>
        <row r="20">
          <cell r="D20">
            <v>1</v>
          </cell>
          <cell r="E20">
            <v>1</v>
          </cell>
          <cell r="F20">
            <v>1</v>
          </cell>
          <cell r="G20">
            <v>1</v>
          </cell>
          <cell r="H20">
            <v>1</v>
          </cell>
          <cell r="I20">
            <v>0</v>
          </cell>
          <cell r="J20">
            <v>0</v>
          </cell>
          <cell r="K20">
            <v>0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W20">
            <v>1</v>
          </cell>
          <cell r="X20">
            <v>1</v>
          </cell>
        </row>
        <row r="21">
          <cell r="D21">
            <v>1</v>
          </cell>
          <cell r="E21">
            <v>1</v>
          </cell>
          <cell r="F21">
            <v>1</v>
          </cell>
          <cell r="G21">
            <v>1</v>
          </cell>
          <cell r="H21">
            <v>1</v>
          </cell>
          <cell r="I21">
            <v>0</v>
          </cell>
          <cell r="J21">
            <v>0</v>
          </cell>
          <cell r="K21">
            <v>0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  <cell r="X21">
            <v>1</v>
          </cell>
        </row>
        <row r="22">
          <cell r="D22">
            <v>1</v>
          </cell>
          <cell r="E22">
            <v>1</v>
          </cell>
          <cell r="F22">
            <v>1</v>
          </cell>
          <cell r="G22">
            <v>1</v>
          </cell>
          <cell r="H22">
            <v>1</v>
          </cell>
          <cell r="I22">
            <v>0</v>
          </cell>
          <cell r="J22">
            <v>0</v>
          </cell>
          <cell r="K22">
            <v>0</v>
          </cell>
          <cell r="L22">
            <v>1</v>
          </cell>
          <cell r="M22">
            <v>1</v>
          </cell>
          <cell r="N22">
            <v>1</v>
          </cell>
          <cell r="O22">
            <v>1</v>
          </cell>
          <cell r="P22">
            <v>1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  <cell r="V22">
            <v>1</v>
          </cell>
          <cell r="W22">
            <v>1</v>
          </cell>
          <cell r="X22">
            <v>1</v>
          </cell>
        </row>
        <row r="23">
          <cell r="D23">
            <v>1</v>
          </cell>
          <cell r="E23">
            <v>1</v>
          </cell>
          <cell r="F23">
            <v>1</v>
          </cell>
          <cell r="G23">
            <v>1</v>
          </cell>
          <cell r="H23">
            <v>1</v>
          </cell>
          <cell r="I23">
            <v>0</v>
          </cell>
          <cell r="J23">
            <v>0</v>
          </cell>
          <cell r="K23">
            <v>0</v>
          </cell>
          <cell r="L23">
            <v>1</v>
          </cell>
          <cell r="M23">
            <v>1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  <cell r="V23">
            <v>1</v>
          </cell>
          <cell r="W23">
            <v>1</v>
          </cell>
          <cell r="X23">
            <v>1</v>
          </cell>
        </row>
        <row r="24">
          <cell r="D24">
            <v>1</v>
          </cell>
          <cell r="E24">
            <v>1</v>
          </cell>
          <cell r="F24">
            <v>1</v>
          </cell>
          <cell r="G24">
            <v>1</v>
          </cell>
          <cell r="H24">
            <v>1</v>
          </cell>
          <cell r="I24">
            <v>0</v>
          </cell>
          <cell r="J24">
            <v>0</v>
          </cell>
          <cell r="K24">
            <v>0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>
            <v>1</v>
          </cell>
          <cell r="U24">
            <v>1</v>
          </cell>
          <cell r="V24">
            <v>1</v>
          </cell>
          <cell r="W24">
            <v>1</v>
          </cell>
          <cell r="X24">
            <v>1</v>
          </cell>
        </row>
        <row r="25">
          <cell r="D25">
            <v>1</v>
          </cell>
          <cell r="E25">
            <v>1</v>
          </cell>
          <cell r="F25">
            <v>1</v>
          </cell>
          <cell r="G25">
            <v>1</v>
          </cell>
          <cell r="H25">
            <v>1</v>
          </cell>
          <cell r="I25">
            <v>1</v>
          </cell>
          <cell r="J25">
            <v>1</v>
          </cell>
          <cell r="K25">
            <v>0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>
            <v>1</v>
          </cell>
          <cell r="U25">
            <v>1</v>
          </cell>
          <cell r="V25">
            <v>1</v>
          </cell>
          <cell r="X25">
            <v>1</v>
          </cell>
        </row>
        <row r="26">
          <cell r="D26">
            <v>1</v>
          </cell>
          <cell r="E26">
            <v>1</v>
          </cell>
          <cell r="F26">
            <v>1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0</v>
          </cell>
          <cell r="L26">
            <v>1</v>
          </cell>
          <cell r="M26">
            <v>1</v>
          </cell>
          <cell r="N26">
            <v>1</v>
          </cell>
          <cell r="O26">
            <v>1</v>
          </cell>
          <cell r="P26">
            <v>1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  <cell r="V26">
            <v>1</v>
          </cell>
          <cell r="X26">
            <v>1</v>
          </cell>
        </row>
        <row r="27">
          <cell r="D27">
            <v>1</v>
          </cell>
          <cell r="E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J27">
            <v>0</v>
          </cell>
          <cell r="K27">
            <v>0</v>
          </cell>
          <cell r="L27">
            <v>1</v>
          </cell>
          <cell r="M27">
            <v>1</v>
          </cell>
          <cell r="N27">
            <v>1</v>
          </cell>
          <cell r="O27">
            <v>1</v>
          </cell>
          <cell r="P27">
            <v>1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</row>
        <row r="28">
          <cell r="D28">
            <v>1</v>
          </cell>
          <cell r="E28">
            <v>1</v>
          </cell>
          <cell r="F28">
            <v>1</v>
          </cell>
          <cell r="G28">
            <v>1</v>
          </cell>
          <cell r="H28">
            <v>1</v>
          </cell>
          <cell r="I28">
            <v>0</v>
          </cell>
          <cell r="J28">
            <v>0</v>
          </cell>
          <cell r="K28">
            <v>0</v>
          </cell>
          <cell r="L28">
            <v>1</v>
          </cell>
          <cell r="M28">
            <v>1</v>
          </cell>
          <cell r="N28">
            <v>1</v>
          </cell>
          <cell r="O28">
            <v>1</v>
          </cell>
          <cell r="P28">
            <v>1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</row>
        <row r="29"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0</v>
          </cell>
          <cell r="L29">
            <v>1</v>
          </cell>
          <cell r="M29">
            <v>1</v>
          </cell>
          <cell r="N29">
            <v>1</v>
          </cell>
          <cell r="O29">
            <v>1</v>
          </cell>
          <cell r="P29">
            <v>1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  <cell r="V29">
            <v>1</v>
          </cell>
          <cell r="W29">
            <v>1</v>
          </cell>
          <cell r="X29">
            <v>1</v>
          </cell>
        </row>
        <row r="30">
          <cell r="D30">
            <v>1</v>
          </cell>
          <cell r="E30">
            <v>1</v>
          </cell>
          <cell r="F30">
            <v>1</v>
          </cell>
          <cell r="G30">
            <v>1</v>
          </cell>
          <cell r="H30">
            <v>1</v>
          </cell>
          <cell r="I30">
            <v>1</v>
          </cell>
          <cell r="J30">
            <v>1</v>
          </cell>
          <cell r="K30">
            <v>0</v>
          </cell>
          <cell r="L30">
            <v>1</v>
          </cell>
          <cell r="M30">
            <v>1</v>
          </cell>
          <cell r="N30">
            <v>1</v>
          </cell>
          <cell r="O30">
            <v>1</v>
          </cell>
          <cell r="P30">
            <v>1</v>
          </cell>
          <cell r="Q30">
            <v>1</v>
          </cell>
          <cell r="R30">
            <v>1</v>
          </cell>
          <cell r="S30">
            <v>1</v>
          </cell>
          <cell r="T30">
            <v>1</v>
          </cell>
          <cell r="U30">
            <v>1</v>
          </cell>
          <cell r="V30">
            <v>1</v>
          </cell>
          <cell r="W30">
            <v>1</v>
          </cell>
          <cell r="X30">
            <v>1</v>
          </cell>
        </row>
        <row r="31">
          <cell r="D31">
            <v>1</v>
          </cell>
          <cell r="E31">
            <v>1</v>
          </cell>
          <cell r="F31">
            <v>1</v>
          </cell>
          <cell r="G31">
            <v>1</v>
          </cell>
          <cell r="H31">
            <v>1</v>
          </cell>
          <cell r="K31">
            <v>0</v>
          </cell>
        </row>
        <row r="32"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K32">
            <v>0</v>
          </cell>
        </row>
        <row r="33">
          <cell r="D33">
            <v>1</v>
          </cell>
          <cell r="E33">
            <v>1</v>
          </cell>
          <cell r="F33">
            <v>1</v>
          </cell>
          <cell r="G33">
            <v>1</v>
          </cell>
          <cell r="H33">
            <v>1</v>
          </cell>
          <cell r="I33">
            <v>1</v>
          </cell>
          <cell r="J33">
            <v>1</v>
          </cell>
          <cell r="K33">
            <v>0</v>
          </cell>
          <cell r="L33">
            <v>1</v>
          </cell>
          <cell r="M33">
            <v>1</v>
          </cell>
          <cell r="N33">
            <v>1</v>
          </cell>
          <cell r="O33">
            <v>1</v>
          </cell>
          <cell r="P33">
            <v>1</v>
          </cell>
          <cell r="Q33">
            <v>1</v>
          </cell>
          <cell r="R33">
            <v>1</v>
          </cell>
          <cell r="S33">
            <v>1</v>
          </cell>
          <cell r="T33">
            <v>1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</row>
        <row r="34">
          <cell r="D34">
            <v>1</v>
          </cell>
          <cell r="E34">
            <v>1</v>
          </cell>
          <cell r="F34">
            <v>1</v>
          </cell>
          <cell r="G34">
            <v>1</v>
          </cell>
          <cell r="H34">
            <v>1</v>
          </cell>
          <cell r="I34">
            <v>0</v>
          </cell>
          <cell r="J34">
            <v>0</v>
          </cell>
          <cell r="K34">
            <v>0</v>
          </cell>
          <cell r="L34">
            <v>1</v>
          </cell>
          <cell r="M34">
            <v>1</v>
          </cell>
          <cell r="N34">
            <v>1</v>
          </cell>
          <cell r="O34">
            <v>1</v>
          </cell>
          <cell r="P34">
            <v>1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  <cell r="V34">
            <v>1</v>
          </cell>
          <cell r="W34">
            <v>1</v>
          </cell>
          <cell r="X34">
            <v>1</v>
          </cell>
        </row>
        <row r="35"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0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X35">
            <v>1</v>
          </cell>
        </row>
        <row r="36">
          <cell r="D36">
            <v>1</v>
          </cell>
          <cell r="E36">
            <v>1</v>
          </cell>
          <cell r="F36">
            <v>1</v>
          </cell>
          <cell r="G36">
            <v>1</v>
          </cell>
          <cell r="H36">
            <v>1</v>
          </cell>
          <cell r="I36">
            <v>1</v>
          </cell>
          <cell r="J36">
            <v>1</v>
          </cell>
          <cell r="K36">
            <v>0</v>
          </cell>
          <cell r="L36">
            <v>1</v>
          </cell>
          <cell r="M36">
            <v>1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>
            <v>1</v>
          </cell>
          <cell r="U36">
            <v>1</v>
          </cell>
          <cell r="V36">
            <v>1</v>
          </cell>
          <cell r="X36">
            <v>1</v>
          </cell>
        </row>
        <row r="37">
          <cell r="D37">
            <v>1</v>
          </cell>
          <cell r="E37">
            <v>1</v>
          </cell>
          <cell r="F37">
            <v>1</v>
          </cell>
          <cell r="G37">
            <v>1</v>
          </cell>
          <cell r="H37">
            <v>1</v>
          </cell>
          <cell r="K37">
            <v>0</v>
          </cell>
        </row>
        <row r="38"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0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X38">
            <v>1</v>
          </cell>
        </row>
        <row r="39">
          <cell r="D39">
            <v>1</v>
          </cell>
          <cell r="E39">
            <v>1</v>
          </cell>
          <cell r="F39">
            <v>1</v>
          </cell>
          <cell r="G39">
            <v>1</v>
          </cell>
          <cell r="H39">
            <v>1</v>
          </cell>
          <cell r="K39">
            <v>0</v>
          </cell>
        </row>
        <row r="40">
          <cell r="D40">
            <v>1</v>
          </cell>
          <cell r="E40">
            <v>1</v>
          </cell>
          <cell r="F40">
            <v>1</v>
          </cell>
          <cell r="G40">
            <v>1</v>
          </cell>
          <cell r="H40">
            <v>1</v>
          </cell>
          <cell r="I40">
            <v>1</v>
          </cell>
          <cell r="J40">
            <v>1</v>
          </cell>
          <cell r="K40">
            <v>0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  <cell r="V40">
            <v>1</v>
          </cell>
          <cell r="X40">
            <v>1</v>
          </cell>
        </row>
        <row r="41">
          <cell r="D41">
            <v>1</v>
          </cell>
          <cell r="E41">
            <v>1</v>
          </cell>
          <cell r="F41">
            <v>1</v>
          </cell>
          <cell r="G41">
            <v>1</v>
          </cell>
          <cell r="H41">
            <v>1</v>
          </cell>
          <cell r="K41">
            <v>0</v>
          </cell>
        </row>
        <row r="42">
          <cell r="D42">
            <v>1</v>
          </cell>
          <cell r="E42">
            <v>1</v>
          </cell>
          <cell r="F42">
            <v>1</v>
          </cell>
          <cell r="G42">
            <v>1</v>
          </cell>
          <cell r="H42">
            <v>1</v>
          </cell>
          <cell r="K42">
            <v>0</v>
          </cell>
        </row>
        <row r="43">
          <cell r="D43">
            <v>1</v>
          </cell>
          <cell r="E43">
            <v>1</v>
          </cell>
          <cell r="F43">
            <v>1</v>
          </cell>
          <cell r="G43">
            <v>1</v>
          </cell>
          <cell r="H43">
            <v>1</v>
          </cell>
          <cell r="I43">
            <v>1</v>
          </cell>
          <cell r="J43">
            <v>1</v>
          </cell>
          <cell r="K43">
            <v>0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  <cell r="V43">
            <v>1</v>
          </cell>
          <cell r="W43">
            <v>1</v>
          </cell>
          <cell r="X43">
            <v>1</v>
          </cell>
        </row>
        <row r="44">
          <cell r="D44">
            <v>1</v>
          </cell>
          <cell r="E44">
            <v>1</v>
          </cell>
          <cell r="F44">
            <v>1</v>
          </cell>
          <cell r="G44">
            <v>1</v>
          </cell>
          <cell r="H44">
            <v>1</v>
          </cell>
          <cell r="I44">
            <v>1</v>
          </cell>
          <cell r="J44">
            <v>1</v>
          </cell>
          <cell r="K44">
            <v>0</v>
          </cell>
          <cell r="L44">
            <v>1</v>
          </cell>
          <cell r="M44">
            <v>1</v>
          </cell>
          <cell r="N44">
            <v>1</v>
          </cell>
          <cell r="O44">
            <v>1</v>
          </cell>
          <cell r="P44">
            <v>1</v>
          </cell>
          <cell r="Q44">
            <v>1</v>
          </cell>
          <cell r="R44">
            <v>1</v>
          </cell>
          <cell r="T44">
            <v>1</v>
          </cell>
          <cell r="U44">
            <v>1</v>
          </cell>
          <cell r="V44">
            <v>1</v>
          </cell>
          <cell r="X44">
            <v>1</v>
          </cell>
        </row>
        <row r="45">
          <cell r="D45">
            <v>1</v>
          </cell>
          <cell r="E45">
            <v>1</v>
          </cell>
          <cell r="F45">
            <v>1</v>
          </cell>
          <cell r="G45">
            <v>1</v>
          </cell>
          <cell r="H45">
            <v>1</v>
          </cell>
          <cell r="I45">
            <v>1</v>
          </cell>
          <cell r="J45">
            <v>1</v>
          </cell>
          <cell r="K45">
            <v>0</v>
          </cell>
          <cell r="L45">
            <v>1</v>
          </cell>
          <cell r="M45">
            <v>1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>
            <v>1</v>
          </cell>
          <cell r="U45">
            <v>1</v>
          </cell>
          <cell r="V45">
            <v>1</v>
          </cell>
          <cell r="X45">
            <v>1</v>
          </cell>
        </row>
        <row r="46">
          <cell r="D46">
            <v>1</v>
          </cell>
          <cell r="E46">
            <v>1</v>
          </cell>
          <cell r="F46">
            <v>1</v>
          </cell>
          <cell r="G46">
            <v>1</v>
          </cell>
          <cell r="H46">
            <v>1</v>
          </cell>
          <cell r="I46">
            <v>0</v>
          </cell>
          <cell r="J46">
            <v>0</v>
          </cell>
          <cell r="K46">
            <v>0</v>
          </cell>
          <cell r="L46">
            <v>1</v>
          </cell>
          <cell r="M46">
            <v>1</v>
          </cell>
          <cell r="N46">
            <v>1</v>
          </cell>
          <cell r="O46">
            <v>1</v>
          </cell>
          <cell r="P46">
            <v>1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  <cell r="V46">
            <v>1</v>
          </cell>
          <cell r="X46">
            <v>1</v>
          </cell>
        </row>
        <row r="47">
          <cell r="D47">
            <v>1</v>
          </cell>
          <cell r="E47">
            <v>1</v>
          </cell>
          <cell r="F47">
            <v>1</v>
          </cell>
          <cell r="G47">
            <v>1</v>
          </cell>
          <cell r="H47">
            <v>1</v>
          </cell>
          <cell r="I47">
            <v>1</v>
          </cell>
          <cell r="J47">
            <v>1</v>
          </cell>
          <cell r="K47">
            <v>0</v>
          </cell>
          <cell r="L47">
            <v>1</v>
          </cell>
          <cell r="M47">
            <v>1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T47">
            <v>1</v>
          </cell>
          <cell r="U47">
            <v>1</v>
          </cell>
          <cell r="V47">
            <v>1</v>
          </cell>
          <cell r="X47">
            <v>1</v>
          </cell>
        </row>
        <row r="48">
          <cell r="D48">
            <v>1</v>
          </cell>
          <cell r="E48">
            <v>1</v>
          </cell>
          <cell r="F48">
            <v>1</v>
          </cell>
          <cell r="G48">
            <v>1</v>
          </cell>
          <cell r="H48">
            <v>1</v>
          </cell>
          <cell r="I48">
            <v>1</v>
          </cell>
          <cell r="J48">
            <v>1</v>
          </cell>
          <cell r="K48">
            <v>0</v>
          </cell>
          <cell r="L48">
            <v>1</v>
          </cell>
          <cell r="M48">
            <v>1</v>
          </cell>
          <cell r="N48">
            <v>1</v>
          </cell>
          <cell r="O48">
            <v>1</v>
          </cell>
          <cell r="P48">
            <v>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  <cell r="V48">
            <v>1</v>
          </cell>
          <cell r="X48">
            <v>1</v>
          </cell>
        </row>
        <row r="49">
          <cell r="K49">
            <v>0</v>
          </cell>
        </row>
        <row r="50">
          <cell r="D50">
            <v>788</v>
          </cell>
          <cell r="E50">
            <v>294</v>
          </cell>
          <cell r="F50">
            <v>0</v>
          </cell>
          <cell r="G50">
            <v>956</v>
          </cell>
          <cell r="H50">
            <v>283</v>
          </cell>
          <cell r="I50">
            <v>315</v>
          </cell>
          <cell r="J50">
            <v>287</v>
          </cell>
          <cell r="K50">
            <v>0</v>
          </cell>
          <cell r="L50">
            <v>648</v>
          </cell>
          <cell r="M50">
            <v>92</v>
          </cell>
          <cell r="N50">
            <v>295</v>
          </cell>
          <cell r="O50">
            <v>465</v>
          </cell>
          <cell r="P50">
            <v>78</v>
          </cell>
          <cell r="Q50">
            <v>1556</v>
          </cell>
          <cell r="R50">
            <v>1556</v>
          </cell>
          <cell r="S50">
            <v>1460</v>
          </cell>
          <cell r="T50">
            <v>236</v>
          </cell>
          <cell r="U50">
            <v>1556</v>
          </cell>
          <cell r="V50">
            <v>33</v>
          </cell>
          <cell r="W50">
            <v>991</v>
          </cell>
          <cell r="X50">
            <v>1366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4">
          <cell r="K4">
            <v>0.9</v>
          </cell>
          <cell r="Z4">
            <v>0.19</v>
          </cell>
        </row>
      </sheetData>
      <sheetData sheetId="7">
        <row r="7">
          <cell r="O7">
            <v>0.26500000000000001</v>
          </cell>
        </row>
      </sheetData>
      <sheetData sheetId="8">
        <row r="3">
          <cell r="J3">
            <v>0.5</v>
          </cell>
        </row>
        <row r="7">
          <cell r="N7">
            <v>0.48</v>
          </cell>
        </row>
      </sheetData>
      <sheetData sheetId="9">
        <row r="7">
          <cell r="E7">
            <v>0.27</v>
          </cell>
        </row>
      </sheetData>
      <sheetData sheetId="10">
        <row r="1">
          <cell r="P1">
            <v>500</v>
          </cell>
        </row>
        <row r="7">
          <cell r="F7" t="str">
            <v>C</v>
          </cell>
          <cell r="G7">
            <v>0</v>
          </cell>
          <cell r="H7">
            <v>0.25</v>
          </cell>
          <cell r="I7">
            <v>440</v>
          </cell>
          <cell r="J7">
            <v>300</v>
          </cell>
          <cell r="K7">
            <v>1800</v>
          </cell>
          <cell r="L7">
            <v>2100</v>
          </cell>
          <cell r="M7">
            <v>325</v>
          </cell>
          <cell r="N7">
            <v>735</v>
          </cell>
          <cell r="O7">
            <v>250</v>
          </cell>
          <cell r="P7">
            <v>147.5</v>
          </cell>
          <cell r="Q7">
            <v>300</v>
          </cell>
          <cell r="R7">
            <v>0</v>
          </cell>
          <cell r="T7">
            <v>300</v>
          </cell>
          <cell r="U7">
            <v>0</v>
          </cell>
          <cell r="V7">
            <v>0</v>
          </cell>
          <cell r="W7">
            <v>330</v>
          </cell>
        </row>
        <row r="8">
          <cell r="F8" t="str">
            <v>D</v>
          </cell>
          <cell r="G8">
            <v>0.25009999999999999</v>
          </cell>
          <cell r="H8">
            <v>0.45</v>
          </cell>
          <cell r="R8">
            <v>0</v>
          </cell>
          <cell r="S8">
            <v>640</v>
          </cell>
          <cell r="T8">
            <v>0</v>
          </cell>
          <cell r="U8">
            <v>0</v>
          </cell>
          <cell r="V8">
            <v>0</v>
          </cell>
          <cell r="W8">
            <v>330</v>
          </cell>
        </row>
        <row r="9">
          <cell r="F9" t="str">
            <v>E</v>
          </cell>
          <cell r="G9">
            <v>0.4501</v>
          </cell>
          <cell r="H9">
            <v>0.6</v>
          </cell>
          <cell r="R9">
            <v>565</v>
          </cell>
          <cell r="T9">
            <v>225</v>
          </cell>
          <cell r="U9">
            <v>0</v>
          </cell>
          <cell r="V9">
            <v>0</v>
          </cell>
          <cell r="W9">
            <v>330</v>
          </cell>
        </row>
        <row r="10">
          <cell r="F10" t="str">
            <v>F</v>
          </cell>
          <cell r="G10">
            <v>0.60009999999999997</v>
          </cell>
          <cell r="H10">
            <v>0.9</v>
          </cell>
          <cell r="I10">
            <v>660</v>
          </cell>
          <cell r="R10">
            <v>650</v>
          </cell>
          <cell r="T10">
            <v>440</v>
          </cell>
          <cell r="U10">
            <v>0</v>
          </cell>
          <cell r="V10">
            <v>0</v>
          </cell>
          <cell r="W10">
            <v>330</v>
          </cell>
        </row>
        <row r="11">
          <cell r="F11" t="str">
            <v>G</v>
          </cell>
          <cell r="G11">
            <v>0.9</v>
          </cell>
          <cell r="H11">
            <v>1.3</v>
          </cell>
          <cell r="I11">
            <v>665</v>
          </cell>
          <cell r="J11">
            <v>520</v>
          </cell>
          <cell r="K11">
            <v>1300</v>
          </cell>
          <cell r="L11">
            <v>1500</v>
          </cell>
          <cell r="M11">
            <v>215</v>
          </cell>
          <cell r="N11">
            <v>965</v>
          </cell>
          <cell r="O11">
            <v>250</v>
          </cell>
          <cell r="P11">
            <v>150</v>
          </cell>
          <cell r="Q11">
            <v>200</v>
          </cell>
          <cell r="R11">
            <v>520</v>
          </cell>
          <cell r="T11">
            <v>440</v>
          </cell>
          <cell r="U11">
            <v>0</v>
          </cell>
          <cell r="V11">
            <v>0</v>
          </cell>
          <cell r="W11">
            <v>215</v>
          </cell>
        </row>
      </sheetData>
      <sheetData sheetId="11" refreshError="1"/>
      <sheetData sheetId="12">
        <row r="3">
          <cell r="AA3">
            <v>0.15</v>
          </cell>
        </row>
      </sheetData>
      <sheetData sheetId="13" refreshError="1"/>
      <sheetData sheetId="14" refreshError="1"/>
      <sheetData sheetId="15">
        <row r="2">
          <cell r="E2">
            <v>500</v>
          </cell>
          <cell r="H2">
            <v>0.5</v>
          </cell>
        </row>
        <row r="3">
          <cell r="E3">
            <v>150</v>
          </cell>
          <cell r="H3">
            <v>0.15</v>
          </cell>
        </row>
        <row r="6">
          <cell r="E6">
            <v>130</v>
          </cell>
        </row>
        <row r="12">
          <cell r="E12">
            <v>500</v>
          </cell>
        </row>
        <row r="13">
          <cell r="E13">
            <v>400</v>
          </cell>
        </row>
        <row r="15">
          <cell r="E15">
            <v>600</v>
          </cell>
        </row>
        <row r="16">
          <cell r="E16">
            <v>600</v>
          </cell>
        </row>
        <row r="17">
          <cell r="E17">
            <v>450</v>
          </cell>
        </row>
        <row r="22">
          <cell r="E22">
            <v>1025</v>
          </cell>
        </row>
        <row r="24">
          <cell r="E24">
            <v>1250</v>
          </cell>
        </row>
        <row r="26">
          <cell r="E26">
            <v>100</v>
          </cell>
        </row>
        <row r="27">
          <cell r="E27">
            <v>50</v>
          </cell>
        </row>
        <row r="28">
          <cell r="E28">
            <v>50</v>
          </cell>
        </row>
        <row r="29">
          <cell r="E29">
            <v>140</v>
          </cell>
        </row>
        <row r="30">
          <cell r="E30">
            <v>340</v>
          </cell>
        </row>
        <row r="31">
          <cell r="E31">
            <v>220</v>
          </cell>
        </row>
        <row r="42">
          <cell r="E42">
            <v>150</v>
          </cell>
        </row>
        <row r="44">
          <cell r="E44">
            <v>350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ValSheet"/>
      <sheetName val="CashFlow"/>
      <sheetName val="CashFlowCalcs"/>
    </sheetNames>
    <sheetDataSet>
      <sheetData sheetId="0">
        <row r="4">
          <cell r="B4" t="str">
            <v>FIR TREE CLOSE</v>
          </cell>
        </row>
      </sheetData>
      <sheetData sheetId="1"/>
      <sheetData sheetId="2"/>
      <sheetData sheetId="3">
        <row r="10">
          <cell r="C10" t="str">
            <v>Date</v>
          </cell>
          <cell r="D10" t="str">
            <v>Factor</v>
          </cell>
          <cell r="E10" t="str">
            <v>Est Gross Val</v>
          </cell>
        </row>
        <row r="11">
          <cell r="C11">
            <v>42129</v>
          </cell>
          <cell r="D11">
            <v>1.1109333804177654E-2</v>
          </cell>
          <cell r="E11">
            <v>19445.315725763543</v>
          </cell>
        </row>
        <row r="12">
          <cell r="C12">
            <v>42130</v>
          </cell>
          <cell r="D12">
            <v>1.1371746504683512E-2</v>
          </cell>
          <cell r="E12">
            <v>19881.011078572243</v>
          </cell>
        </row>
        <row r="13">
          <cell r="C13">
            <v>42131</v>
          </cell>
          <cell r="D13">
            <v>1.1639650871335762E-2</v>
          </cell>
          <cell r="E13">
            <v>20325.824486317106</v>
          </cell>
        </row>
        <row r="14">
          <cell r="C14">
            <v>42132</v>
          </cell>
          <cell r="D14">
            <v>1.1913143365307886E-2</v>
          </cell>
          <cell r="E14">
            <v>20779.916107728757</v>
          </cell>
        </row>
        <row r="15">
          <cell r="C15">
            <v>42133</v>
          </cell>
          <cell r="D15">
            <v>1.2192321687448184E-2</v>
          </cell>
          <cell r="E15">
            <v>21243.448159824467</v>
          </cell>
        </row>
        <row r="16">
          <cell r="C16">
            <v>42134</v>
          </cell>
          <cell r="D16">
            <v>1.2477284783401654E-2</v>
          </cell>
          <cell r="E16">
            <v>21716.584926412237</v>
          </cell>
        </row>
        <row r="17">
          <cell r="C17">
            <v>42135</v>
          </cell>
          <cell r="D17">
            <v>1.2768132848469879E-2</v>
          </cell>
          <cell r="E17">
            <v>22199.492766159874</v>
          </cell>
        </row>
        <row r="18">
          <cell r="C18">
            <v>42136</v>
          </cell>
          <cell r="D18">
            <v>1.3064967332200868E-2</v>
          </cell>
          <cell r="E18">
            <v>22692.340120215718</v>
          </cell>
        </row>
        <row r="19">
          <cell r="C19">
            <v>42137</v>
          </cell>
          <cell r="D19">
            <v>1.3367890942700781E-2</v>
          </cell>
          <cell r="E19">
            <v>23195.297519367585</v>
          </cell>
        </row>
        <row r="20">
          <cell r="C20">
            <v>42138</v>
          </cell>
          <cell r="D20">
            <v>1.3677007650659538E-2</v>
          </cell>
          <cell r="E20">
            <v>23708.537590726661</v>
          </cell>
        </row>
        <row r="21">
          <cell r="C21">
            <v>42139</v>
          </cell>
          <cell r="D21">
            <v>1.3992422693082228E-2</v>
          </cell>
          <cell r="E21">
            <v>24232.235063922919</v>
          </cell>
        </row>
        <row r="22">
          <cell r="C22">
            <v>42140</v>
          </cell>
          <cell r="D22">
            <v>1.4314242576717982E-2</v>
          </cell>
          <cell r="E22">
            <v>24766.566776798241</v>
          </cell>
        </row>
        <row r="23">
          <cell r="C23">
            <v>42141</v>
          </cell>
          <cell r="D23">
            <v>1.4642575081178168E-2</v>
          </cell>
          <cell r="E23">
            <v>25311.711680583685</v>
          </cell>
        </row>
        <row r="24">
          <cell r="C24">
            <v>42142</v>
          </cell>
          <cell r="D24">
            <v>1.4977529261735551E-2</v>
          </cell>
          <cell r="E24">
            <v>25867.850844547054</v>
          </cell>
        </row>
        <row r="25">
          <cell r="C25">
            <v>42143</v>
          </cell>
          <cell r="D25">
            <v>1.5319215451796049E-2</v>
          </cell>
          <cell r="E25">
            <v>26435.167460096858</v>
          </cell>
        </row>
        <row r="26">
          <cell r="C26">
            <v>42144</v>
          </cell>
          <cell r="D26">
            <v>1.5667745265034689E-2</v>
          </cell>
          <cell r="E26">
            <v>27013.846844328757</v>
          </cell>
        </row>
        <row r="27">
          <cell r="C27">
            <v>42145</v>
          </cell>
          <cell r="D27">
            <v>1.6023231597187257E-2</v>
          </cell>
          <cell r="E27">
            <v>27604.076443000278</v>
          </cell>
        </row>
        <row r="28">
          <cell r="C28">
            <v>42146</v>
          </cell>
          <cell r="D28">
            <v>1.6385788627489115E-2</v>
          </cell>
          <cell r="E28">
            <v>28206.045832919786</v>
          </cell>
        </row>
        <row r="29">
          <cell r="C29">
            <v>42147</v>
          </cell>
          <cell r="D29">
            <v>1.6755531819752725E-2</v>
          </cell>
          <cell r="E29">
            <v>28819.946723735517</v>
          </cell>
        </row>
        <row r="30">
          <cell r="C30">
            <v>42148</v>
          </cell>
          <cell r="D30">
            <v>1.7132577923075189E-2</v>
          </cell>
          <cell r="E30">
            <v>29445.97295911035</v>
          </cell>
        </row>
        <row r="31">
          <cell r="C31">
            <v>42149</v>
          </cell>
          <cell r="D31">
            <v>1.7517044972167186E-2</v>
          </cell>
          <cell r="E31">
            <v>30084.320517267955</v>
          </cell>
        </row>
        <row r="32">
          <cell r="C32">
            <v>42150</v>
          </cell>
          <cell r="D32">
            <v>1.7909052287294662E-2</v>
          </cell>
          <cell r="E32">
            <v>30735.187510895968</v>
          </cell>
        </row>
        <row r="33">
          <cell r="C33">
            <v>42151</v>
          </cell>
          <cell r="D33">
            <v>1.8308720473824616E-2</v>
          </cell>
          <cell r="E33">
            <v>31398.774186391856</v>
          </cell>
        </row>
        <row r="34">
          <cell r="C34">
            <v>42152</v>
          </cell>
          <cell r="D34">
            <v>1.8716171421366157E-2</v>
          </cell>
          <cell r="E34">
            <v>32075.282922436771</v>
          </cell>
        </row>
        <row r="35">
          <cell r="C35">
            <v>42153</v>
          </cell>
          <cell r="D35">
            <v>1.9131528302498282E-2</v>
          </cell>
          <cell r="E35">
            <v>32764.918227883209</v>
          </cell>
        </row>
        <row r="36">
          <cell r="C36">
            <v>42154</v>
          </cell>
          <cell r="D36">
            <v>1.9554915571075339E-2</v>
          </cell>
          <cell r="E36">
            <v>33467.88673894151</v>
          </cell>
        </row>
        <row r="37">
          <cell r="C37">
            <v>42155</v>
          </cell>
          <cell r="D37">
            <v>1.9986458960101715E-2</v>
          </cell>
          <cell r="E37">
            <v>34184.397215651123</v>
          </cell>
        </row>
        <row r="38">
          <cell r="C38">
            <v>42156</v>
          </cell>
          <cell r="D38">
            <v>2.0426285479166674E-2</v>
          </cell>
          <cell r="E38">
            <v>34914.660537621516</v>
          </cell>
        </row>
        <row r="39">
          <cell r="C39">
            <v>42157</v>
          </cell>
          <cell r="D39">
            <v>2.0874523411430874E-2</v>
          </cell>
          <cell r="E39">
            <v>35658.889699028783</v>
          </cell>
        </row>
        <row r="40">
          <cell r="C40">
            <v>42158</v>
          </cell>
          <cell r="D40">
            <v>2.1331302310155443E-2</v>
          </cell>
          <cell r="E40">
            <v>36417.299802852729</v>
          </cell>
        </row>
        <row r="41">
          <cell r="C41">
            <v>42159</v>
          </cell>
          <cell r="D41">
            <v>2.1796752994765065E-2</v>
          </cell>
          <cell r="E41">
            <v>37190.108054340206</v>
          </cell>
        </row>
        <row r="42">
          <cell r="C42">
            <v>42160</v>
          </cell>
          <cell r="D42">
            <v>2.2271007546436249E-2</v>
          </cell>
          <cell r="E42">
            <v>37977.533753680145</v>
          </cell>
        </row>
        <row r="43">
          <cell r="C43">
            <v>42161</v>
          </cell>
          <cell r="D43">
            <v>2.2754199303201956E-2</v>
          </cell>
          <cell r="E43">
            <v>38779.79828787555</v>
          </cell>
        </row>
        <row r="44">
          <cell r="C44">
            <v>42162</v>
          </cell>
          <cell r="D44">
            <v>2.3246462854563825E-2</v>
          </cell>
          <cell r="E44">
            <v>39597.125121797922</v>
          </cell>
        </row>
        <row r="45">
          <cell r="C45">
            <v>42163</v>
          </cell>
          <cell r="D45">
            <v>2.3747934035603491E-2</v>
          </cell>
          <cell r="E45">
            <v>40429.739788410043</v>
          </cell>
        </row>
        <row r="46">
          <cell r="C46">
            <v>42164</v>
          </cell>
          <cell r="D46">
            <v>2.4258749920583834E-2</v>
          </cell>
          <cell r="E46">
            <v>41277.869878141842</v>
          </cell>
        </row>
        <row r="47">
          <cell r="C47">
            <v>42165</v>
          </cell>
          <cell r="D47">
            <v>2.4779048816032049E-2</v>
          </cell>
          <cell r="E47">
            <v>42141.745027405916</v>
          </cell>
        </row>
        <row r="48">
          <cell r="C48">
            <v>42166</v>
          </cell>
          <cell r="D48">
            <v>2.5308970253295454E-2</v>
          </cell>
          <cell r="E48">
            <v>43021.596906237588</v>
          </cell>
        </row>
        <row r="49">
          <cell r="C49">
            <v>42167</v>
          </cell>
          <cell r="D49">
            <v>2.5848654980561651E-2</v>
          </cell>
          <cell r="E49">
            <v>43917.659205045653</v>
          </cell>
        </row>
        <row r="50">
          <cell r="C50">
            <v>42168</v>
          </cell>
          <cell r="D50">
            <v>2.6398244954334439E-2</v>
          </cell>
          <cell r="E50">
            <v>44830.167620459462</v>
          </cell>
        </row>
        <row r="51">
          <cell r="C51">
            <v>42169</v>
          </cell>
          <cell r="D51">
            <v>2.6957883330357004E-2</v>
          </cell>
          <cell r="E51">
            <v>45759.359840258272</v>
          </cell>
        </row>
        <row r="52">
          <cell r="C52">
            <v>42170</v>
          </cell>
          <cell r="D52">
            <v>2.7527714453973905E-2</v>
          </cell>
          <cell r="E52">
            <v>46705.47552736885</v>
          </cell>
        </row>
        <row r="53">
          <cell r="C53">
            <v>42171</v>
          </cell>
          <cell r="D53">
            <v>2.8107883849923437E-2</v>
          </cell>
          <cell r="E53">
            <v>47668.756302917282</v>
          </cell>
        </row>
        <row r="54">
          <cell r="C54">
            <v>42172</v>
          </cell>
          <cell r="D54">
            <v>2.8698538211552254E-2</v>
          </cell>
          <cell r="E54">
            <v>48649.445728321516</v>
          </cell>
        </row>
        <row r="55">
          <cell r="C55">
            <v>42173</v>
          </cell>
          <cell r="D55">
            <v>2.9299825389443628E-2</v>
          </cell>
          <cell r="E55">
            <v>49647.789286410392</v>
          </cell>
        </row>
        <row r="56">
          <cell r="C56">
            <v>42174</v>
          </cell>
          <cell r="D56">
            <v>2.9911894379451683E-2</v>
          </cell>
          <cell r="E56">
            <v>50664.034361556325</v>
          </cell>
        </row>
        <row r="57">
          <cell r="C57">
            <v>42175</v>
          </cell>
          <cell r="D57">
            <v>3.053489531013296E-2</v>
          </cell>
          <cell r="E57">
            <v>51698.4302188074</v>
          </cell>
        </row>
        <row r="58">
          <cell r="C58">
            <v>42176</v>
          </cell>
          <cell r="D58">
            <v>3.1168979429567898E-2</v>
          </cell>
          <cell r="E58">
            <v>52751.22798200648</v>
          </cell>
        </row>
        <row r="59">
          <cell r="C59">
            <v>42177</v>
          </cell>
          <cell r="D59">
            <v>3.1814299091563719E-2</v>
          </cell>
          <cell r="E59">
            <v>53822.680610883275</v>
          </cell>
        </row>
        <row r="60">
          <cell r="C60">
            <v>42178</v>
          </cell>
          <cell r="D60">
            <v>3.2471007741231551E-2</v>
          </cell>
          <cell r="E60">
            <v>54913.042877107357</v>
          </cell>
        </row>
        <row r="61">
          <cell r="C61">
            <v>42179</v>
          </cell>
          <cell r="D61">
            <v>3.3139259899929566E-2</v>
          </cell>
          <cell r="E61">
            <v>56022.571339288654</v>
          </cell>
        </row>
        <row r="62">
          <cell r="C62">
            <v>42180</v>
          </cell>
          <cell r="D62">
            <v>3.3819211149564828E-2</v>
          </cell>
          <cell r="E62">
            <v>57151.524316913063</v>
          </cell>
        </row>
        <row r="63">
          <cell r="C63">
            <v>42181</v>
          </cell>
          <cell r="D63">
            <v>3.4511018116246371E-2</v>
          </cell>
          <cell r="E63">
            <v>58300.161863200963</v>
          </cell>
        </row>
        <row r="64">
          <cell r="C64">
            <v>42182</v>
          </cell>
          <cell r="D64">
            <v>3.5214838453282118E-2</v>
          </cell>
          <cell r="E64">
            <v>59468.745736876248</v>
          </cell>
        </row>
        <row r="65">
          <cell r="C65">
            <v>42183</v>
          </cell>
          <cell r="D65">
            <v>3.5930830823512394E-2</v>
          </cell>
          <cell r="E65">
            <v>60657.53937283386</v>
          </cell>
        </row>
        <row r="66">
          <cell r="C66">
            <v>42184</v>
          </cell>
          <cell r="D66">
            <v>3.6659154880973113E-2</v>
          </cell>
          <cell r="E66">
            <v>61866.807851694422</v>
          </cell>
        </row>
        <row r="67">
          <cell r="C67">
            <v>42185</v>
          </cell>
          <cell r="D67">
            <v>3.7399971251881527E-2</v>
          </cell>
          <cell r="E67">
            <v>63096.817868233979</v>
          </cell>
        </row>
        <row r="68">
          <cell r="C68">
            <v>42186</v>
          </cell>
          <cell r="D68">
            <v>3.8153441514937957E-2</v>
          </cell>
          <cell r="E68">
            <v>64347.837698678144</v>
          </cell>
        </row>
        <row r="69">
          <cell r="C69">
            <v>42187</v>
          </cell>
          <cell r="D69">
            <v>3.8919728180936704E-2</v>
          </cell>
          <cell r="E69">
            <v>65620.137166849163</v>
          </cell>
        </row>
        <row r="70">
          <cell r="C70">
            <v>42188</v>
          </cell>
          <cell r="D70">
            <v>3.9698994671679824E-2</v>
          </cell>
          <cell r="E70">
            <v>66913.987609155563</v>
          </cell>
        </row>
        <row r="71">
          <cell r="C71">
            <v>42189</v>
          </cell>
          <cell r="D71">
            <v>4.0491405298187379E-2</v>
          </cell>
          <cell r="E71">
            <v>68229.661838413624</v>
          </cell>
        </row>
        <row r="72">
          <cell r="C72">
            <v>42190</v>
          </cell>
          <cell r="D72">
            <v>4.129712523819818E-2</v>
          </cell>
          <cell r="E72">
            <v>69567.434106490924</v>
          </cell>
        </row>
        <row r="73">
          <cell r="C73">
            <v>42191</v>
          </cell>
          <cell r="D73">
            <v>4.21163205129549E-2</v>
          </cell>
          <cell r="E73">
            <v>70927.580065761591</v>
          </cell>
        </row>
        <row r="74">
          <cell r="C74">
            <v>42192</v>
          </cell>
          <cell r="D74">
            <v>4.2949157963268002E-2</v>
          </cell>
          <cell r="E74">
            <v>72310.376729364245</v>
          </cell>
        </row>
        <row r="75">
          <cell r="C75">
            <v>42193</v>
          </cell>
          <cell r="D75">
            <v>4.379580522485288E-2</v>
          </cell>
          <cell r="E75">
            <v>73716.10243025313</v>
          </cell>
        </row>
        <row r="76">
          <cell r="C76">
            <v>42194</v>
          </cell>
          <cell r="D76">
            <v>4.4656430702934805E-2</v>
          </cell>
          <cell r="E76">
            <v>75145.036779033588</v>
          </cell>
        </row>
        <row r="77">
          <cell r="C77">
            <v>42195</v>
          </cell>
          <cell r="D77">
            <v>4.5531203546116561E-2</v>
          </cell>
          <cell r="E77">
            <v>76597.460620573358</v>
          </cell>
        </row>
        <row r="78">
          <cell r="C78">
            <v>42196</v>
          </cell>
          <cell r="D78">
            <v>4.642029361950397E-2</v>
          </cell>
          <cell r="E78">
            <v>78073.655989381703</v>
          </cell>
        </row>
        <row r="79">
          <cell r="C79">
            <v>42197</v>
          </cell>
          <cell r="D79">
            <v>4.7323871477084431E-2</v>
          </cell>
          <cell r="E79">
            <v>79573.906063748276</v>
          </cell>
        </row>
        <row r="80">
          <cell r="C80">
            <v>42198</v>
          </cell>
          <cell r="D80">
            <v>4.8242108333354197E-2</v>
          </cell>
          <cell r="E80">
            <v>81098.495118634644</v>
          </cell>
        </row>
        <row r="81">
          <cell r="C81">
            <v>42199</v>
          </cell>
          <cell r="D81">
            <v>4.9175176034189812E-2</v>
          </cell>
          <cell r="E81">
            <v>82647.708477310851</v>
          </cell>
        </row>
        <row r="82">
          <cell r="C82">
            <v>42200</v>
          </cell>
          <cell r="D82">
            <v>5.0123247026960263E-2</v>
          </cell>
          <cell r="E82">
            <v>84221.832461731305</v>
          </cell>
        </row>
        <row r="83">
          <cell r="C83">
            <v>42201</v>
          </cell>
          <cell r="D83">
            <v>5.1086494329875574E-2</v>
          </cell>
          <cell r="E83">
            <v>85821.154341642934</v>
          </cell>
        </row>
        <row r="84">
          <cell r="C84">
            <v>42202</v>
          </cell>
          <cell r="D84">
            <v>5.2065091500568525E-2</v>
          </cell>
          <cell r="E84">
            <v>87445.962282419947</v>
          </cell>
        </row>
        <row r="85">
          <cell r="C85">
            <v>42203</v>
          </cell>
          <cell r="D85">
            <v>5.3059212603906586E-2</v>
          </cell>
          <cell r="E85">
            <v>89096.54529162067</v>
          </cell>
        </row>
        <row r="86">
          <cell r="C86">
            <v>42204</v>
          </cell>
          <cell r="D86">
            <v>5.4069032179030391E-2</v>
          </cell>
          <cell r="E86">
            <v>90773.193164260039</v>
          </cell>
        </row>
        <row r="87">
          <cell r="C87">
            <v>42205</v>
          </cell>
          <cell r="D87">
            <v>5.5094725205617E-2</v>
          </cell>
          <cell r="E87">
            <v>92476.196426794952</v>
          </cell>
        </row>
        <row r="88">
          <cell r="C88">
            <v>42206</v>
          </cell>
          <cell r="D88">
            <v>5.6136467069364628E-2</v>
          </cell>
          <cell r="E88">
            <v>94205.846279817139</v>
          </cell>
        </row>
        <row r="89">
          <cell r="C89">
            <v>42207</v>
          </cell>
          <cell r="D89">
            <v>5.7194433526697307E-2</v>
          </cell>
          <cell r="E89">
            <v>95962.434539450711</v>
          </cell>
        </row>
        <row r="90">
          <cell r="C90">
            <v>42208</v>
          </cell>
          <cell r="D90">
            <v>5.8268800668687608E-2</v>
          </cell>
          <cell r="E90">
            <v>97746.253577451454</v>
          </cell>
        </row>
        <row r="91">
          <cell r="C91">
            <v>42209</v>
          </cell>
          <cell r="D91">
            <v>5.9359744884195639E-2</v>
          </cell>
          <cell r="E91">
            <v>99557.596260004924</v>
          </cell>
        </row>
        <row r="92">
          <cell r="C92">
            <v>42210</v>
          </cell>
          <cell r="D92">
            <v>6.0467442822223244E-2</v>
          </cell>
          <cell r="E92">
            <v>101396.75588522143</v>
          </cell>
        </row>
        <row r="93">
          <cell r="C93">
            <v>42211</v>
          </cell>
          <cell r="D93">
            <v>6.1592071353482609E-2</v>
          </cell>
          <cell r="E93">
            <v>103264.02611932674</v>
          </cell>
        </row>
        <row r="94">
          <cell r="C94">
            <v>42212</v>
          </cell>
          <cell r="D94">
            <v>6.2733807531178576E-2</v>
          </cell>
          <cell r="E94">
            <v>105159.70093154717</v>
          </cell>
        </row>
        <row r="95">
          <cell r="C95">
            <v>42213</v>
          </cell>
          <cell r="D95">
            <v>6.3892828551004519E-2</v>
          </cell>
          <cell r="E95">
            <v>107084.07452768905</v>
          </cell>
        </row>
        <row r="96">
          <cell r="C96">
            <v>42214</v>
          </cell>
          <cell r="D96">
            <v>6.5069311710351532E-2</v>
          </cell>
          <cell r="E96">
            <v>109037.44128241191</v>
          </cell>
        </row>
        <row r="97">
          <cell r="C97">
            <v>42215</v>
          </cell>
          <cell r="D97">
            <v>6.6263434366731905E-2</v>
          </cell>
          <cell r="E97">
            <v>111020.09567019712</v>
          </cell>
        </row>
        <row r="98">
          <cell r="C98">
            <v>42216</v>
          </cell>
          <cell r="D98">
            <v>6.747537389541719E-2</v>
          </cell>
          <cell r="E98">
            <v>113032.33219501255</v>
          </cell>
        </row>
        <row r="99">
          <cell r="C99">
            <v>42217</v>
          </cell>
          <cell r="D99">
            <v>6.8705307646292069E-2</v>
          </cell>
          <cell r="E99">
            <v>115074.44531867516</v>
          </cell>
        </row>
        <row r="100">
          <cell r="C100">
            <v>42218</v>
          </cell>
          <cell r="D100">
            <v>6.9953412899925821E-2</v>
          </cell>
          <cell r="E100">
            <v>117146.72938791444</v>
          </cell>
        </row>
        <row r="101">
          <cell r="C101">
            <v>42219</v>
          </cell>
          <cell r="D101">
            <v>7.1219866822862618E-2</v>
          </cell>
          <cell r="E101">
            <v>119249.47856013902</v>
          </cell>
        </row>
        <row r="102">
          <cell r="C102">
            <v>42220</v>
          </cell>
          <cell r="D102">
            <v>7.2504846422133395E-2</v>
          </cell>
          <cell r="E102">
            <v>121382.98672791065</v>
          </cell>
        </row>
        <row r="103">
          <cell r="C103">
            <v>42221</v>
          </cell>
          <cell r="D103">
            <v>7.3808528498991693E-2</v>
          </cell>
          <cell r="E103">
            <v>123547.54744212987</v>
          </cell>
        </row>
        <row r="104">
          <cell r="C104">
            <v>42222</v>
          </cell>
          <cell r="D104">
            <v>7.5131089601876241E-2</v>
          </cell>
          <cell r="E104">
            <v>125743.4538339376</v>
          </cell>
        </row>
        <row r="105">
          <cell r="C105">
            <v>42223</v>
          </cell>
          <cell r="D105">
            <v>7.6472705978603991E-2</v>
          </cell>
          <cell r="E105">
            <v>127970.99853533927</v>
          </cell>
        </row>
        <row r="106">
          <cell r="C106">
            <v>42224</v>
          </cell>
          <cell r="D106">
            <v>7.7833553527796903E-2</v>
          </cell>
          <cell r="E106">
            <v>130230.47359855642</v>
          </cell>
        </row>
        <row r="107">
          <cell r="C107">
            <v>42225</v>
          </cell>
          <cell r="D107">
            <v>7.9213807749547005E-2</v>
          </cell>
          <cell r="E107">
            <v>132522.17041411388</v>
          </cell>
        </row>
        <row r="108">
          <cell r="C108">
            <v>42226</v>
          </cell>
          <cell r="D108">
            <v>8.061364369532413E-2</v>
          </cell>
          <cell r="E108">
            <v>134846.37962766926</v>
          </cell>
        </row>
        <row r="109">
          <cell r="C109">
            <v>42227</v>
          </cell>
          <cell r="D109">
            <v>8.2033235917130923E-2</v>
          </cell>
          <cell r="E109">
            <v>137203.39105559283</v>
          </cell>
        </row>
        <row r="110">
          <cell r="C110">
            <v>42228</v>
          </cell>
          <cell r="D110">
            <v>8.3472758415911091E-2</v>
          </cell>
          <cell r="E110">
            <v>139593.49359930749</v>
          </cell>
        </row>
        <row r="111">
          <cell r="C111">
            <v>42229</v>
          </cell>
          <cell r="D111">
            <v>8.4932384589216189E-2</v>
          </cell>
          <cell r="E111">
            <v>142016.97515839757</v>
          </cell>
        </row>
        <row r="112">
          <cell r="C112">
            <v>42230</v>
          </cell>
          <cell r="D112">
            <v>8.6412287178137051E-2</v>
          </cell>
          <cell r="E112">
            <v>144474.12254249677</v>
          </cell>
        </row>
        <row r="113">
          <cell r="C113">
            <v>42231</v>
          </cell>
          <cell r="D113">
            <v>8.7912638213507061E-2</v>
          </cell>
          <cell r="E113">
            <v>146965.22138196716</v>
          </cell>
        </row>
        <row r="114">
          <cell r="C114">
            <v>42232</v>
          </cell>
          <cell r="D114">
            <v>8.9433608961383596E-2</v>
          </cell>
          <cell r="E114">
            <v>149490.55603737949</v>
          </cell>
        </row>
        <row r="115">
          <cell r="C115">
            <v>42233</v>
          </cell>
          <cell r="D115">
            <v>9.0975369867815445E-2</v>
          </cell>
          <cell r="E115">
            <v>152050.40950780816</v>
          </cell>
        </row>
        <row r="116">
          <cell r="C116">
            <v>42234</v>
          </cell>
          <cell r="D116">
            <v>9.2538090502904152E-2</v>
          </cell>
          <cell r="E116">
            <v>154645.06333795388</v>
          </cell>
        </row>
        <row r="117">
          <cell r="C117">
            <v>42235</v>
          </cell>
          <cell r="D117">
            <v>9.4121939504167515E-2</v>
          </cell>
          <cell r="E117">
            <v>157274.7975241075</v>
          </cell>
        </row>
        <row r="118">
          <cell r="C118">
            <v>42236</v>
          </cell>
          <cell r="D118">
            <v>9.572708451921387E-2</v>
          </cell>
          <cell r="E118">
            <v>159939.89041896965</v>
          </cell>
        </row>
        <row r="119">
          <cell r="C119">
            <v>42237</v>
          </cell>
          <cell r="D119">
            <v>9.7353692147736634E-2</v>
          </cell>
          <cell r="E119">
            <v>162640.61863534164</v>
          </cell>
        </row>
        <row r="120">
          <cell r="C120">
            <v>42238</v>
          </cell>
          <cell r="D120">
            <v>9.9001927882839083E-2</v>
          </cell>
          <cell r="E120">
            <v>165377.25694870457</v>
          </cell>
        </row>
        <row r="121">
          <cell r="C121">
            <v>42239</v>
          </cell>
          <cell r="D121">
            <v>0.10067195605169821</v>
          </cell>
          <cell r="E121">
            <v>168150.07819870082</v>
          </cell>
        </row>
        <row r="122">
          <cell r="C122">
            <v>42240</v>
          </cell>
          <cell r="D122">
            <v>0.1023639397555801</v>
          </cell>
          <cell r="E122">
            <v>170959.35318953887</v>
          </cell>
        </row>
        <row r="123">
          <cell r="C123">
            <v>42241</v>
          </cell>
          <cell r="D123">
            <v>0.10407804080921641</v>
          </cell>
          <cell r="E123">
            <v>173805.35058933761</v>
          </cell>
        </row>
        <row r="124">
          <cell r="C124">
            <v>42242</v>
          </cell>
          <cell r="D124">
            <v>0.10581441967955368</v>
          </cell>
          <cell r="E124">
            <v>176688.33682842887</v>
          </cell>
        </row>
        <row r="125">
          <cell r="C125">
            <v>42243</v>
          </cell>
          <cell r="D125">
            <v>0.10757323542388866</v>
          </cell>
          <cell r="E125">
            <v>179608.57599664101</v>
          </cell>
        </row>
        <row r="126">
          <cell r="C126">
            <v>42244</v>
          </cell>
          <cell r="D126">
            <v>0.10935464562740004</v>
          </cell>
          <cell r="E126">
            <v>182566.32973957987</v>
          </cell>
        </row>
        <row r="127">
          <cell r="C127">
            <v>42245</v>
          </cell>
          <cell r="D127">
            <v>0.11115880634009119</v>
          </cell>
          <cell r="E127">
            <v>185561.85715393236</v>
          </cell>
        </row>
        <row r="128">
          <cell r="C128">
            <v>42246</v>
          </cell>
          <cell r="D128">
            <v>0.11298587201315662</v>
          </cell>
          <cell r="E128">
            <v>188595.41468181252</v>
          </cell>
        </row>
        <row r="129">
          <cell r="C129">
            <v>42247</v>
          </cell>
          <cell r="D129">
            <v>0.11483599543478575</v>
          </cell>
          <cell r="E129">
            <v>191667.25600417389</v>
          </cell>
        </row>
        <row r="130">
          <cell r="C130">
            <v>42248</v>
          </cell>
          <cell r="D130">
            <v>0.11670932766541886</v>
          </cell>
          <cell r="E130">
            <v>194777.63193331222</v>
          </cell>
        </row>
        <row r="131">
          <cell r="C131">
            <v>42249</v>
          </cell>
          <cell r="D131">
            <v>0.11860601797246947</v>
          </cell>
          <cell r="E131">
            <v>197926.79030448187</v>
          </cell>
        </row>
        <row r="132">
          <cell r="C132">
            <v>42250</v>
          </cell>
          <cell r="D132">
            <v>0.1205262137645287</v>
          </cell>
          <cell r="E132">
            <v>201114.97586665265</v>
          </cell>
        </row>
        <row r="133">
          <cell r="C133">
            <v>42251</v>
          </cell>
          <cell r="D133">
            <v>0.12247006052506723</v>
          </cell>
          <cell r="E133">
            <v>204342.43017243221</v>
          </cell>
        </row>
        <row r="134">
          <cell r="C134">
            <v>42252</v>
          </cell>
          <cell r="D134">
            <v>0.12443770174565096</v>
          </cell>
          <cell r="E134">
            <v>207609.39146718109</v>
          </cell>
        </row>
        <row r="135">
          <cell r="C135">
            <v>42253</v>
          </cell>
          <cell r="D135">
            <v>0.12642927885868724</v>
          </cell>
          <cell r="E135">
            <v>210916.09457734821</v>
          </cell>
        </row>
        <row r="136">
          <cell r="C136">
            <v>42254</v>
          </cell>
          <cell r="D136">
            <v>0.12844493116971867</v>
          </cell>
          <cell r="E136">
            <v>214262.77079805537</v>
          </cell>
        </row>
        <row r="137">
          <cell r="C137">
            <v>42255</v>
          </cell>
          <cell r="D137">
            <v>0.1304847957892819</v>
          </cell>
          <cell r="E137">
            <v>217649.64777995949</v>
          </cell>
        </row>
        <row r="138">
          <cell r="C138">
            <v>42256</v>
          </cell>
          <cell r="D138">
            <v>0.13254900756434956</v>
          </cell>
          <cell r="E138">
            <v>221076.94941542242</v>
          </cell>
        </row>
        <row r="139">
          <cell r="C139">
            <v>42257</v>
          </cell>
          <cell r="D139">
            <v>0.13463769900937447</v>
          </cell>
          <cell r="E139">
            <v>224544.89572402084</v>
          </cell>
        </row>
        <row r="140">
          <cell r="C140">
            <v>42258</v>
          </cell>
          <cell r="D140">
            <v>0.1367510002369538</v>
          </cell>
          <cell r="E140">
            <v>228053.70273742481</v>
          </cell>
        </row>
        <row r="141">
          <cell r="C141">
            <v>42259</v>
          </cell>
          <cell r="D141">
            <v>0.13888903888813431</v>
          </cell>
          <cell r="E141">
            <v>231603.58238368048</v>
          </cell>
        </row>
        <row r="142">
          <cell r="C142">
            <v>42260</v>
          </cell>
          <cell r="D142">
            <v>0.14105194006237681</v>
          </cell>
          <cell r="E142">
            <v>235194.74237092698</v>
          </cell>
        </row>
        <row r="143">
          <cell r="C143">
            <v>42261</v>
          </cell>
          <cell r="D143">
            <v>0.14323982624720175</v>
          </cell>
          <cell r="E143">
            <v>238827.38607058395</v>
          </cell>
        </row>
        <row r="144">
          <cell r="C144">
            <v>42262</v>
          </cell>
          <cell r="D144">
            <v>0.14545281724753589</v>
          </cell>
          <cell r="E144">
            <v>242501.71240004274</v>
          </cell>
        </row>
        <row r="145">
          <cell r="C145">
            <v>42263</v>
          </cell>
          <cell r="D145">
            <v>0.14769103011478174</v>
          </cell>
          <cell r="E145">
            <v>246217.91570489717</v>
          </cell>
        </row>
        <row r="146">
          <cell r="C146">
            <v>42264</v>
          </cell>
          <cell r="D146">
            <v>0.14995457907563095</v>
          </cell>
          <cell r="E146">
            <v>249976.18564074941</v>
          </cell>
        </row>
        <row r="147">
          <cell r="C147">
            <v>42265</v>
          </cell>
          <cell r="D147">
            <v>0.15224357546064485</v>
          </cell>
          <cell r="E147">
            <v>253776.7070546289</v>
          </cell>
        </row>
        <row r="148">
          <cell r="C148">
            <v>42266</v>
          </cell>
          <cell r="D148">
            <v>0.15455812763262355</v>
          </cell>
          <cell r="E148">
            <v>257619.65986606071</v>
          </cell>
        </row>
        <row r="149">
          <cell r="C149">
            <v>42267</v>
          </cell>
          <cell r="D149">
            <v>0.15689834091478766</v>
          </cell>
          <cell r="E149">
            <v>261505.2189478222</v>
          </cell>
        </row>
        <row r="150">
          <cell r="C150">
            <v>42268</v>
          </cell>
          <cell r="D150">
            <v>0.15926431751879566</v>
          </cell>
          <cell r="E150">
            <v>265433.55400642724</v>
          </cell>
        </row>
        <row r="151">
          <cell r="C151">
            <v>42269</v>
          </cell>
          <cell r="D151">
            <v>0.16165615647262052</v>
          </cell>
          <cell r="E151">
            <v>269404.82946237666</v>
          </cell>
        </row>
        <row r="152">
          <cell r="C152">
            <v>42270</v>
          </cell>
          <cell r="D152">
            <v>0.16407395354831106</v>
          </cell>
          <cell r="E152">
            <v>273419.20433021698</v>
          </cell>
        </row>
        <row r="153">
          <cell r="C153">
            <v>42271</v>
          </cell>
          <cell r="D153">
            <v>0.16651780118966128</v>
          </cell>
          <cell r="E153">
            <v>277476.83209844696</v>
          </cell>
        </row>
        <row r="154">
          <cell r="C154">
            <v>42272</v>
          </cell>
          <cell r="D154">
            <v>0.1689877884398141</v>
          </cell>
          <cell r="E154">
            <v>281577.8606093147</v>
          </cell>
        </row>
        <row r="155">
          <cell r="C155">
            <v>42273</v>
          </cell>
          <cell r="D155">
            <v>0.17148400086882451</v>
          </cell>
          <cell r="E155">
            <v>285722.43193854758</v>
          </cell>
        </row>
        <row r="156">
          <cell r="C156">
            <v>42274</v>
          </cell>
          <cell r="D156">
            <v>0.17400652050120791</v>
          </cell>
          <cell r="E156">
            <v>289910.68227505754</v>
          </cell>
        </row>
        <row r="157">
          <cell r="C157">
            <v>42275</v>
          </cell>
          <cell r="D157">
            <v>0.17655542574350103</v>
          </cell>
          <cell r="E157">
            <v>294142.74180066749</v>
          </cell>
        </row>
        <row r="158">
          <cell r="C158">
            <v>42276</v>
          </cell>
          <cell r="D158">
            <v>0.17913079131186038</v>
          </cell>
          <cell r="E158">
            <v>298418.73456989951</v>
          </cell>
        </row>
        <row r="159">
          <cell r="C159">
            <v>42277</v>
          </cell>
          <cell r="D159">
            <v>0.18173268815972779</v>
          </cell>
          <cell r="E159">
            <v>302738.77838987508</v>
          </cell>
        </row>
        <row r="160">
          <cell r="C160">
            <v>42278</v>
          </cell>
          <cell r="D160">
            <v>0.18436118340558791</v>
          </cell>
          <cell r="E160">
            <v>307102.98470036744</v>
          </cell>
        </row>
        <row r="161">
          <cell r="C161">
            <v>42279</v>
          </cell>
          <cell r="D161">
            <v>0.1870163402608476</v>
          </cell>
          <cell r="E161">
            <v>311511.45845405676</v>
          </cell>
        </row>
        <row r="162">
          <cell r="C162">
            <v>42280</v>
          </cell>
          <cell r="D162">
            <v>0.18969821795786482</v>
          </cell>
          <cell r="E162">
            <v>315964.29799703311</v>
          </cell>
        </row>
        <row r="163">
          <cell r="C163">
            <v>42281</v>
          </cell>
          <cell r="D163">
            <v>0.19240687167815457</v>
          </cell>
          <cell r="E163">
            <v>320461.59494959388</v>
          </cell>
        </row>
        <row r="164">
          <cell r="C164">
            <v>42282</v>
          </cell>
          <cell r="D164">
            <v>0.19514235248080278</v>
          </cell>
          <cell r="E164">
            <v>325003.43408738601</v>
          </cell>
        </row>
        <row r="165">
          <cell r="C165">
            <v>42283</v>
          </cell>
          <cell r="D165">
            <v>0.1979047072311152</v>
          </cell>
          <cell r="E165">
            <v>329589.89322293876</v>
          </cell>
        </row>
        <row r="166">
          <cell r="C166">
            <v>42284</v>
          </cell>
          <cell r="D166">
            <v>0.20069397852953272</v>
          </cell>
          <cell r="E166">
            <v>334221.04308763845</v>
          </cell>
        </row>
        <row r="167">
          <cell r="C167">
            <v>42285</v>
          </cell>
          <cell r="D167">
            <v>0.2035102046408416</v>
          </cell>
          <cell r="E167">
            <v>338896.94721419353</v>
          </cell>
        </row>
        <row r="168">
          <cell r="C168">
            <v>42286</v>
          </cell>
          <cell r="D168">
            <v>0.20635341942370972</v>
          </cell>
          <cell r="E168">
            <v>343617.66181963991</v>
          </cell>
        </row>
        <row r="169">
          <cell r="C169">
            <v>42287</v>
          </cell>
          <cell r="D169">
            <v>0.20922365226057837</v>
          </cell>
          <cell r="E169">
            <v>348383.23568893771</v>
          </cell>
        </row>
        <row r="170">
          <cell r="C170">
            <v>42288</v>
          </cell>
          <cell r="D170">
            <v>0.21212092798794135</v>
          </cell>
          <cell r="E170">
            <v>353193.71005921048</v>
          </cell>
        </row>
        <row r="171">
          <cell r="C171">
            <v>42289</v>
          </cell>
          <cell r="D171">
            <v>0.21504526682704161</v>
          </cell>
          <cell r="E171">
            <v>358049.11850467761</v>
          </cell>
        </row>
        <row r="172">
          <cell r="C172">
            <v>42290</v>
          </cell>
          <cell r="D172">
            <v>0.21799668431501659</v>
          </cell>
          <cell r="E172">
            <v>362949.48682233191</v>
          </cell>
        </row>
        <row r="173">
          <cell r="C173">
            <v>42291</v>
          </cell>
          <cell r="D173">
            <v>0.22097519123652437</v>
          </cell>
          <cell r="E173">
            <v>367894.83291841584</v>
          </cell>
        </row>
        <row r="174">
          <cell r="C174">
            <v>42292</v>
          </cell>
          <cell r="D174">
            <v>0.22398079355588185</v>
          </cell>
          <cell r="E174">
            <v>372885.16669574712</v>
          </cell>
        </row>
        <row r="175">
          <cell r="C175">
            <v>42293</v>
          </cell>
          <cell r="D175">
            <v>0.22701349234974694</v>
          </cell>
          <cell r="E175">
            <v>377920.48994194821</v>
          </cell>
        </row>
        <row r="176">
          <cell r="C176">
            <v>42294</v>
          </cell>
          <cell r="D176">
            <v>0.23007328374037703</v>
          </cell>
          <cell r="E176">
            <v>383000.79621863255</v>
          </cell>
        </row>
        <row r="177">
          <cell r="C177">
            <v>42295</v>
          </cell>
          <cell r="D177">
            <v>0.23316015882949581</v>
          </cell>
          <cell r="E177">
            <v>388126.07075160037</v>
          </cell>
        </row>
        <row r="178">
          <cell r="C178">
            <v>42296</v>
          </cell>
          <cell r="D178">
            <v>0.23627410363280138</v>
          </cell>
          <cell r="E178">
            <v>393296.29032209999</v>
          </cell>
        </row>
        <row r="179">
          <cell r="C179">
            <v>42297</v>
          </cell>
          <cell r="D179">
            <v>0.23941509901514765</v>
          </cell>
          <cell r="E179">
            <v>398511.42315920629</v>
          </cell>
        </row>
        <row r="180">
          <cell r="C180">
            <v>42298</v>
          </cell>
          <cell r="D180">
            <v>0.2425831206264325</v>
          </cell>
          <cell r="E180">
            <v>403771.42883337347</v>
          </cell>
        </row>
        <row r="181">
          <cell r="C181">
            <v>42299</v>
          </cell>
          <cell r="D181">
            <v>0.24577813883822522</v>
          </cell>
          <cell r="E181">
            <v>409076.25815121422</v>
          </cell>
        </row>
        <row r="182">
          <cell r="C182">
            <v>42300</v>
          </cell>
          <cell r="D182">
            <v>0.24900011868116656</v>
          </cell>
          <cell r="E182">
            <v>414425.85305156279</v>
          </cell>
        </row>
        <row r="183">
          <cell r="C183">
            <v>42301</v>
          </cell>
          <cell r="D183">
            <v>0.25224901978317399</v>
          </cell>
          <cell r="E183">
            <v>419820.14650287421</v>
          </cell>
        </row>
        <row r="184">
          <cell r="C184">
            <v>42302</v>
          </cell>
          <cell r="D184">
            <v>0.25552479630848657</v>
          </cell>
          <cell r="E184">
            <v>425259.06240201782</v>
          </cell>
        </row>
        <row r="185">
          <cell r="C185">
            <v>42303</v>
          </cell>
          <cell r="D185">
            <v>0.25882739689758189</v>
          </cell>
          <cell r="E185">
            <v>430742.5154745187</v>
          </cell>
        </row>
        <row r="186">
          <cell r="C186">
            <v>42304</v>
          </cell>
          <cell r="D186">
            <v>0.26215676460799775</v>
          </cell>
          <cell r="E186">
            <v>436270.41117630142</v>
          </cell>
        </row>
        <row r="187">
          <cell r="C187">
            <v>42305</v>
          </cell>
          <cell r="D187">
            <v>0.26551283685609489</v>
          </cell>
          <cell r="E187">
            <v>441842.64559699601</v>
          </cell>
        </row>
        <row r="188">
          <cell r="C188">
            <v>42306</v>
          </cell>
          <cell r="D188">
            <v>0.26889554535979027</v>
          </cell>
          <cell r="E188">
            <v>447459.10536485561</v>
          </cell>
        </row>
        <row r="189">
          <cell r="C189">
            <v>42307</v>
          </cell>
          <cell r="D189">
            <v>0.27230481608229823</v>
          </cell>
          <cell r="E189">
            <v>453119.66755334736</v>
          </cell>
        </row>
        <row r="190">
          <cell r="C190">
            <v>42308</v>
          </cell>
          <cell r="D190">
            <v>0.27574056917690987</v>
          </cell>
          <cell r="E190">
            <v>458824.19958946726</v>
          </cell>
        </row>
        <row r="191">
          <cell r="C191">
            <v>42309</v>
          </cell>
          <cell r="D191">
            <v>0.27920271893284676</v>
          </cell>
          <cell r="E191">
            <v>464572.55916383851</v>
          </cell>
        </row>
        <row r="192">
          <cell r="C192">
            <v>42310</v>
          </cell>
          <cell r="D192">
            <v>0.28269117372222041</v>
          </cell>
          <cell r="E192">
            <v>470364.59414264635</v>
          </cell>
        </row>
        <row r="193">
          <cell r="C193">
            <v>42311</v>
          </cell>
          <cell r="D193">
            <v>0.28620583594813209</v>
          </cell>
          <cell r="E193">
            <v>476200.14248146542</v>
          </cell>
        </row>
        <row r="194">
          <cell r="C194">
            <v>42312</v>
          </cell>
          <cell r="D194">
            <v>0.28974660199394608</v>
          </cell>
          <cell r="E194">
            <v>482079.03214103641</v>
          </cell>
        </row>
        <row r="195">
          <cell r="C195">
            <v>42313</v>
          </cell>
          <cell r="D195">
            <v>0.29331336217376891</v>
          </cell>
          <cell r="E195">
            <v>488001.08100504417</v>
          </cell>
        </row>
        <row r="196">
          <cell r="C196">
            <v>42314</v>
          </cell>
          <cell r="D196">
            <v>0.29690600068416922</v>
          </cell>
          <cell r="E196">
            <v>493966.09679995629</v>
          </cell>
        </row>
        <row r="197">
          <cell r="C197">
            <v>42315</v>
          </cell>
          <cell r="D197">
            <v>0.30052439555716981</v>
          </cell>
          <cell r="E197">
            <v>499973.87701697357</v>
          </cell>
        </row>
        <row r="198">
          <cell r="C198">
            <v>42316</v>
          </cell>
          <cell r="D198">
            <v>0.30416841861454536</v>
          </cell>
          <cell r="E198">
            <v>506024.20883614867</v>
          </cell>
        </row>
        <row r="199">
          <cell r="C199">
            <v>42317</v>
          </cell>
          <cell r="D199">
            <v>0.307837935423459</v>
          </cell>
          <cell r="E199">
            <v>512116.86905272759</v>
          </cell>
        </row>
        <row r="200">
          <cell r="C200">
            <v>42318</v>
          </cell>
          <cell r="D200">
            <v>0.3115328052534691</v>
          </cell>
          <cell r="E200">
            <v>518251.62400576589</v>
          </cell>
        </row>
        <row r="201">
          <cell r="C201">
            <v>42319</v>
          </cell>
          <cell r="D201">
            <v>0.31525288103494015</v>
          </cell>
          <cell r="E201">
            <v>524428.22950907669</v>
          </cell>
        </row>
        <row r="202">
          <cell r="C202">
            <v>42320</v>
          </cell>
          <cell r="D202">
            <v>0.31899800931888905</v>
          </cell>
          <cell r="E202">
            <v>530646.43078456155</v>
          </cell>
        </row>
        <row r="203">
          <cell r="C203">
            <v>42321</v>
          </cell>
          <cell r="D203">
            <v>0.32276803023829848</v>
          </cell>
          <cell r="E203">
            <v>536905.96239797748</v>
          </cell>
        </row>
        <row r="204">
          <cell r="C204">
            <v>42322</v>
          </cell>
          <cell r="D204">
            <v>0.32656277747092965</v>
          </cell>
          <cell r="E204">
            <v>543206.54819719319</v>
          </cell>
        </row>
        <row r="205">
          <cell r="C205">
            <v>42323</v>
          </cell>
          <cell r="D205">
            <v>0.33038207820366572</v>
          </cell>
          <cell r="E205">
            <v>549547.90125298721</v>
          </cell>
        </row>
        <row r="206">
          <cell r="C206">
            <v>42324</v>
          </cell>
          <cell r="D206">
            <v>0.33422575309841729</v>
          </cell>
          <cell r="E206">
            <v>555929.72380243859</v>
          </cell>
        </row>
        <row r="207">
          <cell r="C207">
            <v>42325</v>
          </cell>
          <cell r="D207">
            <v>0.33809361625961987</v>
          </cell>
          <cell r="E207">
            <v>562351.70719496231</v>
          </cell>
        </row>
        <row r="208">
          <cell r="C208">
            <v>42326</v>
          </cell>
          <cell r="D208">
            <v>0.34198547520335482</v>
          </cell>
          <cell r="E208">
            <v>568813.53184103896</v>
          </cell>
        </row>
        <row r="209">
          <cell r="C209">
            <v>42327</v>
          </cell>
          <cell r="D209">
            <v>0.3459011308281239</v>
          </cell>
          <cell r="E209">
            <v>575314.86716369051</v>
          </cell>
        </row>
        <row r="210">
          <cell r="C210">
            <v>42328</v>
          </cell>
          <cell r="D210">
            <v>0.34984037738730661</v>
          </cell>
          <cell r="E210">
            <v>581855.37155275024</v>
          </cell>
        </row>
        <row r="211">
          <cell r="C211">
            <v>42329</v>
          </cell>
          <cell r="D211">
            <v>0.35380300246333007</v>
          </cell>
          <cell r="E211">
            <v>588434.69232197537</v>
          </cell>
        </row>
        <row r="212">
          <cell r="C212">
            <v>42330</v>
          </cell>
          <cell r="D212">
            <v>0.35778878694358146</v>
          </cell>
          <cell r="E212">
            <v>595052.46566905384</v>
          </cell>
        </row>
        <row r="213">
          <cell r="C213">
            <v>42331</v>
          </cell>
          <cell r="D213">
            <v>0.36179750499809021</v>
          </cell>
          <cell r="E213">
            <v>601708.31663854909</v>
          </cell>
        </row>
        <row r="214">
          <cell r="C214">
            <v>42332</v>
          </cell>
          <cell r="D214">
            <v>0.36582892405900841</v>
          </cell>
          <cell r="E214">
            <v>608401.85908783029</v>
          </cell>
        </row>
        <row r="215">
          <cell r="C215">
            <v>42333</v>
          </cell>
          <cell r="D215">
            <v>0.36988280480191871</v>
          </cell>
          <cell r="E215">
            <v>615132.69565603696</v>
          </cell>
        </row>
        <row r="216">
          <cell r="C216">
            <v>42334</v>
          </cell>
          <cell r="D216">
            <v>0.37395890112899471</v>
          </cell>
          <cell r="E216">
            <v>621900.41773611959</v>
          </cell>
        </row>
        <row r="217">
          <cell r="C217">
            <v>42335</v>
          </cell>
          <cell r="D217">
            <v>0.3780569601540435</v>
          </cell>
          <cell r="E217">
            <v>628704.60545000515</v>
          </cell>
        </row>
        <row r="218">
          <cell r="C218">
            <v>42336</v>
          </cell>
          <cell r="D218">
            <v>0.38217672218945298</v>
          </cell>
          <cell r="E218">
            <v>635544.82762692508</v>
          </cell>
        </row>
        <row r="219">
          <cell r="C219">
            <v>42337</v>
          </cell>
          <cell r="D219">
            <v>0.38631792073507359</v>
          </cell>
          <cell r="E219">
            <v>642420.64178495505</v>
          </cell>
        </row>
        <row r="220">
          <cell r="C220">
            <v>42338</v>
          </cell>
          <cell r="D220">
            <v>0.39048028246905703</v>
          </cell>
          <cell r="E220">
            <v>649331.59411580407</v>
          </cell>
        </row>
        <row r="221">
          <cell r="C221">
            <v>42339</v>
          </cell>
          <cell r="D221">
            <v>0.39466352724067782</v>
          </cell>
          <cell r="E221">
            <v>656277.21947289596</v>
          </cell>
        </row>
        <row r="222">
          <cell r="C222">
            <v>42340</v>
          </cell>
          <cell r="D222">
            <v>0.3988673680651616</v>
          </cell>
          <cell r="E222">
            <v>663257.04136278271</v>
          </cell>
        </row>
        <row r="223">
          <cell r="C223">
            <v>42341</v>
          </cell>
          <cell r="D223">
            <v>0.40309151112054342</v>
          </cell>
          <cell r="E223">
            <v>670270.57193992753</v>
          </cell>
        </row>
        <row r="224">
          <cell r="C224">
            <v>42342</v>
          </cell>
          <cell r="D224">
            <v>0.40733565574657943</v>
          </cell>
          <cell r="E224">
            <v>677317.31200489867</v>
          </cell>
        </row>
        <row r="225">
          <cell r="C225">
            <v>42343</v>
          </cell>
          <cell r="D225">
            <v>0.41159949444573385</v>
          </cell>
          <cell r="E225">
            <v>684396.75100600754</v>
          </cell>
        </row>
        <row r="226">
          <cell r="C226">
            <v>42344</v>
          </cell>
          <cell r="D226">
            <v>0.41588271288626283</v>
          </cell>
          <cell r="E226">
            <v>691508.36704442918</v>
          </cell>
        </row>
        <row r="227">
          <cell r="C227">
            <v>42345</v>
          </cell>
          <cell r="D227">
            <v>0.42018498990741604</v>
          </cell>
          <cell r="E227">
            <v>698651.62688283878</v>
          </cell>
        </row>
        <row r="228">
          <cell r="C228">
            <v>42346</v>
          </cell>
          <cell r="D228">
            <v>0.42450599752677759</v>
          </cell>
          <cell r="E228">
            <v>705825.98595760006</v>
          </cell>
        </row>
        <row r="229">
          <cell r="C229">
            <v>42347</v>
          </cell>
          <cell r="D229">
            <v>0.42884540094976287</v>
          </cell>
          <cell r="E229">
            <v>713030.88839453307</v>
          </cell>
        </row>
        <row r="230">
          <cell r="C230">
            <v>42348</v>
          </cell>
          <cell r="D230">
            <v>0.43320285858129376</v>
          </cell>
          <cell r="E230">
            <v>720265.76702829963</v>
          </cell>
        </row>
        <row r="231">
          <cell r="C231">
            <v>42349</v>
          </cell>
          <cell r="D231">
            <v>0.43757802203966739</v>
          </cell>
          <cell r="E231">
            <v>727530.0434254295</v>
          </cell>
        </row>
        <row r="232">
          <cell r="C232">
            <v>42350</v>
          </cell>
          <cell r="D232">
            <v>0.44197053617263782</v>
          </cell>
          <cell r="E232">
            <v>734823.12791102217</v>
          </cell>
        </row>
        <row r="233">
          <cell r="C233">
            <v>42351</v>
          </cell>
          <cell r="D233">
            <v>0.44638003907572554</v>
          </cell>
          <cell r="E233">
            <v>742144.41959914647</v>
          </cell>
        </row>
        <row r="234">
          <cell r="C234">
            <v>42352</v>
          </cell>
          <cell r="D234">
            <v>0.45080616211277225</v>
          </cell>
          <cell r="E234">
            <v>749493.30642696877</v>
          </cell>
        </row>
        <row r="235">
          <cell r="C235">
            <v>42353</v>
          </cell>
          <cell r="D235">
            <v>0.45524852993875464</v>
          </cell>
          <cell r="E235">
            <v>756869.16519263166</v>
          </cell>
        </row>
        <row r="236">
          <cell r="C236">
            <v>42354</v>
          </cell>
          <cell r="D236">
            <v>0.4597067605248718</v>
          </cell>
          <cell r="E236">
            <v>764271.36159690772</v>
          </cell>
        </row>
        <row r="237">
          <cell r="C237">
            <v>42355</v>
          </cell>
          <cell r="D237">
            <v>0.46418046518592004</v>
          </cell>
          <cell r="E237">
            <v>771699.25028865121</v>
          </cell>
        </row>
        <row r="238">
          <cell r="C238">
            <v>42356</v>
          </cell>
          <cell r="D238">
            <v>0.46866924860996689</v>
          </cell>
          <cell r="E238">
            <v>779152.17491406691</v>
          </cell>
        </row>
        <row r="239">
          <cell r="C239">
            <v>42357</v>
          </cell>
          <cell r="D239">
            <v>0.47317270889033641</v>
          </cell>
          <cell r="E239">
            <v>786629.46816981677</v>
          </cell>
        </row>
        <row r="240">
          <cell r="C240">
            <v>42358</v>
          </cell>
          <cell r="D240">
            <v>0.47769043755991664</v>
          </cell>
          <cell r="E240">
            <v>794130.45185998222</v>
          </cell>
        </row>
        <row r="241">
          <cell r="C241">
            <v>42359</v>
          </cell>
          <cell r="D241">
            <v>0.48222201962779848</v>
          </cell>
          <cell r="E241">
            <v>801654.43695689749</v>
          </cell>
        </row>
        <row r="242">
          <cell r="C242">
            <v>42360</v>
          </cell>
          <cell r="D242">
            <v>0.48676703361825624</v>
          </cell>
          <cell r="E242">
            <v>809200.72366587003</v>
          </cell>
        </row>
        <row r="243">
          <cell r="C243">
            <v>42361</v>
          </cell>
          <cell r="D243">
            <v>0.49132505161207596</v>
          </cell>
          <cell r="E243">
            <v>816768.60149380064</v>
          </cell>
        </row>
        <row r="244">
          <cell r="C244">
            <v>42362</v>
          </cell>
          <cell r="D244">
            <v>0.49589563929024127</v>
          </cell>
          <cell r="E244">
            <v>824357.34932171635</v>
          </cell>
        </row>
        <row r="245">
          <cell r="C245">
            <v>42363</v>
          </cell>
          <cell r="D245">
            <v>0.50047835597998014</v>
          </cell>
          <cell r="E245">
            <v>831966.23548122414</v>
          </cell>
        </row>
        <row r="246">
          <cell r="C246">
            <v>42364</v>
          </cell>
          <cell r="D246">
            <v>0.50507275470318036</v>
          </cell>
          <cell r="E246">
            <v>839594.51783489727</v>
          </cell>
        </row>
        <row r="247">
          <cell r="C247">
            <v>42365</v>
          </cell>
          <cell r="D247">
            <v>0.50967838222717676</v>
          </cell>
          <cell r="E247">
            <v>847241.44386059954</v>
          </cell>
        </row>
        <row r="248">
          <cell r="C248">
            <v>42366</v>
          </cell>
          <cell r="D248">
            <v>0.51429477911791188</v>
          </cell>
          <cell r="E248">
            <v>854906.25073975034</v>
          </cell>
        </row>
        <row r="249">
          <cell r="C249">
            <v>42367</v>
          </cell>
          <cell r="D249">
            <v>0.51892147979547787</v>
          </cell>
          <cell r="E249">
            <v>862588.16544954292</v>
          </cell>
        </row>
        <row r="250">
          <cell r="C250">
            <v>42368</v>
          </cell>
          <cell r="D250">
            <v>0.52355801259203316</v>
          </cell>
          <cell r="E250">
            <v>870286.40485910675</v>
          </cell>
        </row>
        <row r="251">
          <cell r="C251">
            <v>42369</v>
          </cell>
          <cell r="D251">
            <v>0.52820389981210214</v>
          </cell>
          <cell r="E251">
            <v>878000.17582962487</v>
          </cell>
        </row>
        <row r="252">
          <cell r="C252">
            <v>42370</v>
          </cell>
          <cell r="D252">
            <v>0.5328586577952501</v>
          </cell>
          <cell r="E252">
            <v>885728.67531839677</v>
          </cell>
        </row>
        <row r="253">
          <cell r="C253">
            <v>42371</v>
          </cell>
          <cell r="D253">
            <v>0.53752179698113822</v>
          </cell>
          <cell r="E253">
            <v>893471.09048685094</v>
          </cell>
        </row>
        <row r="254">
          <cell r="C254">
            <v>42372</v>
          </cell>
          <cell r="D254">
            <v>0.54219282197695007</v>
          </cell>
          <cell r="E254">
            <v>901226.59881249722</v>
          </cell>
        </row>
        <row r="255">
          <cell r="C255">
            <v>42373</v>
          </cell>
          <cell r="D255">
            <v>0.54687123162719076</v>
          </cell>
          <cell r="E255">
            <v>908994.36820481636</v>
          </cell>
        </row>
        <row r="256">
          <cell r="C256">
            <v>42374</v>
          </cell>
          <cell r="D256">
            <v>0.55155651908585057</v>
          </cell>
          <cell r="E256">
            <v>916773.55712507747</v>
          </cell>
        </row>
        <row r="257">
          <cell r="C257">
            <v>42375</v>
          </cell>
          <cell r="D257">
            <v>0.55624817189092846</v>
          </cell>
          <cell r="E257">
            <v>924563.31471007166</v>
          </cell>
        </row>
        <row r="258">
          <cell r="C258">
            <v>42376</v>
          </cell>
          <cell r="D258">
            <v>0.56094567204130918</v>
          </cell>
          <cell r="E258">
            <v>932362.78089975542</v>
          </cell>
        </row>
        <row r="259">
          <cell r="C259">
            <v>42377</v>
          </cell>
          <cell r="D259">
            <v>0.56564849607598444</v>
          </cell>
          <cell r="E259">
            <v>940171.08656878432</v>
          </cell>
        </row>
        <row r="260">
          <cell r="C260">
            <v>42378</v>
          </cell>
          <cell r="D260">
            <v>0.57035611515561147</v>
          </cell>
          <cell r="E260">
            <v>947987.35366192856</v>
          </cell>
        </row>
        <row r="261">
          <cell r="C261">
            <v>42379</v>
          </cell>
          <cell r="D261">
            <v>0.57506799514639528</v>
          </cell>
          <cell r="E261">
            <v>955810.69533334649</v>
          </cell>
        </row>
        <row r="262">
          <cell r="C262">
            <v>42380</v>
          </cell>
          <cell r="D262">
            <v>0.57978359670628743</v>
          </cell>
          <cell r="E262">
            <v>963640.21608970407</v>
          </cell>
        </row>
        <row r="263">
          <cell r="C263">
            <v>42381</v>
          </cell>
          <cell r="D263">
            <v>0.58450237537348659</v>
          </cell>
          <cell r="E263">
            <v>971475.01193711627</v>
          </cell>
        </row>
        <row r="264">
          <cell r="C264">
            <v>42382</v>
          </cell>
          <cell r="D264">
            <v>0.58922378165722789</v>
          </cell>
          <cell r="E264">
            <v>979314.17053188838</v>
          </cell>
        </row>
        <row r="265">
          <cell r="C265">
            <v>42383</v>
          </cell>
          <cell r="D265">
            <v>0.5939472611308465</v>
          </cell>
          <cell r="E265">
            <v>987156.77133503417</v>
          </cell>
        </row>
        <row r="266">
          <cell r="C266">
            <v>42384</v>
          </cell>
          <cell r="D266">
            <v>0.5986722545271016</v>
          </cell>
          <cell r="E266">
            <v>995001.88577054592</v>
          </cell>
        </row>
        <row r="267">
          <cell r="C267">
            <v>42385</v>
          </cell>
          <cell r="D267">
            <v>0.603398197835741</v>
          </cell>
          <cell r="E267">
            <v>1002848.5773873855</v>
          </cell>
        </row>
        <row r="268">
          <cell r="C268">
            <v>42386</v>
          </cell>
          <cell r="D268">
            <v>0.60812452240329229</v>
          </cell>
          <cell r="E268">
            <v>1010695.9020251719</v>
          </cell>
        </row>
        <row r="269">
          <cell r="C269">
            <v>42387</v>
          </cell>
          <cell r="D269">
            <v>0.61285065503505898</v>
          </cell>
          <cell r="E269">
            <v>1018542.90798353</v>
          </cell>
        </row>
        <row r="270">
          <cell r="C270">
            <v>42388</v>
          </cell>
          <cell r="D270">
            <v>0.61757601809930152</v>
          </cell>
          <cell r="E270">
            <v>1026388.6361950666</v>
          </cell>
        </row>
        <row r="271">
          <cell r="C271">
            <v>42389</v>
          </cell>
          <cell r="D271">
            <v>0.62230002963358622</v>
          </cell>
          <cell r="E271">
            <v>1034232.1204019471</v>
          </cell>
        </row>
        <row r="272">
          <cell r="C272">
            <v>42390</v>
          </cell>
          <cell r="D272">
            <v>0.62702210345327458</v>
          </cell>
          <cell r="E272">
            <v>1042072.3873360237</v>
          </cell>
        </row>
        <row r="273">
          <cell r="C273">
            <v>42391</v>
          </cell>
          <cell r="D273">
            <v>0.63174164926213405</v>
          </cell>
          <cell r="E273">
            <v>1049908.4569024886</v>
          </cell>
        </row>
        <row r="274">
          <cell r="C274">
            <v>42392</v>
          </cell>
          <cell r="D274">
            <v>0.63645807276504285</v>
          </cell>
          <cell r="E274">
            <v>1057739.3423670023</v>
          </cell>
        </row>
        <row r="275">
          <cell r="C275">
            <v>42393</v>
          </cell>
          <cell r="D275">
            <v>0.64117077578276738</v>
          </cell>
          <cell r="E275">
            <v>1065564.0505462631</v>
          </cell>
        </row>
        <row r="276">
          <cell r="C276">
            <v>42394</v>
          </cell>
          <cell r="D276">
            <v>0.64587915636878057</v>
          </cell>
          <cell r="E276">
            <v>1073381.5820019667</v>
          </cell>
        </row>
        <row r="277">
          <cell r="C277">
            <v>42395</v>
          </cell>
          <cell r="D277">
            <v>0.65058260892809994</v>
          </cell>
          <cell r="E277">
            <v>1081190.9312381172</v>
          </cell>
        </row>
        <row r="278">
          <cell r="C278">
            <v>42396</v>
          </cell>
          <cell r="D278">
            <v>0.6552805243381109</v>
          </cell>
          <cell r="E278">
            <v>1088991.0869016363</v>
          </cell>
        </row>
        <row r="279">
          <cell r="C279">
            <v>42397</v>
          </cell>
          <cell r="D279">
            <v>0.65997229007134983</v>
          </cell>
          <cell r="E279">
            <v>1096781.0319862252</v>
          </cell>
        </row>
        <row r="280">
          <cell r="C280">
            <v>42398</v>
          </cell>
          <cell r="D280">
            <v>0.66465729032021448</v>
          </cell>
          <cell r="E280">
            <v>1104559.7440394261</v>
          </cell>
        </row>
        <row r="281">
          <cell r="C281">
            <v>42399</v>
          </cell>
          <cell r="D281">
            <v>0.66933490612357027</v>
          </cell>
          <cell r="E281">
            <v>1112326.1953728332</v>
          </cell>
        </row>
        <row r="282">
          <cell r="C282">
            <v>42400</v>
          </cell>
          <cell r="D282">
            <v>0.67400451549522056</v>
          </cell>
          <cell r="E282">
            <v>1120079.3532753964</v>
          </cell>
        </row>
        <row r="283">
          <cell r="C283">
            <v>42401</v>
          </cell>
          <cell r="D283">
            <v>0.67866549355420602</v>
          </cell>
          <cell r="E283">
            <v>1127818.1802297647</v>
          </cell>
        </row>
        <row r="284">
          <cell r="C284">
            <v>42402</v>
          </cell>
          <cell r="D284">
            <v>0.68331721265689871</v>
          </cell>
          <cell r="E284">
            <v>1135541.6341316057</v>
          </cell>
        </row>
        <row r="285">
          <cell r="C285">
            <v>42403</v>
          </cell>
          <cell r="D285">
            <v>0.6879590425308556</v>
          </cell>
          <cell r="E285">
            <v>1143248.668511851</v>
          </cell>
        </row>
        <row r="286">
          <cell r="C286">
            <v>42404</v>
          </cell>
          <cell r="D286">
            <v>0.69259035041039418</v>
          </cell>
          <cell r="E286">
            <v>1150938.2327617956</v>
          </cell>
        </row>
        <row r="287">
          <cell r="C287">
            <v>42405</v>
          </cell>
          <cell r="D287">
            <v>0.69721050117385297</v>
          </cell>
          <cell r="E287">
            <v>1158609.2723609998</v>
          </cell>
        </row>
        <row r="288">
          <cell r="C288">
            <v>42406</v>
          </cell>
          <cell r="D288">
            <v>0.70181885748249728</v>
          </cell>
          <cell r="E288">
            <v>1166260.7291079194</v>
          </cell>
        </row>
        <row r="289">
          <cell r="C289">
            <v>42407</v>
          </cell>
          <cell r="D289">
            <v>0.70641477992103174</v>
          </cell>
          <cell r="E289">
            <v>1173891.5413532055</v>
          </cell>
        </row>
        <row r="290">
          <cell r="C290">
            <v>42408</v>
          </cell>
          <cell r="D290">
            <v>0.71099762713967818</v>
          </cell>
          <cell r="E290">
            <v>1181500.6442356019</v>
          </cell>
        </row>
        <row r="291">
          <cell r="C291">
            <v>42409</v>
          </cell>
          <cell r="D291">
            <v>0.71556675599777675</v>
          </cell>
          <cell r="E291">
            <v>1189086.9699203726</v>
          </cell>
        </row>
        <row r="292">
          <cell r="C292">
            <v>42410</v>
          </cell>
          <cell r="D292">
            <v>0.72012152170886934</v>
          </cell>
          <cell r="E292">
            <v>1196649.447840191</v>
          </cell>
        </row>
        <row r="293">
          <cell r="C293">
            <v>42411</v>
          </cell>
          <cell r="D293">
            <v>0.72466127798722069</v>
          </cell>
          <cell r="E293">
            <v>1204187.0049384139</v>
          </cell>
        </row>
        <row r="294">
          <cell r="C294">
            <v>42412</v>
          </cell>
          <cell r="D294">
            <v>0.72918537719573306</v>
          </cell>
          <cell r="E294">
            <v>1211698.5659146723</v>
          </cell>
        </row>
        <row r="295">
          <cell r="C295">
            <v>42413</v>
          </cell>
          <cell r="D295">
            <v>0.73369317049520988</v>
          </cell>
          <cell r="E295">
            <v>1219183.0534726987</v>
          </cell>
        </row>
        <row r="296">
          <cell r="C296">
            <v>42414</v>
          </cell>
          <cell r="D296">
            <v>0.73818400799492057</v>
          </cell>
          <cell r="E296">
            <v>1226639.3885703185</v>
          </cell>
        </row>
        <row r="297">
          <cell r="C297">
            <v>42415</v>
          </cell>
          <cell r="D297">
            <v>0.74265723890442292</v>
          </cell>
          <cell r="E297">
            <v>1234066.4906715252</v>
          </cell>
        </row>
        <row r="298">
          <cell r="C298">
            <v>42416</v>
          </cell>
          <cell r="D298">
            <v>0.7471122116865917</v>
          </cell>
          <cell r="E298">
            <v>1241463.2780005625</v>
          </cell>
        </row>
        <row r="299">
          <cell r="C299">
            <v>42417</v>
          </cell>
          <cell r="D299">
            <v>0.75154827421180725</v>
          </cell>
          <cell r="E299">
            <v>1248828.6677979289</v>
          </cell>
        </row>
        <row r="300">
          <cell r="C300">
            <v>42418</v>
          </cell>
          <cell r="D300">
            <v>0.75596477391325445</v>
          </cell>
          <cell r="E300">
            <v>1256161.5765782285</v>
          </cell>
        </row>
        <row r="301">
          <cell r="C301">
            <v>42419</v>
          </cell>
          <cell r="D301">
            <v>0.76036105794328046</v>
          </cell>
          <cell r="E301">
            <v>1263460.920389778</v>
          </cell>
        </row>
        <row r="302">
          <cell r="C302">
            <v>42420</v>
          </cell>
          <cell r="D302">
            <v>0.76473647333076278</v>
          </cell>
          <cell r="E302">
            <v>1270725.6150758921</v>
          </cell>
        </row>
        <row r="303">
          <cell r="C303">
            <v>42421</v>
          </cell>
          <cell r="D303">
            <v>0.76909036713943435</v>
          </cell>
          <cell r="E303">
            <v>1277954.5765377569</v>
          </cell>
        </row>
        <row r="304">
          <cell r="C304">
            <v>42422</v>
          </cell>
          <cell r="D304">
            <v>0.77342208662711409</v>
          </cell>
          <cell r="E304">
            <v>1285146.7209988092</v>
          </cell>
        </row>
        <row r="305">
          <cell r="C305">
            <v>42423</v>
          </cell>
          <cell r="D305">
            <v>0.77773097940578928</v>
          </cell>
          <cell r="E305">
            <v>1292300.9652705258</v>
          </cell>
        </row>
        <row r="306">
          <cell r="C306">
            <v>42424</v>
          </cell>
          <cell r="D306">
            <v>0.7820163936024972</v>
          </cell>
          <cell r="E306">
            <v>1299416.2270195447</v>
          </cell>
        </row>
        <row r="307">
          <cell r="C307">
            <v>42425</v>
          </cell>
          <cell r="D307">
            <v>0.78627767802095039</v>
          </cell>
          <cell r="E307">
            <v>1306491.4250360169</v>
          </cell>
        </row>
        <row r="308">
          <cell r="C308">
            <v>42426</v>
          </cell>
          <cell r="D308">
            <v>0.79051418230385284</v>
          </cell>
          <cell r="E308">
            <v>1313525.4795031082</v>
          </cell>
        </row>
        <row r="309">
          <cell r="C309">
            <v>42427</v>
          </cell>
          <cell r="D309">
            <v>0.7947252570958484</v>
          </cell>
          <cell r="E309">
            <v>1320517.3122675493</v>
          </cell>
        </row>
        <row r="310">
          <cell r="C310">
            <v>42428</v>
          </cell>
          <cell r="D310">
            <v>0.79891025420704842</v>
          </cell>
          <cell r="E310">
            <v>1327465.8471111476</v>
          </cell>
        </row>
        <row r="311">
          <cell r="C311">
            <v>42429</v>
          </cell>
          <cell r="D311">
            <v>0.80306852677708018</v>
          </cell>
          <cell r="E311">
            <v>1334370.0100231643</v>
          </cell>
        </row>
        <row r="312">
          <cell r="C312">
            <v>42430</v>
          </cell>
          <cell r="D312">
            <v>0.80719942943959988</v>
          </cell>
          <cell r="E312">
            <v>1341228.729473463</v>
          </cell>
        </row>
        <row r="313">
          <cell r="C313">
            <v>42431</v>
          </cell>
          <cell r="D313">
            <v>0.81130231848721135</v>
          </cell>
          <cell r="E313">
            <v>1348040.9366863305</v>
          </cell>
        </row>
        <row r="314">
          <cell r="C314">
            <v>42432</v>
          </cell>
          <cell r="D314">
            <v>0.81537655203673431</v>
          </cell>
          <cell r="E314">
            <v>1354805.5659148796</v>
          </cell>
        </row>
        <row r="315">
          <cell r="C315">
            <v>42433</v>
          </cell>
          <cell r="D315">
            <v>0.81942149019476163</v>
          </cell>
          <cell r="E315">
            <v>1361521.5547159312</v>
          </cell>
        </row>
        <row r="316">
          <cell r="C316">
            <v>42434</v>
          </cell>
          <cell r="D316">
            <v>0.82343649522344753</v>
          </cell>
          <cell r="E316">
            <v>1368187.8442252798</v>
          </cell>
        </row>
        <row r="317">
          <cell r="C317">
            <v>42435</v>
          </cell>
          <cell r="D317">
            <v>0.82742093170646847</v>
          </cell>
          <cell r="E317">
            <v>1374803.3794332447</v>
          </cell>
        </row>
        <row r="318">
          <cell r="C318">
            <v>42436</v>
          </cell>
          <cell r="D318">
            <v>0.83137416671509301</v>
          </cell>
          <cell r="E318">
            <v>1381367.1094604044</v>
          </cell>
        </row>
        <row r="319">
          <cell r="C319">
            <v>42437</v>
          </cell>
          <cell r="D319">
            <v>0.83529556997430676</v>
          </cell>
          <cell r="E319">
            <v>1387877.9878334203</v>
          </cell>
        </row>
        <row r="320">
          <cell r="C320">
            <v>42438</v>
          </cell>
          <cell r="D320">
            <v>0.83918451402892558</v>
          </cell>
          <cell r="E320">
            <v>1394334.9727608424</v>
          </cell>
        </row>
        <row r="321">
          <cell r="C321">
            <v>42439</v>
          </cell>
          <cell r="D321">
            <v>0.84304037440964186</v>
          </cell>
          <cell r="E321">
            <v>1400737.0274088024</v>
          </cell>
        </row>
        <row r="322">
          <cell r="C322">
            <v>42440</v>
          </cell>
          <cell r="D322">
            <v>0.84686252979893695</v>
          </cell>
          <cell r="E322">
            <v>1407083.1201764862</v>
          </cell>
        </row>
        <row r="323">
          <cell r="C323">
            <v>42441</v>
          </cell>
          <cell r="D323">
            <v>0.85065036219680645</v>
          </cell>
          <cell r="E323">
            <v>1413372.2249712944</v>
          </cell>
        </row>
        <row r="324">
          <cell r="C324">
            <v>42442</v>
          </cell>
          <cell r="D324">
            <v>0.85440325708622811</v>
          </cell>
          <cell r="E324">
            <v>1419603.3214835762</v>
          </cell>
        </row>
        <row r="325">
          <cell r="C325">
            <v>42443</v>
          </cell>
          <cell r="D325">
            <v>0.85812060359831799</v>
          </cell>
          <cell r="E325">
            <v>1425775.3954608457</v>
          </cell>
        </row>
        <row r="326">
          <cell r="C326">
            <v>42444</v>
          </cell>
          <cell r="D326">
            <v>0.86180179467710927</v>
          </cell>
          <cell r="E326">
            <v>1431887.4389813703</v>
          </cell>
        </row>
        <row r="327">
          <cell r="C327">
            <v>42445</v>
          </cell>
          <cell r="D327">
            <v>0.86544622724389297</v>
          </cell>
          <cell r="E327">
            <v>1437938.4507270341</v>
          </cell>
        </row>
        <row r="328">
          <cell r="C328">
            <v>42446</v>
          </cell>
          <cell r="D328">
            <v>0.86905330236105893</v>
          </cell>
          <cell r="E328">
            <v>1443927.43625537</v>
          </cell>
        </row>
        <row r="329">
          <cell r="C329">
            <v>42447</v>
          </cell>
          <cell r="D329">
            <v>0.87262242539537416</v>
          </cell>
          <cell r="E329">
            <v>1449853.4082706571</v>
          </cell>
        </row>
        <row r="330">
          <cell r="C330">
            <v>42448</v>
          </cell>
          <cell r="D330">
            <v>0.87615300618063852</v>
          </cell>
          <cell r="E330">
            <v>1455715.386893986</v>
          </cell>
        </row>
        <row r="331">
          <cell r="C331">
            <v>42449</v>
          </cell>
          <cell r="D331">
            <v>0.87964445917965306</v>
          </cell>
          <cell r="E331">
            <v>1461512.3999321819</v>
          </cell>
        </row>
        <row r="332">
          <cell r="C332">
            <v>42450</v>
          </cell>
          <cell r="D332">
            <v>0.88309620364544117</v>
          </cell>
          <cell r="E332">
            <v>1467243.4831454863</v>
          </cell>
        </row>
        <row r="333">
          <cell r="C333">
            <v>42451</v>
          </cell>
          <cell r="D333">
            <v>0.88650766378166013</v>
          </cell>
          <cell r="E333">
            <v>1472907.6805138967</v>
          </cell>
        </row>
        <row r="334">
          <cell r="C334">
            <v>42452</v>
          </cell>
          <cell r="D334">
            <v>0.88987826890214083</v>
          </cell>
          <cell r="E334">
            <v>1478504.0445020562</v>
          </cell>
        </row>
        <row r="335">
          <cell r="C335">
            <v>42453</v>
          </cell>
          <cell r="D335">
            <v>0.89320745358949372</v>
          </cell>
          <cell r="E335">
            <v>1484031.6363225942</v>
          </cell>
        </row>
        <row r="336">
          <cell r="C336">
            <v>42454</v>
          </cell>
          <cell r="D336">
            <v>0.89649465785272198</v>
          </cell>
          <cell r="E336">
            <v>1489489.5261978197</v>
          </cell>
        </row>
        <row r="337">
          <cell r="C337">
            <v>42455</v>
          </cell>
          <cell r="D337">
            <v>0.89973932728377637</v>
          </cell>
          <cell r="E337">
            <v>1494876.7936196544</v>
          </cell>
        </row>
        <row r="338">
          <cell r="C338">
            <v>42456</v>
          </cell>
          <cell r="D338">
            <v>0.90294091321299486</v>
          </cell>
          <cell r="E338">
            <v>1500192.5276077166</v>
          </cell>
        </row>
        <row r="339">
          <cell r="C339">
            <v>42457</v>
          </cell>
          <cell r="D339">
            <v>0.90609887286336277</v>
          </cell>
          <cell r="E339">
            <v>1505435.8269654473</v>
          </cell>
        </row>
        <row r="340">
          <cell r="C340">
            <v>42458</v>
          </cell>
          <cell r="D340">
            <v>0.90921266950353608</v>
          </cell>
          <cell r="E340">
            <v>1510605.8005341792</v>
          </cell>
        </row>
        <row r="341">
          <cell r="C341">
            <v>42459</v>
          </cell>
          <cell r="D341">
            <v>0.91228177259956444</v>
          </cell>
          <cell r="E341">
            <v>1515701.5674450512</v>
          </cell>
        </row>
        <row r="342">
          <cell r="C342">
            <v>42460</v>
          </cell>
          <cell r="D342">
            <v>0.9153056579652572</v>
          </cell>
          <cell r="E342">
            <v>1520722.2573686671</v>
          </cell>
        </row>
        <row r="343">
          <cell r="C343">
            <v>42461</v>
          </cell>
          <cell r="D343">
            <v>0.9182838079111294</v>
          </cell>
          <cell r="E343">
            <v>1525667.0107623963</v>
          </cell>
        </row>
        <row r="344">
          <cell r="C344">
            <v>42462</v>
          </cell>
          <cell r="D344">
            <v>0.92121571139187208</v>
          </cell>
          <cell r="E344">
            <v>1530534.9791152265</v>
          </cell>
        </row>
        <row r="345">
          <cell r="C345">
            <v>42463</v>
          </cell>
          <cell r="D345">
            <v>0.92410086415228554</v>
          </cell>
          <cell r="E345">
            <v>1535325.3251900624</v>
          </cell>
        </row>
        <row r="346">
          <cell r="C346">
            <v>42464</v>
          </cell>
          <cell r="D346">
            <v>0.92693876887161919</v>
          </cell>
          <cell r="E346">
            <v>1540037.2232633797</v>
          </cell>
        </row>
        <row r="347">
          <cell r="C347">
            <v>42465</v>
          </cell>
          <cell r="D347">
            <v>0.92972893530625811</v>
          </cell>
          <cell r="E347">
            <v>1544669.8593621338</v>
          </cell>
        </row>
        <row r="348">
          <cell r="C348">
            <v>42466</v>
          </cell>
          <cell r="D348">
            <v>0.93247088043070225</v>
          </cell>
          <cell r="E348">
            <v>1549222.4314978339</v>
          </cell>
        </row>
        <row r="349">
          <cell r="C349">
            <v>42467</v>
          </cell>
          <cell r="D349">
            <v>0.93516412857677755</v>
          </cell>
          <cell r="E349">
            <v>1553694.1498976811</v>
          </cell>
        </row>
        <row r="350">
          <cell r="C350">
            <v>42468</v>
          </cell>
          <cell r="D350">
            <v>0.93780821157102656</v>
          </cell>
          <cell r="E350">
            <v>1558084.2372326846</v>
          </cell>
        </row>
        <row r="351">
          <cell r="C351">
            <v>42469</v>
          </cell>
          <cell r="D351">
            <v>0.94040266887022117</v>
          </cell>
          <cell r="E351">
            <v>1562391.9288426584</v>
          </cell>
        </row>
        <row r="352">
          <cell r="C352">
            <v>42470</v>
          </cell>
          <cell r="D352">
            <v>0.94294704769494264</v>
          </cell>
          <cell r="E352">
            <v>1566616.4729580118</v>
          </cell>
        </row>
        <row r="353">
          <cell r="C353">
            <v>42471</v>
          </cell>
          <cell r="D353">
            <v>0.94544090316117468</v>
          </cell>
          <cell r="E353">
            <v>1570757.1309182374</v>
          </cell>
        </row>
        <row r="354">
          <cell r="C354">
            <v>42472</v>
          </cell>
          <cell r="D354">
            <v>0.94788379840985859</v>
          </cell>
          <cell r="E354">
            <v>1574813.1773870182</v>
          </cell>
        </row>
        <row r="355">
          <cell r="C355">
            <v>42473</v>
          </cell>
          <cell r="D355">
            <v>0.95027530473435162</v>
          </cell>
          <cell r="E355">
            <v>1578783.9005638524</v>
          </cell>
        </row>
        <row r="356">
          <cell r="C356">
            <v>42474</v>
          </cell>
          <cell r="D356">
            <v>0.95261500170574476</v>
          </cell>
          <cell r="E356">
            <v>1582668.6023921231</v>
          </cell>
        </row>
        <row r="357">
          <cell r="C357">
            <v>42475</v>
          </cell>
          <cell r="D357">
            <v>0.95490247729598143</v>
          </cell>
          <cell r="E357">
            <v>1586466.598763519</v>
          </cell>
        </row>
        <row r="358">
          <cell r="C358">
            <v>42476</v>
          </cell>
          <cell r="D358">
            <v>0.95713732799873019</v>
          </cell>
          <cell r="E358">
            <v>1590177.2197187238</v>
          </cell>
        </row>
        <row r="359">
          <cell r="C359">
            <v>42477</v>
          </cell>
          <cell r="D359">
            <v>0.95931915894796216</v>
          </cell>
          <cell r="E359">
            <v>1593799.8096442954</v>
          </cell>
        </row>
        <row r="360">
          <cell r="C360">
            <v>42478</v>
          </cell>
          <cell r="D360">
            <v>0.96144758403418307</v>
          </cell>
          <cell r="E360">
            <v>1597333.7274656517</v>
          </cell>
        </row>
        <row r="361">
          <cell r="C361">
            <v>42479</v>
          </cell>
          <cell r="D361">
            <v>0.96352222601827109</v>
          </cell>
          <cell r="E361">
            <v>1600778.3468360803</v>
          </cell>
        </row>
        <row r="362">
          <cell r="C362">
            <v>42480</v>
          </cell>
          <cell r="D362">
            <v>0.96554271664287716</v>
          </cell>
          <cell r="E362">
            <v>1604133.0563217013</v>
          </cell>
        </row>
        <row r="363">
          <cell r="C363">
            <v>42481</v>
          </cell>
          <cell r="D363">
            <v>0.96750869674133777</v>
          </cell>
          <cell r="E363">
            <v>1607397.2595822997</v>
          </cell>
        </row>
        <row r="364">
          <cell r="C364">
            <v>42482</v>
          </cell>
          <cell r="D364">
            <v>0.96941981634405716</v>
          </cell>
          <cell r="E364">
            <v>1610570.3755479571</v>
          </cell>
        </row>
        <row r="365">
          <cell r="C365">
            <v>42483</v>
          </cell>
          <cell r="D365">
            <v>0.97127573478231499</v>
          </cell>
          <cell r="E365">
            <v>1613651.838591408</v>
          </cell>
        </row>
        <row r="366">
          <cell r="C366">
            <v>42484</v>
          </cell>
          <cell r="D366">
            <v>0.97307612078945505</v>
          </cell>
          <cell r="E366">
            <v>1616641.098696047</v>
          </cell>
        </row>
        <row r="367">
          <cell r="C367">
            <v>42485</v>
          </cell>
          <cell r="D367">
            <v>0.97482065259941464</v>
          </cell>
          <cell r="E367">
            <v>1619537.6216195226</v>
          </cell>
        </row>
        <row r="368">
          <cell r="C368">
            <v>42486</v>
          </cell>
          <cell r="D368">
            <v>0.97650901804255164</v>
          </cell>
          <cell r="E368">
            <v>1622340.8890528423</v>
          </cell>
        </row>
        <row r="369">
          <cell r="C369">
            <v>42487</v>
          </cell>
          <cell r="D369">
            <v>0.97814091463873198</v>
          </cell>
          <cell r="E369">
            <v>1625050.3987749307</v>
          </cell>
        </row>
        <row r="370">
          <cell r="C370">
            <v>42488</v>
          </cell>
          <cell r="D370">
            <v>0.97971604968763493</v>
          </cell>
          <cell r="E370">
            <v>1627665.6648025666</v>
          </cell>
        </row>
        <row r="371">
          <cell r="C371">
            <v>42489</v>
          </cell>
          <cell r="D371">
            <v>0.98123414035624279</v>
          </cell>
          <cell r="E371">
            <v>1630186.2175356455</v>
          </cell>
        </row>
        <row r="372">
          <cell r="C372">
            <v>42490</v>
          </cell>
          <cell r="D372">
            <v>0.9826949137634744</v>
          </cell>
          <cell r="E372">
            <v>1632611.6038977022</v>
          </cell>
        </row>
        <row r="373">
          <cell r="C373">
            <v>42491</v>
          </cell>
          <cell r="D373">
            <v>0.98409810706193035</v>
          </cell>
          <cell r="E373">
            <v>1634941.3874716337</v>
          </cell>
        </row>
        <row r="374">
          <cell r="C374">
            <v>42492</v>
          </cell>
          <cell r="D374">
            <v>0.98544346751671252</v>
          </cell>
          <cell r="E374">
            <v>1637175.1486305685</v>
          </cell>
        </row>
        <row r="375">
          <cell r="C375">
            <v>42493</v>
          </cell>
          <cell r="D375">
            <v>0.98673075258128817</v>
          </cell>
          <cell r="E375">
            <v>1639312.4846638264</v>
          </cell>
        </row>
        <row r="376">
          <cell r="C376">
            <v>42494</v>
          </cell>
          <cell r="D376">
            <v>0.98795972997036285</v>
          </cell>
          <cell r="E376">
            <v>1641353.0098979122</v>
          </cell>
        </row>
        <row r="377">
          <cell r="C377">
            <v>42495</v>
          </cell>
          <cell r="D377">
            <v>0.98913017772973588</v>
          </cell>
          <cell r="E377">
            <v>1643296.3558125007</v>
          </cell>
        </row>
        <row r="378">
          <cell r="C378">
            <v>42496</v>
          </cell>
          <cell r="D378">
            <v>0.99024188430310445</v>
          </cell>
          <cell r="E378">
            <v>1645142.1711513537</v>
          </cell>
        </row>
        <row r="379">
          <cell r="C379">
            <v>42497</v>
          </cell>
          <cell r="D379">
            <v>0.99129464859579242</v>
          </cell>
          <cell r="E379">
            <v>1646890.1220281324</v>
          </cell>
        </row>
        <row r="380">
          <cell r="C380">
            <v>42498</v>
          </cell>
          <cell r="D380">
            <v>0.99228828003537362</v>
          </cell>
          <cell r="E380">
            <v>1648539.8920270524</v>
          </cell>
        </row>
        <row r="381">
          <cell r="C381">
            <v>42499</v>
          </cell>
          <cell r="D381">
            <v>0.99322259862916518</v>
          </cell>
          <cell r="E381">
            <v>1650091.1822983427</v>
          </cell>
        </row>
        <row r="382">
          <cell r="C382">
            <v>42500</v>
          </cell>
          <cell r="D382">
            <v>0.99409743501856895</v>
          </cell>
          <cell r="E382">
            <v>1651543.711648471</v>
          </cell>
        </row>
        <row r="383">
          <cell r="C383">
            <v>42501</v>
          </cell>
          <cell r="D383">
            <v>0.99491263053023338</v>
          </cell>
          <cell r="E383">
            <v>1652897.2166250898</v>
          </cell>
        </row>
        <row r="384">
          <cell r="C384">
            <v>42502</v>
          </cell>
          <cell r="D384">
            <v>0.99566803722401742</v>
          </cell>
          <cell r="E384">
            <v>1654151.451596674</v>
          </cell>
        </row>
        <row r="385">
          <cell r="C385">
            <v>42503</v>
          </cell>
          <cell r="D385">
            <v>0.99636351793773714</v>
          </cell>
          <cell r="E385">
            <v>1655306.1888268143</v>
          </cell>
        </row>
        <row r="386">
          <cell r="C386">
            <v>42504</v>
          </cell>
          <cell r="D386">
            <v>0.99699894632867214</v>
          </cell>
          <cell r="E386">
            <v>1656361.2185431328</v>
          </cell>
        </row>
        <row r="387">
          <cell r="C387">
            <v>42505</v>
          </cell>
          <cell r="D387">
            <v>0.99757420691181808</v>
          </cell>
          <cell r="E387">
            <v>1657316.3490007957</v>
          </cell>
        </row>
        <row r="388">
          <cell r="C388">
            <v>42506</v>
          </cell>
          <cell r="D388">
            <v>0.99808919509486682</v>
          </cell>
          <cell r="E388">
            <v>1658171.4065405915</v>
          </cell>
        </row>
        <row r="389">
          <cell r="C389">
            <v>42507</v>
          </cell>
          <cell r="D389">
            <v>0.99854381720989982</v>
          </cell>
          <cell r="E389">
            <v>1658926.235641554</v>
          </cell>
        </row>
        <row r="390">
          <cell r="C390">
            <v>42508</v>
          </cell>
          <cell r="D390">
            <v>0.99893799054178289</v>
          </cell>
          <cell r="E390">
            <v>1659580.6989681059</v>
          </cell>
        </row>
        <row r="391">
          <cell r="C391">
            <v>42509</v>
          </cell>
          <cell r="D391">
            <v>0.99927164335324736</v>
          </cell>
          <cell r="E391">
            <v>1660134.6774117041</v>
          </cell>
        </row>
        <row r="392">
          <cell r="C392">
            <v>42510</v>
          </cell>
          <cell r="D392">
            <v>0.99954471490664909</v>
          </cell>
          <cell r="E392">
            <v>1660588.0701269654</v>
          </cell>
        </row>
        <row r="393">
          <cell r="C393">
            <v>42511</v>
          </cell>
          <cell r="D393">
            <v>0.99975715548239641</v>
          </cell>
          <cell r="E393">
            <v>1660940.7945622639</v>
          </cell>
        </row>
        <row r="394">
          <cell r="C394">
            <v>42512</v>
          </cell>
          <cell r="D394">
            <v>0.99990892639403717</v>
          </cell>
          <cell r="E394">
            <v>1661192.7864847812</v>
          </cell>
        </row>
        <row r="395">
          <cell r="C395">
            <v>42513</v>
          </cell>
          <cell r="D395">
            <v>1</v>
          </cell>
          <cell r="E395">
            <v>1661344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V45"/>
  <sheetViews>
    <sheetView tabSelected="1" zoomScale="75" zoomScaleNormal="75" workbookViewId="0">
      <selection activeCell="F27" sqref="F27"/>
    </sheetView>
  </sheetViews>
  <sheetFormatPr defaultRowHeight="13.5" x14ac:dyDescent="0.25"/>
  <cols>
    <col min="1" max="1" width="1.7109375" style="394" customWidth="1"/>
    <col min="2" max="2" width="3.140625" style="394" customWidth="1"/>
    <col min="3" max="3" width="4.7109375" style="394" customWidth="1"/>
    <col min="4" max="4" width="15.85546875" style="394" customWidth="1"/>
    <col min="5" max="5" width="12.7109375" style="506" customWidth="1"/>
    <col min="6" max="6" width="18.85546875" style="506" customWidth="1"/>
    <col min="7" max="7" width="15.140625" style="506" customWidth="1"/>
    <col min="8" max="8" width="10.7109375" style="506" customWidth="1"/>
    <col min="9" max="9" width="13.140625" style="394" customWidth="1"/>
    <col min="10" max="10" width="13" style="394" customWidth="1"/>
    <col min="11" max="11" width="13.140625" style="445" customWidth="1"/>
    <col min="12" max="12" width="7" style="394" customWidth="1"/>
    <col min="13" max="13" width="13.5703125" style="394" customWidth="1"/>
    <col min="14" max="17" width="9.140625" style="394"/>
    <col min="18" max="30" width="10.7109375" style="394" customWidth="1"/>
    <col min="31" max="249" width="9.140625" style="394"/>
    <col min="250" max="251" width="1.7109375" style="394" customWidth="1"/>
    <col min="252" max="252" width="4.7109375" style="394" customWidth="1"/>
    <col min="253" max="254" width="10.7109375" style="394" customWidth="1"/>
    <col min="255" max="255" width="8.42578125" style="394" customWidth="1"/>
    <col min="256" max="256" width="10.7109375" style="394" customWidth="1"/>
    <col min="257" max="257" width="21.7109375" style="394" customWidth="1"/>
    <col min="258" max="259" width="10.7109375" style="394" customWidth="1"/>
    <col min="260" max="261" width="1.7109375" style="394" customWidth="1"/>
    <col min="262" max="286" width="10.7109375" style="394" customWidth="1"/>
    <col min="287" max="505" width="9.140625" style="394"/>
    <col min="506" max="507" width="1.7109375" style="394" customWidth="1"/>
    <col min="508" max="508" width="4.7109375" style="394" customWidth="1"/>
    <col min="509" max="510" width="10.7109375" style="394" customWidth="1"/>
    <col min="511" max="511" width="8.42578125" style="394" customWidth="1"/>
    <col min="512" max="512" width="10.7109375" style="394" customWidth="1"/>
    <col min="513" max="513" width="21.7109375" style="394" customWidth="1"/>
    <col min="514" max="515" width="10.7109375" style="394" customWidth="1"/>
    <col min="516" max="517" width="1.7109375" style="394" customWidth="1"/>
    <col min="518" max="542" width="10.7109375" style="394" customWidth="1"/>
    <col min="543" max="761" width="9.140625" style="394"/>
    <col min="762" max="763" width="1.7109375" style="394" customWidth="1"/>
    <col min="764" max="764" width="4.7109375" style="394" customWidth="1"/>
    <col min="765" max="766" width="10.7109375" style="394" customWidth="1"/>
    <col min="767" max="767" width="8.42578125" style="394" customWidth="1"/>
    <col min="768" max="768" width="10.7109375" style="394" customWidth="1"/>
    <col min="769" max="769" width="21.7109375" style="394" customWidth="1"/>
    <col min="770" max="771" width="10.7109375" style="394" customWidth="1"/>
    <col min="772" max="773" width="1.7109375" style="394" customWidth="1"/>
    <col min="774" max="798" width="10.7109375" style="394" customWidth="1"/>
    <col min="799" max="1017" width="9.140625" style="394"/>
    <col min="1018" max="1019" width="1.7109375" style="394" customWidth="1"/>
    <col min="1020" max="1020" width="4.7109375" style="394" customWidth="1"/>
    <col min="1021" max="1022" width="10.7109375" style="394" customWidth="1"/>
    <col min="1023" max="1023" width="8.42578125" style="394" customWidth="1"/>
    <col min="1024" max="1024" width="10.7109375" style="394" customWidth="1"/>
    <col min="1025" max="1025" width="21.7109375" style="394" customWidth="1"/>
    <col min="1026" max="1027" width="10.7109375" style="394" customWidth="1"/>
    <col min="1028" max="1029" width="1.7109375" style="394" customWidth="1"/>
    <col min="1030" max="1054" width="10.7109375" style="394" customWidth="1"/>
    <col min="1055" max="1273" width="9.140625" style="394"/>
    <col min="1274" max="1275" width="1.7109375" style="394" customWidth="1"/>
    <col min="1276" max="1276" width="4.7109375" style="394" customWidth="1"/>
    <col min="1277" max="1278" width="10.7109375" style="394" customWidth="1"/>
    <col min="1279" max="1279" width="8.42578125" style="394" customWidth="1"/>
    <col min="1280" max="1280" width="10.7109375" style="394" customWidth="1"/>
    <col min="1281" max="1281" width="21.7109375" style="394" customWidth="1"/>
    <col min="1282" max="1283" width="10.7109375" style="394" customWidth="1"/>
    <col min="1284" max="1285" width="1.7109375" style="394" customWidth="1"/>
    <col min="1286" max="1310" width="10.7109375" style="394" customWidth="1"/>
    <col min="1311" max="1529" width="9.140625" style="394"/>
    <col min="1530" max="1531" width="1.7109375" style="394" customWidth="1"/>
    <col min="1532" max="1532" width="4.7109375" style="394" customWidth="1"/>
    <col min="1533" max="1534" width="10.7109375" style="394" customWidth="1"/>
    <col min="1535" max="1535" width="8.42578125" style="394" customWidth="1"/>
    <col min="1536" max="1536" width="10.7109375" style="394" customWidth="1"/>
    <col min="1537" max="1537" width="21.7109375" style="394" customWidth="1"/>
    <col min="1538" max="1539" width="10.7109375" style="394" customWidth="1"/>
    <col min="1540" max="1541" width="1.7109375" style="394" customWidth="1"/>
    <col min="1542" max="1566" width="10.7109375" style="394" customWidth="1"/>
    <col min="1567" max="1785" width="9.140625" style="394"/>
    <col min="1786" max="1787" width="1.7109375" style="394" customWidth="1"/>
    <col min="1788" max="1788" width="4.7109375" style="394" customWidth="1"/>
    <col min="1789" max="1790" width="10.7109375" style="394" customWidth="1"/>
    <col min="1791" max="1791" width="8.42578125" style="394" customWidth="1"/>
    <col min="1792" max="1792" width="10.7109375" style="394" customWidth="1"/>
    <col min="1793" max="1793" width="21.7109375" style="394" customWidth="1"/>
    <col min="1794" max="1795" width="10.7109375" style="394" customWidth="1"/>
    <col min="1796" max="1797" width="1.7109375" style="394" customWidth="1"/>
    <col min="1798" max="1822" width="10.7109375" style="394" customWidth="1"/>
    <col min="1823" max="2041" width="9.140625" style="394"/>
    <col min="2042" max="2043" width="1.7109375" style="394" customWidth="1"/>
    <col min="2044" max="2044" width="4.7109375" style="394" customWidth="1"/>
    <col min="2045" max="2046" width="10.7109375" style="394" customWidth="1"/>
    <col min="2047" max="2047" width="8.42578125" style="394" customWidth="1"/>
    <col min="2048" max="2048" width="10.7109375" style="394" customWidth="1"/>
    <col min="2049" max="2049" width="21.7109375" style="394" customWidth="1"/>
    <col min="2050" max="2051" width="10.7109375" style="394" customWidth="1"/>
    <col min="2052" max="2053" width="1.7109375" style="394" customWidth="1"/>
    <col min="2054" max="2078" width="10.7109375" style="394" customWidth="1"/>
    <col min="2079" max="2297" width="9.140625" style="394"/>
    <col min="2298" max="2299" width="1.7109375" style="394" customWidth="1"/>
    <col min="2300" max="2300" width="4.7109375" style="394" customWidth="1"/>
    <col min="2301" max="2302" width="10.7109375" style="394" customWidth="1"/>
    <col min="2303" max="2303" width="8.42578125" style="394" customWidth="1"/>
    <col min="2304" max="2304" width="10.7109375" style="394" customWidth="1"/>
    <col min="2305" max="2305" width="21.7109375" style="394" customWidth="1"/>
    <col min="2306" max="2307" width="10.7109375" style="394" customWidth="1"/>
    <col min="2308" max="2309" width="1.7109375" style="394" customWidth="1"/>
    <col min="2310" max="2334" width="10.7109375" style="394" customWidth="1"/>
    <col min="2335" max="2553" width="9.140625" style="394"/>
    <col min="2554" max="2555" width="1.7109375" style="394" customWidth="1"/>
    <col min="2556" max="2556" width="4.7109375" style="394" customWidth="1"/>
    <col min="2557" max="2558" width="10.7109375" style="394" customWidth="1"/>
    <col min="2559" max="2559" width="8.42578125" style="394" customWidth="1"/>
    <col min="2560" max="2560" width="10.7109375" style="394" customWidth="1"/>
    <col min="2561" max="2561" width="21.7109375" style="394" customWidth="1"/>
    <col min="2562" max="2563" width="10.7109375" style="394" customWidth="1"/>
    <col min="2564" max="2565" width="1.7109375" style="394" customWidth="1"/>
    <col min="2566" max="2590" width="10.7109375" style="394" customWidth="1"/>
    <col min="2591" max="2809" width="9.140625" style="394"/>
    <col min="2810" max="2811" width="1.7109375" style="394" customWidth="1"/>
    <col min="2812" max="2812" width="4.7109375" style="394" customWidth="1"/>
    <col min="2813" max="2814" width="10.7109375" style="394" customWidth="1"/>
    <col min="2815" max="2815" width="8.42578125" style="394" customWidth="1"/>
    <col min="2816" max="2816" width="10.7109375" style="394" customWidth="1"/>
    <col min="2817" max="2817" width="21.7109375" style="394" customWidth="1"/>
    <col min="2818" max="2819" width="10.7109375" style="394" customWidth="1"/>
    <col min="2820" max="2821" width="1.7109375" style="394" customWidth="1"/>
    <col min="2822" max="2846" width="10.7109375" style="394" customWidth="1"/>
    <col min="2847" max="3065" width="9.140625" style="394"/>
    <col min="3066" max="3067" width="1.7109375" style="394" customWidth="1"/>
    <col min="3068" max="3068" width="4.7109375" style="394" customWidth="1"/>
    <col min="3069" max="3070" width="10.7109375" style="394" customWidth="1"/>
    <col min="3071" max="3071" width="8.42578125" style="394" customWidth="1"/>
    <col min="3072" max="3072" width="10.7109375" style="394" customWidth="1"/>
    <col min="3073" max="3073" width="21.7109375" style="394" customWidth="1"/>
    <col min="3074" max="3075" width="10.7109375" style="394" customWidth="1"/>
    <col min="3076" max="3077" width="1.7109375" style="394" customWidth="1"/>
    <col min="3078" max="3102" width="10.7109375" style="394" customWidth="1"/>
    <col min="3103" max="3321" width="9.140625" style="394"/>
    <col min="3322" max="3323" width="1.7109375" style="394" customWidth="1"/>
    <col min="3324" max="3324" width="4.7109375" style="394" customWidth="1"/>
    <col min="3325" max="3326" width="10.7109375" style="394" customWidth="1"/>
    <col min="3327" max="3327" width="8.42578125" style="394" customWidth="1"/>
    <col min="3328" max="3328" width="10.7109375" style="394" customWidth="1"/>
    <col min="3329" max="3329" width="21.7109375" style="394" customWidth="1"/>
    <col min="3330" max="3331" width="10.7109375" style="394" customWidth="1"/>
    <col min="3332" max="3333" width="1.7109375" style="394" customWidth="1"/>
    <col min="3334" max="3358" width="10.7109375" style="394" customWidth="1"/>
    <col min="3359" max="3577" width="9.140625" style="394"/>
    <col min="3578" max="3579" width="1.7109375" style="394" customWidth="1"/>
    <col min="3580" max="3580" width="4.7109375" style="394" customWidth="1"/>
    <col min="3581" max="3582" width="10.7109375" style="394" customWidth="1"/>
    <col min="3583" max="3583" width="8.42578125" style="394" customWidth="1"/>
    <col min="3584" max="3584" width="10.7109375" style="394" customWidth="1"/>
    <col min="3585" max="3585" width="21.7109375" style="394" customWidth="1"/>
    <col min="3586" max="3587" width="10.7109375" style="394" customWidth="1"/>
    <col min="3588" max="3589" width="1.7109375" style="394" customWidth="1"/>
    <col min="3590" max="3614" width="10.7109375" style="394" customWidth="1"/>
    <col min="3615" max="3833" width="9.140625" style="394"/>
    <col min="3834" max="3835" width="1.7109375" style="394" customWidth="1"/>
    <col min="3836" max="3836" width="4.7109375" style="394" customWidth="1"/>
    <col min="3837" max="3838" width="10.7109375" style="394" customWidth="1"/>
    <col min="3839" max="3839" width="8.42578125" style="394" customWidth="1"/>
    <col min="3840" max="3840" width="10.7109375" style="394" customWidth="1"/>
    <col min="3841" max="3841" width="21.7109375" style="394" customWidth="1"/>
    <col min="3842" max="3843" width="10.7109375" style="394" customWidth="1"/>
    <col min="3844" max="3845" width="1.7109375" style="394" customWidth="1"/>
    <col min="3846" max="3870" width="10.7109375" style="394" customWidth="1"/>
    <col min="3871" max="4089" width="9.140625" style="394"/>
    <col min="4090" max="4091" width="1.7109375" style="394" customWidth="1"/>
    <col min="4092" max="4092" width="4.7109375" style="394" customWidth="1"/>
    <col min="4093" max="4094" width="10.7109375" style="394" customWidth="1"/>
    <col min="4095" max="4095" width="8.42578125" style="394" customWidth="1"/>
    <col min="4096" max="4096" width="10.7109375" style="394" customWidth="1"/>
    <col min="4097" max="4097" width="21.7109375" style="394" customWidth="1"/>
    <col min="4098" max="4099" width="10.7109375" style="394" customWidth="1"/>
    <col min="4100" max="4101" width="1.7109375" style="394" customWidth="1"/>
    <col min="4102" max="4126" width="10.7109375" style="394" customWidth="1"/>
    <col min="4127" max="4345" width="9.140625" style="394"/>
    <col min="4346" max="4347" width="1.7109375" style="394" customWidth="1"/>
    <col min="4348" max="4348" width="4.7109375" style="394" customWidth="1"/>
    <col min="4349" max="4350" width="10.7109375" style="394" customWidth="1"/>
    <col min="4351" max="4351" width="8.42578125" style="394" customWidth="1"/>
    <col min="4352" max="4352" width="10.7109375" style="394" customWidth="1"/>
    <col min="4353" max="4353" width="21.7109375" style="394" customWidth="1"/>
    <col min="4354" max="4355" width="10.7109375" style="394" customWidth="1"/>
    <col min="4356" max="4357" width="1.7109375" style="394" customWidth="1"/>
    <col min="4358" max="4382" width="10.7109375" style="394" customWidth="1"/>
    <col min="4383" max="4601" width="9.140625" style="394"/>
    <col min="4602" max="4603" width="1.7109375" style="394" customWidth="1"/>
    <col min="4604" max="4604" width="4.7109375" style="394" customWidth="1"/>
    <col min="4605" max="4606" width="10.7109375" style="394" customWidth="1"/>
    <col min="4607" max="4607" width="8.42578125" style="394" customWidth="1"/>
    <col min="4608" max="4608" width="10.7109375" style="394" customWidth="1"/>
    <col min="4609" max="4609" width="21.7109375" style="394" customWidth="1"/>
    <col min="4610" max="4611" width="10.7109375" style="394" customWidth="1"/>
    <col min="4612" max="4613" width="1.7109375" style="394" customWidth="1"/>
    <col min="4614" max="4638" width="10.7109375" style="394" customWidth="1"/>
    <col min="4639" max="4857" width="9.140625" style="394"/>
    <col min="4858" max="4859" width="1.7109375" style="394" customWidth="1"/>
    <col min="4860" max="4860" width="4.7109375" style="394" customWidth="1"/>
    <col min="4861" max="4862" width="10.7109375" style="394" customWidth="1"/>
    <col min="4863" max="4863" width="8.42578125" style="394" customWidth="1"/>
    <col min="4864" max="4864" width="10.7109375" style="394" customWidth="1"/>
    <col min="4865" max="4865" width="21.7109375" style="394" customWidth="1"/>
    <col min="4866" max="4867" width="10.7109375" style="394" customWidth="1"/>
    <col min="4868" max="4869" width="1.7109375" style="394" customWidth="1"/>
    <col min="4870" max="4894" width="10.7109375" style="394" customWidth="1"/>
    <col min="4895" max="5113" width="9.140625" style="394"/>
    <col min="5114" max="5115" width="1.7109375" style="394" customWidth="1"/>
    <col min="5116" max="5116" width="4.7109375" style="394" customWidth="1"/>
    <col min="5117" max="5118" width="10.7109375" style="394" customWidth="1"/>
    <col min="5119" max="5119" width="8.42578125" style="394" customWidth="1"/>
    <col min="5120" max="5120" width="10.7109375" style="394" customWidth="1"/>
    <col min="5121" max="5121" width="21.7109375" style="394" customWidth="1"/>
    <col min="5122" max="5123" width="10.7109375" style="394" customWidth="1"/>
    <col min="5124" max="5125" width="1.7109375" style="394" customWidth="1"/>
    <col min="5126" max="5150" width="10.7109375" style="394" customWidth="1"/>
    <col min="5151" max="5369" width="9.140625" style="394"/>
    <col min="5370" max="5371" width="1.7109375" style="394" customWidth="1"/>
    <col min="5372" max="5372" width="4.7109375" style="394" customWidth="1"/>
    <col min="5373" max="5374" width="10.7109375" style="394" customWidth="1"/>
    <col min="5375" max="5375" width="8.42578125" style="394" customWidth="1"/>
    <col min="5376" max="5376" width="10.7109375" style="394" customWidth="1"/>
    <col min="5377" max="5377" width="21.7109375" style="394" customWidth="1"/>
    <col min="5378" max="5379" width="10.7109375" style="394" customWidth="1"/>
    <col min="5380" max="5381" width="1.7109375" style="394" customWidth="1"/>
    <col min="5382" max="5406" width="10.7109375" style="394" customWidth="1"/>
    <col min="5407" max="5625" width="9.140625" style="394"/>
    <col min="5626" max="5627" width="1.7109375" style="394" customWidth="1"/>
    <col min="5628" max="5628" width="4.7109375" style="394" customWidth="1"/>
    <col min="5629" max="5630" width="10.7109375" style="394" customWidth="1"/>
    <col min="5631" max="5631" width="8.42578125" style="394" customWidth="1"/>
    <col min="5632" max="5632" width="10.7109375" style="394" customWidth="1"/>
    <col min="5633" max="5633" width="21.7109375" style="394" customWidth="1"/>
    <col min="5634" max="5635" width="10.7109375" style="394" customWidth="1"/>
    <col min="5636" max="5637" width="1.7109375" style="394" customWidth="1"/>
    <col min="5638" max="5662" width="10.7109375" style="394" customWidth="1"/>
    <col min="5663" max="5881" width="9.140625" style="394"/>
    <col min="5882" max="5883" width="1.7109375" style="394" customWidth="1"/>
    <col min="5884" max="5884" width="4.7109375" style="394" customWidth="1"/>
    <col min="5885" max="5886" width="10.7109375" style="394" customWidth="1"/>
    <col min="5887" max="5887" width="8.42578125" style="394" customWidth="1"/>
    <col min="5888" max="5888" width="10.7109375" style="394" customWidth="1"/>
    <col min="5889" max="5889" width="21.7109375" style="394" customWidth="1"/>
    <col min="5890" max="5891" width="10.7109375" style="394" customWidth="1"/>
    <col min="5892" max="5893" width="1.7109375" style="394" customWidth="1"/>
    <col min="5894" max="5918" width="10.7109375" style="394" customWidth="1"/>
    <col min="5919" max="6137" width="9.140625" style="394"/>
    <col min="6138" max="6139" width="1.7109375" style="394" customWidth="1"/>
    <col min="6140" max="6140" width="4.7109375" style="394" customWidth="1"/>
    <col min="6141" max="6142" width="10.7109375" style="394" customWidth="1"/>
    <col min="6143" max="6143" width="8.42578125" style="394" customWidth="1"/>
    <col min="6144" max="6144" width="10.7109375" style="394" customWidth="1"/>
    <col min="6145" max="6145" width="21.7109375" style="394" customWidth="1"/>
    <col min="6146" max="6147" width="10.7109375" style="394" customWidth="1"/>
    <col min="6148" max="6149" width="1.7109375" style="394" customWidth="1"/>
    <col min="6150" max="6174" width="10.7109375" style="394" customWidth="1"/>
    <col min="6175" max="6393" width="9.140625" style="394"/>
    <col min="6394" max="6395" width="1.7109375" style="394" customWidth="1"/>
    <col min="6396" max="6396" width="4.7109375" style="394" customWidth="1"/>
    <col min="6397" max="6398" width="10.7109375" style="394" customWidth="1"/>
    <col min="6399" max="6399" width="8.42578125" style="394" customWidth="1"/>
    <col min="6400" max="6400" width="10.7109375" style="394" customWidth="1"/>
    <col min="6401" max="6401" width="21.7109375" style="394" customWidth="1"/>
    <col min="6402" max="6403" width="10.7109375" style="394" customWidth="1"/>
    <col min="6404" max="6405" width="1.7109375" style="394" customWidth="1"/>
    <col min="6406" max="6430" width="10.7109375" style="394" customWidth="1"/>
    <col min="6431" max="6649" width="9.140625" style="394"/>
    <col min="6650" max="6651" width="1.7109375" style="394" customWidth="1"/>
    <col min="6652" max="6652" width="4.7109375" style="394" customWidth="1"/>
    <col min="6653" max="6654" width="10.7109375" style="394" customWidth="1"/>
    <col min="6655" max="6655" width="8.42578125" style="394" customWidth="1"/>
    <col min="6656" max="6656" width="10.7109375" style="394" customWidth="1"/>
    <col min="6657" max="6657" width="21.7109375" style="394" customWidth="1"/>
    <col min="6658" max="6659" width="10.7109375" style="394" customWidth="1"/>
    <col min="6660" max="6661" width="1.7109375" style="394" customWidth="1"/>
    <col min="6662" max="6686" width="10.7109375" style="394" customWidth="1"/>
    <col min="6687" max="6905" width="9.140625" style="394"/>
    <col min="6906" max="6907" width="1.7109375" style="394" customWidth="1"/>
    <col min="6908" max="6908" width="4.7109375" style="394" customWidth="1"/>
    <col min="6909" max="6910" width="10.7109375" style="394" customWidth="1"/>
    <col min="6911" max="6911" width="8.42578125" style="394" customWidth="1"/>
    <col min="6912" max="6912" width="10.7109375" style="394" customWidth="1"/>
    <col min="6913" max="6913" width="21.7109375" style="394" customWidth="1"/>
    <col min="6914" max="6915" width="10.7109375" style="394" customWidth="1"/>
    <col min="6916" max="6917" width="1.7109375" style="394" customWidth="1"/>
    <col min="6918" max="6942" width="10.7109375" style="394" customWidth="1"/>
    <col min="6943" max="7161" width="9.140625" style="394"/>
    <col min="7162" max="7163" width="1.7109375" style="394" customWidth="1"/>
    <col min="7164" max="7164" width="4.7109375" style="394" customWidth="1"/>
    <col min="7165" max="7166" width="10.7109375" style="394" customWidth="1"/>
    <col min="7167" max="7167" width="8.42578125" style="394" customWidth="1"/>
    <col min="7168" max="7168" width="10.7109375" style="394" customWidth="1"/>
    <col min="7169" max="7169" width="21.7109375" style="394" customWidth="1"/>
    <col min="7170" max="7171" width="10.7109375" style="394" customWidth="1"/>
    <col min="7172" max="7173" width="1.7109375" style="394" customWidth="1"/>
    <col min="7174" max="7198" width="10.7109375" style="394" customWidth="1"/>
    <col min="7199" max="7417" width="9.140625" style="394"/>
    <col min="7418" max="7419" width="1.7109375" style="394" customWidth="1"/>
    <col min="7420" max="7420" width="4.7109375" style="394" customWidth="1"/>
    <col min="7421" max="7422" width="10.7109375" style="394" customWidth="1"/>
    <col min="7423" max="7423" width="8.42578125" style="394" customWidth="1"/>
    <col min="7424" max="7424" width="10.7109375" style="394" customWidth="1"/>
    <col min="7425" max="7425" width="21.7109375" style="394" customWidth="1"/>
    <col min="7426" max="7427" width="10.7109375" style="394" customWidth="1"/>
    <col min="7428" max="7429" width="1.7109375" style="394" customWidth="1"/>
    <col min="7430" max="7454" width="10.7109375" style="394" customWidth="1"/>
    <col min="7455" max="7673" width="9.140625" style="394"/>
    <col min="7674" max="7675" width="1.7109375" style="394" customWidth="1"/>
    <col min="7676" max="7676" width="4.7109375" style="394" customWidth="1"/>
    <col min="7677" max="7678" width="10.7109375" style="394" customWidth="1"/>
    <col min="7679" max="7679" width="8.42578125" style="394" customWidth="1"/>
    <col min="7680" max="7680" width="10.7109375" style="394" customWidth="1"/>
    <col min="7681" max="7681" width="21.7109375" style="394" customWidth="1"/>
    <col min="7682" max="7683" width="10.7109375" style="394" customWidth="1"/>
    <col min="7684" max="7685" width="1.7109375" style="394" customWidth="1"/>
    <col min="7686" max="7710" width="10.7109375" style="394" customWidth="1"/>
    <col min="7711" max="7929" width="9.140625" style="394"/>
    <col min="7930" max="7931" width="1.7109375" style="394" customWidth="1"/>
    <col min="7932" max="7932" width="4.7109375" style="394" customWidth="1"/>
    <col min="7933" max="7934" width="10.7109375" style="394" customWidth="1"/>
    <col min="7935" max="7935" width="8.42578125" style="394" customWidth="1"/>
    <col min="7936" max="7936" width="10.7109375" style="394" customWidth="1"/>
    <col min="7937" max="7937" width="21.7109375" style="394" customWidth="1"/>
    <col min="7938" max="7939" width="10.7109375" style="394" customWidth="1"/>
    <col min="7940" max="7941" width="1.7109375" style="394" customWidth="1"/>
    <col min="7942" max="7966" width="10.7109375" style="394" customWidth="1"/>
    <col min="7967" max="8185" width="9.140625" style="394"/>
    <col min="8186" max="8187" width="1.7109375" style="394" customWidth="1"/>
    <col min="8188" max="8188" width="4.7109375" style="394" customWidth="1"/>
    <col min="8189" max="8190" width="10.7109375" style="394" customWidth="1"/>
    <col min="8191" max="8191" width="8.42578125" style="394" customWidth="1"/>
    <col min="8192" max="8192" width="10.7109375" style="394" customWidth="1"/>
    <col min="8193" max="8193" width="21.7109375" style="394" customWidth="1"/>
    <col min="8194" max="8195" width="10.7109375" style="394" customWidth="1"/>
    <col min="8196" max="8197" width="1.7109375" style="394" customWidth="1"/>
    <col min="8198" max="8222" width="10.7109375" style="394" customWidth="1"/>
    <col min="8223" max="8441" width="9.140625" style="394"/>
    <col min="8442" max="8443" width="1.7109375" style="394" customWidth="1"/>
    <col min="8444" max="8444" width="4.7109375" style="394" customWidth="1"/>
    <col min="8445" max="8446" width="10.7109375" style="394" customWidth="1"/>
    <col min="8447" max="8447" width="8.42578125" style="394" customWidth="1"/>
    <col min="8448" max="8448" width="10.7109375" style="394" customWidth="1"/>
    <col min="8449" max="8449" width="21.7109375" style="394" customWidth="1"/>
    <col min="8450" max="8451" width="10.7109375" style="394" customWidth="1"/>
    <col min="8452" max="8453" width="1.7109375" style="394" customWidth="1"/>
    <col min="8454" max="8478" width="10.7109375" style="394" customWidth="1"/>
    <col min="8479" max="8697" width="9.140625" style="394"/>
    <col min="8698" max="8699" width="1.7109375" style="394" customWidth="1"/>
    <col min="8700" max="8700" width="4.7109375" style="394" customWidth="1"/>
    <col min="8701" max="8702" width="10.7109375" style="394" customWidth="1"/>
    <col min="8703" max="8703" width="8.42578125" style="394" customWidth="1"/>
    <col min="8704" max="8704" width="10.7109375" style="394" customWidth="1"/>
    <col min="8705" max="8705" width="21.7109375" style="394" customWidth="1"/>
    <col min="8706" max="8707" width="10.7109375" style="394" customWidth="1"/>
    <col min="8708" max="8709" width="1.7109375" style="394" customWidth="1"/>
    <col min="8710" max="8734" width="10.7109375" style="394" customWidth="1"/>
    <col min="8735" max="8953" width="9.140625" style="394"/>
    <col min="8954" max="8955" width="1.7109375" style="394" customWidth="1"/>
    <col min="8956" max="8956" width="4.7109375" style="394" customWidth="1"/>
    <col min="8957" max="8958" width="10.7109375" style="394" customWidth="1"/>
    <col min="8959" max="8959" width="8.42578125" style="394" customWidth="1"/>
    <col min="8960" max="8960" width="10.7109375" style="394" customWidth="1"/>
    <col min="8961" max="8961" width="21.7109375" style="394" customWidth="1"/>
    <col min="8962" max="8963" width="10.7109375" style="394" customWidth="1"/>
    <col min="8964" max="8965" width="1.7109375" style="394" customWidth="1"/>
    <col min="8966" max="8990" width="10.7109375" style="394" customWidth="1"/>
    <col min="8991" max="9209" width="9.140625" style="394"/>
    <col min="9210" max="9211" width="1.7109375" style="394" customWidth="1"/>
    <col min="9212" max="9212" width="4.7109375" style="394" customWidth="1"/>
    <col min="9213" max="9214" width="10.7109375" style="394" customWidth="1"/>
    <col min="9215" max="9215" width="8.42578125" style="394" customWidth="1"/>
    <col min="9216" max="9216" width="10.7109375" style="394" customWidth="1"/>
    <col min="9217" max="9217" width="21.7109375" style="394" customWidth="1"/>
    <col min="9218" max="9219" width="10.7109375" style="394" customWidth="1"/>
    <col min="9220" max="9221" width="1.7109375" style="394" customWidth="1"/>
    <col min="9222" max="9246" width="10.7109375" style="394" customWidth="1"/>
    <col min="9247" max="9465" width="9.140625" style="394"/>
    <col min="9466" max="9467" width="1.7109375" style="394" customWidth="1"/>
    <col min="9468" max="9468" width="4.7109375" style="394" customWidth="1"/>
    <col min="9469" max="9470" width="10.7109375" style="394" customWidth="1"/>
    <col min="9471" max="9471" width="8.42578125" style="394" customWidth="1"/>
    <col min="9472" max="9472" width="10.7109375" style="394" customWidth="1"/>
    <col min="9473" max="9473" width="21.7109375" style="394" customWidth="1"/>
    <col min="9474" max="9475" width="10.7109375" style="394" customWidth="1"/>
    <col min="9476" max="9477" width="1.7109375" style="394" customWidth="1"/>
    <col min="9478" max="9502" width="10.7109375" style="394" customWidth="1"/>
    <col min="9503" max="9721" width="9.140625" style="394"/>
    <col min="9722" max="9723" width="1.7109375" style="394" customWidth="1"/>
    <col min="9724" max="9724" width="4.7109375" style="394" customWidth="1"/>
    <col min="9725" max="9726" width="10.7109375" style="394" customWidth="1"/>
    <col min="9727" max="9727" width="8.42578125" style="394" customWidth="1"/>
    <col min="9728" max="9728" width="10.7109375" style="394" customWidth="1"/>
    <col min="9729" max="9729" width="21.7109375" style="394" customWidth="1"/>
    <col min="9730" max="9731" width="10.7109375" style="394" customWidth="1"/>
    <col min="9732" max="9733" width="1.7109375" style="394" customWidth="1"/>
    <col min="9734" max="9758" width="10.7109375" style="394" customWidth="1"/>
    <col min="9759" max="9977" width="9.140625" style="394"/>
    <col min="9978" max="9979" width="1.7109375" style="394" customWidth="1"/>
    <col min="9980" max="9980" width="4.7109375" style="394" customWidth="1"/>
    <col min="9981" max="9982" width="10.7109375" style="394" customWidth="1"/>
    <col min="9983" max="9983" width="8.42578125" style="394" customWidth="1"/>
    <col min="9984" max="9984" width="10.7109375" style="394" customWidth="1"/>
    <col min="9985" max="9985" width="21.7109375" style="394" customWidth="1"/>
    <col min="9986" max="9987" width="10.7109375" style="394" customWidth="1"/>
    <col min="9988" max="9989" width="1.7109375" style="394" customWidth="1"/>
    <col min="9990" max="10014" width="10.7109375" style="394" customWidth="1"/>
    <col min="10015" max="10233" width="9.140625" style="394"/>
    <col min="10234" max="10235" width="1.7109375" style="394" customWidth="1"/>
    <col min="10236" max="10236" width="4.7109375" style="394" customWidth="1"/>
    <col min="10237" max="10238" width="10.7109375" style="394" customWidth="1"/>
    <col min="10239" max="10239" width="8.42578125" style="394" customWidth="1"/>
    <col min="10240" max="10240" width="10.7109375" style="394" customWidth="1"/>
    <col min="10241" max="10241" width="21.7109375" style="394" customWidth="1"/>
    <col min="10242" max="10243" width="10.7109375" style="394" customWidth="1"/>
    <col min="10244" max="10245" width="1.7109375" style="394" customWidth="1"/>
    <col min="10246" max="10270" width="10.7109375" style="394" customWidth="1"/>
    <col min="10271" max="10489" width="9.140625" style="394"/>
    <col min="10490" max="10491" width="1.7109375" style="394" customWidth="1"/>
    <col min="10492" max="10492" width="4.7109375" style="394" customWidth="1"/>
    <col min="10493" max="10494" width="10.7109375" style="394" customWidth="1"/>
    <col min="10495" max="10495" width="8.42578125" style="394" customWidth="1"/>
    <col min="10496" max="10496" width="10.7109375" style="394" customWidth="1"/>
    <col min="10497" max="10497" width="21.7109375" style="394" customWidth="1"/>
    <col min="10498" max="10499" width="10.7109375" style="394" customWidth="1"/>
    <col min="10500" max="10501" width="1.7109375" style="394" customWidth="1"/>
    <col min="10502" max="10526" width="10.7109375" style="394" customWidth="1"/>
    <col min="10527" max="10745" width="9.140625" style="394"/>
    <col min="10746" max="10747" width="1.7109375" style="394" customWidth="1"/>
    <col min="10748" max="10748" width="4.7109375" style="394" customWidth="1"/>
    <col min="10749" max="10750" width="10.7109375" style="394" customWidth="1"/>
    <col min="10751" max="10751" width="8.42578125" style="394" customWidth="1"/>
    <col min="10752" max="10752" width="10.7109375" style="394" customWidth="1"/>
    <col min="10753" max="10753" width="21.7109375" style="394" customWidth="1"/>
    <col min="10754" max="10755" width="10.7109375" style="394" customWidth="1"/>
    <col min="10756" max="10757" width="1.7109375" style="394" customWidth="1"/>
    <col min="10758" max="10782" width="10.7109375" style="394" customWidth="1"/>
    <col min="10783" max="11001" width="9.140625" style="394"/>
    <col min="11002" max="11003" width="1.7109375" style="394" customWidth="1"/>
    <col min="11004" max="11004" width="4.7109375" style="394" customWidth="1"/>
    <col min="11005" max="11006" width="10.7109375" style="394" customWidth="1"/>
    <col min="11007" max="11007" width="8.42578125" style="394" customWidth="1"/>
    <col min="11008" max="11008" width="10.7109375" style="394" customWidth="1"/>
    <col min="11009" max="11009" width="21.7109375" style="394" customWidth="1"/>
    <col min="11010" max="11011" width="10.7109375" style="394" customWidth="1"/>
    <col min="11012" max="11013" width="1.7109375" style="394" customWidth="1"/>
    <col min="11014" max="11038" width="10.7109375" style="394" customWidth="1"/>
    <col min="11039" max="11257" width="9.140625" style="394"/>
    <col min="11258" max="11259" width="1.7109375" style="394" customWidth="1"/>
    <col min="11260" max="11260" width="4.7109375" style="394" customWidth="1"/>
    <col min="11261" max="11262" width="10.7109375" style="394" customWidth="1"/>
    <col min="11263" max="11263" width="8.42578125" style="394" customWidth="1"/>
    <col min="11264" max="11264" width="10.7109375" style="394" customWidth="1"/>
    <col min="11265" max="11265" width="21.7109375" style="394" customWidth="1"/>
    <col min="11266" max="11267" width="10.7109375" style="394" customWidth="1"/>
    <col min="11268" max="11269" width="1.7109375" style="394" customWidth="1"/>
    <col min="11270" max="11294" width="10.7109375" style="394" customWidth="1"/>
    <col min="11295" max="11513" width="9.140625" style="394"/>
    <col min="11514" max="11515" width="1.7109375" style="394" customWidth="1"/>
    <col min="11516" max="11516" width="4.7109375" style="394" customWidth="1"/>
    <col min="11517" max="11518" width="10.7109375" style="394" customWidth="1"/>
    <col min="11519" max="11519" width="8.42578125" style="394" customWidth="1"/>
    <col min="11520" max="11520" width="10.7109375" style="394" customWidth="1"/>
    <col min="11521" max="11521" width="21.7109375" style="394" customWidth="1"/>
    <col min="11522" max="11523" width="10.7109375" style="394" customWidth="1"/>
    <col min="11524" max="11525" width="1.7109375" style="394" customWidth="1"/>
    <col min="11526" max="11550" width="10.7109375" style="394" customWidth="1"/>
    <col min="11551" max="11769" width="9.140625" style="394"/>
    <col min="11770" max="11771" width="1.7109375" style="394" customWidth="1"/>
    <col min="11772" max="11772" width="4.7109375" style="394" customWidth="1"/>
    <col min="11773" max="11774" width="10.7109375" style="394" customWidth="1"/>
    <col min="11775" max="11775" width="8.42578125" style="394" customWidth="1"/>
    <col min="11776" max="11776" width="10.7109375" style="394" customWidth="1"/>
    <col min="11777" max="11777" width="21.7109375" style="394" customWidth="1"/>
    <col min="11778" max="11779" width="10.7109375" style="394" customWidth="1"/>
    <col min="11780" max="11781" width="1.7109375" style="394" customWidth="1"/>
    <col min="11782" max="11806" width="10.7109375" style="394" customWidth="1"/>
    <col min="11807" max="12025" width="9.140625" style="394"/>
    <col min="12026" max="12027" width="1.7109375" style="394" customWidth="1"/>
    <col min="12028" max="12028" width="4.7109375" style="394" customWidth="1"/>
    <col min="12029" max="12030" width="10.7109375" style="394" customWidth="1"/>
    <col min="12031" max="12031" width="8.42578125" style="394" customWidth="1"/>
    <col min="12032" max="12032" width="10.7109375" style="394" customWidth="1"/>
    <col min="12033" max="12033" width="21.7109375" style="394" customWidth="1"/>
    <col min="12034" max="12035" width="10.7109375" style="394" customWidth="1"/>
    <col min="12036" max="12037" width="1.7109375" style="394" customWidth="1"/>
    <col min="12038" max="12062" width="10.7109375" style="394" customWidth="1"/>
    <col min="12063" max="12281" width="9.140625" style="394"/>
    <col min="12282" max="12283" width="1.7109375" style="394" customWidth="1"/>
    <col min="12284" max="12284" width="4.7109375" style="394" customWidth="1"/>
    <col min="12285" max="12286" width="10.7109375" style="394" customWidth="1"/>
    <col min="12287" max="12287" width="8.42578125" style="394" customWidth="1"/>
    <col min="12288" max="12288" width="10.7109375" style="394" customWidth="1"/>
    <col min="12289" max="12289" width="21.7109375" style="394" customWidth="1"/>
    <col min="12290" max="12291" width="10.7109375" style="394" customWidth="1"/>
    <col min="12292" max="12293" width="1.7109375" style="394" customWidth="1"/>
    <col min="12294" max="12318" width="10.7109375" style="394" customWidth="1"/>
    <col min="12319" max="12537" width="9.140625" style="394"/>
    <col min="12538" max="12539" width="1.7109375" style="394" customWidth="1"/>
    <col min="12540" max="12540" width="4.7109375" style="394" customWidth="1"/>
    <col min="12541" max="12542" width="10.7109375" style="394" customWidth="1"/>
    <col min="12543" max="12543" width="8.42578125" style="394" customWidth="1"/>
    <col min="12544" max="12544" width="10.7109375" style="394" customWidth="1"/>
    <col min="12545" max="12545" width="21.7109375" style="394" customWidth="1"/>
    <col min="12546" max="12547" width="10.7109375" style="394" customWidth="1"/>
    <col min="12548" max="12549" width="1.7109375" style="394" customWidth="1"/>
    <col min="12550" max="12574" width="10.7109375" style="394" customWidth="1"/>
    <col min="12575" max="12793" width="9.140625" style="394"/>
    <col min="12794" max="12795" width="1.7109375" style="394" customWidth="1"/>
    <col min="12796" max="12796" width="4.7109375" style="394" customWidth="1"/>
    <col min="12797" max="12798" width="10.7109375" style="394" customWidth="1"/>
    <col min="12799" max="12799" width="8.42578125" style="394" customWidth="1"/>
    <col min="12800" max="12800" width="10.7109375" style="394" customWidth="1"/>
    <col min="12801" max="12801" width="21.7109375" style="394" customWidth="1"/>
    <col min="12802" max="12803" width="10.7109375" style="394" customWidth="1"/>
    <col min="12804" max="12805" width="1.7109375" style="394" customWidth="1"/>
    <col min="12806" max="12830" width="10.7109375" style="394" customWidth="1"/>
    <col min="12831" max="13049" width="9.140625" style="394"/>
    <col min="13050" max="13051" width="1.7109375" style="394" customWidth="1"/>
    <col min="13052" max="13052" width="4.7109375" style="394" customWidth="1"/>
    <col min="13053" max="13054" width="10.7109375" style="394" customWidth="1"/>
    <col min="13055" max="13055" width="8.42578125" style="394" customWidth="1"/>
    <col min="13056" max="13056" width="10.7109375" style="394" customWidth="1"/>
    <col min="13057" max="13057" width="21.7109375" style="394" customWidth="1"/>
    <col min="13058" max="13059" width="10.7109375" style="394" customWidth="1"/>
    <col min="13060" max="13061" width="1.7109375" style="394" customWidth="1"/>
    <col min="13062" max="13086" width="10.7109375" style="394" customWidth="1"/>
    <col min="13087" max="13305" width="9.140625" style="394"/>
    <col min="13306" max="13307" width="1.7109375" style="394" customWidth="1"/>
    <col min="13308" max="13308" width="4.7109375" style="394" customWidth="1"/>
    <col min="13309" max="13310" width="10.7109375" style="394" customWidth="1"/>
    <col min="13311" max="13311" width="8.42578125" style="394" customWidth="1"/>
    <col min="13312" max="13312" width="10.7109375" style="394" customWidth="1"/>
    <col min="13313" max="13313" width="21.7109375" style="394" customWidth="1"/>
    <col min="13314" max="13315" width="10.7109375" style="394" customWidth="1"/>
    <col min="13316" max="13317" width="1.7109375" style="394" customWidth="1"/>
    <col min="13318" max="13342" width="10.7109375" style="394" customWidth="1"/>
    <col min="13343" max="13561" width="9.140625" style="394"/>
    <col min="13562" max="13563" width="1.7109375" style="394" customWidth="1"/>
    <col min="13564" max="13564" width="4.7109375" style="394" customWidth="1"/>
    <col min="13565" max="13566" width="10.7109375" style="394" customWidth="1"/>
    <col min="13567" max="13567" width="8.42578125" style="394" customWidth="1"/>
    <col min="13568" max="13568" width="10.7109375" style="394" customWidth="1"/>
    <col min="13569" max="13569" width="21.7109375" style="394" customWidth="1"/>
    <col min="13570" max="13571" width="10.7109375" style="394" customWidth="1"/>
    <col min="13572" max="13573" width="1.7109375" style="394" customWidth="1"/>
    <col min="13574" max="13598" width="10.7109375" style="394" customWidth="1"/>
    <col min="13599" max="13817" width="9.140625" style="394"/>
    <col min="13818" max="13819" width="1.7109375" style="394" customWidth="1"/>
    <col min="13820" max="13820" width="4.7109375" style="394" customWidth="1"/>
    <col min="13821" max="13822" width="10.7109375" style="394" customWidth="1"/>
    <col min="13823" max="13823" width="8.42578125" style="394" customWidth="1"/>
    <col min="13824" max="13824" width="10.7109375" style="394" customWidth="1"/>
    <col min="13825" max="13825" width="21.7109375" style="394" customWidth="1"/>
    <col min="13826" max="13827" width="10.7109375" style="394" customWidth="1"/>
    <col min="13828" max="13829" width="1.7109375" style="394" customWidth="1"/>
    <col min="13830" max="13854" width="10.7109375" style="394" customWidth="1"/>
    <col min="13855" max="14073" width="9.140625" style="394"/>
    <col min="14074" max="14075" width="1.7109375" style="394" customWidth="1"/>
    <col min="14076" max="14076" width="4.7109375" style="394" customWidth="1"/>
    <col min="14077" max="14078" width="10.7109375" style="394" customWidth="1"/>
    <col min="14079" max="14079" width="8.42578125" style="394" customWidth="1"/>
    <col min="14080" max="14080" width="10.7109375" style="394" customWidth="1"/>
    <col min="14081" max="14081" width="21.7109375" style="394" customWidth="1"/>
    <col min="14082" max="14083" width="10.7109375" style="394" customWidth="1"/>
    <col min="14084" max="14085" width="1.7109375" style="394" customWidth="1"/>
    <col min="14086" max="14110" width="10.7109375" style="394" customWidth="1"/>
    <col min="14111" max="14329" width="9.140625" style="394"/>
    <col min="14330" max="14331" width="1.7109375" style="394" customWidth="1"/>
    <col min="14332" max="14332" width="4.7109375" style="394" customWidth="1"/>
    <col min="14333" max="14334" width="10.7109375" style="394" customWidth="1"/>
    <col min="14335" max="14335" width="8.42578125" style="394" customWidth="1"/>
    <col min="14336" max="14336" width="10.7109375" style="394" customWidth="1"/>
    <col min="14337" max="14337" width="21.7109375" style="394" customWidth="1"/>
    <col min="14338" max="14339" width="10.7109375" style="394" customWidth="1"/>
    <col min="14340" max="14341" width="1.7109375" style="394" customWidth="1"/>
    <col min="14342" max="14366" width="10.7109375" style="394" customWidth="1"/>
    <col min="14367" max="14585" width="9.140625" style="394"/>
    <col min="14586" max="14587" width="1.7109375" style="394" customWidth="1"/>
    <col min="14588" max="14588" width="4.7109375" style="394" customWidth="1"/>
    <col min="14589" max="14590" width="10.7109375" style="394" customWidth="1"/>
    <col min="14591" max="14591" width="8.42578125" style="394" customWidth="1"/>
    <col min="14592" max="14592" width="10.7109375" style="394" customWidth="1"/>
    <col min="14593" max="14593" width="21.7109375" style="394" customWidth="1"/>
    <col min="14594" max="14595" width="10.7109375" style="394" customWidth="1"/>
    <col min="14596" max="14597" width="1.7109375" style="394" customWidth="1"/>
    <col min="14598" max="14622" width="10.7109375" style="394" customWidth="1"/>
    <col min="14623" max="14841" width="9.140625" style="394"/>
    <col min="14842" max="14843" width="1.7109375" style="394" customWidth="1"/>
    <col min="14844" max="14844" width="4.7109375" style="394" customWidth="1"/>
    <col min="14845" max="14846" width="10.7109375" style="394" customWidth="1"/>
    <col min="14847" max="14847" width="8.42578125" style="394" customWidth="1"/>
    <col min="14848" max="14848" width="10.7109375" style="394" customWidth="1"/>
    <col min="14849" max="14849" width="21.7109375" style="394" customWidth="1"/>
    <col min="14850" max="14851" width="10.7109375" style="394" customWidth="1"/>
    <col min="14852" max="14853" width="1.7109375" style="394" customWidth="1"/>
    <col min="14854" max="14878" width="10.7109375" style="394" customWidth="1"/>
    <col min="14879" max="15097" width="9.140625" style="394"/>
    <col min="15098" max="15099" width="1.7109375" style="394" customWidth="1"/>
    <col min="15100" max="15100" width="4.7109375" style="394" customWidth="1"/>
    <col min="15101" max="15102" width="10.7109375" style="394" customWidth="1"/>
    <col min="15103" max="15103" width="8.42578125" style="394" customWidth="1"/>
    <col min="15104" max="15104" width="10.7109375" style="394" customWidth="1"/>
    <col min="15105" max="15105" width="21.7109375" style="394" customWidth="1"/>
    <col min="15106" max="15107" width="10.7109375" style="394" customWidth="1"/>
    <col min="15108" max="15109" width="1.7109375" style="394" customWidth="1"/>
    <col min="15110" max="15134" width="10.7109375" style="394" customWidth="1"/>
    <col min="15135" max="15353" width="9.140625" style="394"/>
    <col min="15354" max="15355" width="1.7109375" style="394" customWidth="1"/>
    <col min="15356" max="15356" width="4.7109375" style="394" customWidth="1"/>
    <col min="15357" max="15358" width="10.7109375" style="394" customWidth="1"/>
    <col min="15359" max="15359" width="8.42578125" style="394" customWidth="1"/>
    <col min="15360" max="15360" width="10.7109375" style="394" customWidth="1"/>
    <col min="15361" max="15361" width="21.7109375" style="394" customWidth="1"/>
    <col min="15362" max="15363" width="10.7109375" style="394" customWidth="1"/>
    <col min="15364" max="15365" width="1.7109375" style="394" customWidth="1"/>
    <col min="15366" max="15390" width="10.7109375" style="394" customWidth="1"/>
    <col min="15391" max="15609" width="9.140625" style="394"/>
    <col min="15610" max="15611" width="1.7109375" style="394" customWidth="1"/>
    <col min="15612" max="15612" width="4.7109375" style="394" customWidth="1"/>
    <col min="15613" max="15614" width="10.7109375" style="394" customWidth="1"/>
    <col min="15615" max="15615" width="8.42578125" style="394" customWidth="1"/>
    <col min="15616" max="15616" width="10.7109375" style="394" customWidth="1"/>
    <col min="15617" max="15617" width="21.7109375" style="394" customWidth="1"/>
    <col min="15618" max="15619" width="10.7109375" style="394" customWidth="1"/>
    <col min="15620" max="15621" width="1.7109375" style="394" customWidth="1"/>
    <col min="15622" max="15646" width="10.7109375" style="394" customWidth="1"/>
    <col min="15647" max="15865" width="9.140625" style="394"/>
    <col min="15866" max="15867" width="1.7109375" style="394" customWidth="1"/>
    <col min="15868" max="15868" width="4.7109375" style="394" customWidth="1"/>
    <col min="15869" max="15870" width="10.7109375" style="394" customWidth="1"/>
    <col min="15871" max="15871" width="8.42578125" style="394" customWidth="1"/>
    <col min="15872" max="15872" width="10.7109375" style="394" customWidth="1"/>
    <col min="15873" max="15873" width="21.7109375" style="394" customWidth="1"/>
    <col min="15874" max="15875" width="10.7109375" style="394" customWidth="1"/>
    <col min="15876" max="15877" width="1.7109375" style="394" customWidth="1"/>
    <col min="15878" max="15902" width="10.7109375" style="394" customWidth="1"/>
    <col min="15903" max="16121" width="9.140625" style="394"/>
    <col min="16122" max="16123" width="1.7109375" style="394" customWidth="1"/>
    <col min="16124" max="16124" width="4.7109375" style="394" customWidth="1"/>
    <col min="16125" max="16126" width="10.7109375" style="394" customWidth="1"/>
    <col min="16127" max="16127" width="8.42578125" style="394" customWidth="1"/>
    <col min="16128" max="16128" width="10.7109375" style="394" customWidth="1"/>
    <col min="16129" max="16129" width="21.7109375" style="394" customWidth="1"/>
    <col min="16130" max="16131" width="10.7109375" style="394" customWidth="1"/>
    <col min="16132" max="16133" width="1.7109375" style="394" customWidth="1"/>
    <col min="16134" max="16158" width="10.7109375" style="394" customWidth="1"/>
    <col min="16159" max="16384" width="9.140625" style="394"/>
  </cols>
  <sheetData>
    <row r="1" spans="1:22" ht="42.75" customHeight="1" thickTop="1" x14ac:dyDescent="0.25">
      <c r="A1" s="382"/>
      <c r="B1" s="383"/>
      <c r="C1" s="384" t="s">
        <v>3</v>
      </c>
      <c r="D1" s="385"/>
      <c r="E1" s="386" t="s">
        <v>309</v>
      </c>
      <c r="F1" s="387"/>
      <c r="G1" s="387"/>
      <c r="H1" s="387"/>
      <c r="I1" s="388" t="s">
        <v>118</v>
      </c>
      <c r="J1" s="389">
        <v>25</v>
      </c>
      <c r="K1" s="390"/>
      <c r="L1" s="391"/>
      <c r="M1" s="392"/>
      <c r="N1" s="393"/>
      <c r="O1" s="393"/>
      <c r="P1" s="393"/>
      <c r="Q1" s="393"/>
      <c r="R1" s="393"/>
      <c r="S1" s="393"/>
      <c r="T1" s="393"/>
      <c r="U1" s="393"/>
      <c r="V1" s="393"/>
    </row>
    <row r="2" spans="1:22" x14ac:dyDescent="0.25">
      <c r="A2" s="395"/>
      <c r="B2" s="396"/>
      <c r="C2" s="397"/>
      <c r="D2" s="398"/>
      <c r="E2" s="399"/>
      <c r="F2" s="399"/>
      <c r="G2" s="399"/>
      <c r="H2" s="399"/>
      <c r="I2" s="400"/>
      <c r="J2" s="400"/>
      <c r="K2" s="400"/>
      <c r="L2" s="400"/>
      <c r="M2" s="401"/>
      <c r="N2" s="393"/>
      <c r="O2" s="393"/>
      <c r="P2" s="393"/>
      <c r="Q2" s="393"/>
      <c r="R2" s="393"/>
      <c r="S2" s="393"/>
      <c r="T2" s="393"/>
      <c r="U2" s="393"/>
      <c r="V2" s="393"/>
    </row>
    <row r="3" spans="1:22" x14ac:dyDescent="0.25">
      <c r="A3" s="395"/>
      <c r="B3" s="402"/>
      <c r="C3" s="403" t="s">
        <v>308</v>
      </c>
      <c r="D3" s="404"/>
      <c r="E3" s="405"/>
      <c r="F3" s="406">
        <v>9119824.2599999998</v>
      </c>
      <c r="G3" s="407"/>
      <c r="H3" s="408"/>
      <c r="I3" s="409" t="s">
        <v>5</v>
      </c>
      <c r="J3" s="410">
        <v>11999999</v>
      </c>
      <c r="K3" s="409"/>
      <c r="L3" s="409"/>
      <c r="M3" s="411"/>
      <c r="N3" s="393"/>
      <c r="O3" s="393"/>
      <c r="P3" s="393"/>
      <c r="Q3" s="393"/>
      <c r="R3" s="393"/>
      <c r="S3" s="393"/>
      <c r="T3" s="393"/>
      <c r="U3" s="393"/>
      <c r="V3" s="393"/>
    </row>
    <row r="4" spans="1:22" x14ac:dyDescent="0.25">
      <c r="A4" s="395"/>
      <c r="B4" s="402"/>
      <c r="C4" s="403" t="s">
        <v>306</v>
      </c>
      <c r="D4" s="404"/>
      <c r="E4" s="412"/>
      <c r="F4" s="413">
        <f>CF_ContractSum*(1-(CF_Retention/2))</f>
        <v>8891828.6535</v>
      </c>
      <c r="G4" s="413"/>
      <c r="H4" s="408"/>
      <c r="I4" s="409" t="s">
        <v>6</v>
      </c>
      <c r="J4" s="410">
        <v>10000</v>
      </c>
      <c r="K4" s="409"/>
      <c r="L4" s="409"/>
      <c r="M4" s="411"/>
      <c r="N4" s="393"/>
      <c r="O4" s="393"/>
      <c r="P4" s="393"/>
      <c r="Q4" s="393"/>
      <c r="R4" s="393"/>
      <c r="S4" s="393"/>
      <c r="T4" s="393"/>
      <c r="U4" s="393"/>
      <c r="V4" s="393"/>
    </row>
    <row r="5" spans="1:22" x14ac:dyDescent="0.25">
      <c r="A5" s="395"/>
      <c r="B5" s="402"/>
      <c r="C5" s="403"/>
      <c r="D5" s="404"/>
      <c r="E5" s="414"/>
      <c r="F5" s="415"/>
      <c r="G5" s="415"/>
      <c r="H5" s="416" t="s">
        <v>9</v>
      </c>
      <c r="I5" s="417"/>
      <c r="J5" s="418">
        <v>2</v>
      </c>
      <c r="K5" s="409"/>
      <c r="L5" s="409"/>
      <c r="M5" s="411"/>
      <c r="N5" s="393"/>
      <c r="O5" s="393"/>
      <c r="P5" s="393"/>
      <c r="Q5" s="393"/>
      <c r="R5" s="393"/>
      <c r="S5" s="393"/>
      <c r="T5" s="393"/>
      <c r="U5" s="393"/>
      <c r="V5" s="393"/>
    </row>
    <row r="6" spans="1:22" x14ac:dyDescent="0.25">
      <c r="A6" s="395"/>
      <c r="B6" s="402"/>
      <c r="C6" s="403" t="s">
        <v>58</v>
      </c>
      <c r="D6" s="404"/>
      <c r="E6" s="419">
        <v>25</v>
      </c>
      <c r="F6" s="420" t="s">
        <v>98</v>
      </c>
      <c r="G6" s="420"/>
      <c r="H6" s="416" t="s">
        <v>10</v>
      </c>
      <c r="I6" s="417"/>
      <c r="J6" s="418">
        <v>30</v>
      </c>
      <c r="K6" s="409"/>
      <c r="L6" s="409"/>
      <c r="M6" s="411"/>
      <c r="N6" s="393"/>
      <c r="O6" s="393"/>
      <c r="P6" s="393"/>
      <c r="Q6" s="393"/>
      <c r="R6" s="393"/>
      <c r="S6" s="393"/>
      <c r="T6" s="393"/>
      <c r="U6" s="393"/>
      <c r="V6" s="393"/>
    </row>
    <row r="7" spans="1:22" ht="15" x14ac:dyDescent="0.25">
      <c r="A7" s="395"/>
      <c r="B7" s="402"/>
      <c r="C7" s="403" t="s">
        <v>11</v>
      </c>
      <c r="D7" s="404"/>
      <c r="E7" s="421">
        <v>0.05</v>
      </c>
      <c r="F7" s="422"/>
      <c r="G7" s="422"/>
      <c r="H7" s="423" t="s">
        <v>97</v>
      </c>
      <c r="I7" s="424"/>
      <c r="J7" s="425">
        <v>44368</v>
      </c>
      <c r="K7" s="409"/>
      <c r="L7" s="409"/>
      <c r="M7" s="411"/>
      <c r="N7" s="393"/>
      <c r="O7" s="393"/>
      <c r="P7" s="393"/>
      <c r="Q7" s="393"/>
      <c r="R7" s="393"/>
      <c r="S7" s="393"/>
      <c r="T7" s="393"/>
      <c r="U7" s="393"/>
      <c r="V7" s="393"/>
    </row>
    <row r="8" spans="1:22" x14ac:dyDescent="0.25">
      <c r="A8" s="395"/>
      <c r="B8" s="402"/>
      <c r="C8" s="403" t="s">
        <v>59</v>
      </c>
      <c r="D8" s="404"/>
      <c r="E8" s="426">
        <v>26</v>
      </c>
      <c r="F8" s="427"/>
      <c r="G8" s="427"/>
      <c r="H8" s="416" t="s">
        <v>12</v>
      </c>
      <c r="I8" s="417"/>
      <c r="J8" s="428">
        <f>ROUND((CompOnSite-StartOnSite)/7,0)</f>
        <v>109</v>
      </c>
      <c r="K8" s="409" t="s">
        <v>13</v>
      </c>
      <c r="L8" s="409"/>
      <c r="M8" s="411"/>
      <c r="N8" s="393"/>
      <c r="O8" s="393"/>
      <c r="P8" s="393"/>
      <c r="Q8" s="393"/>
      <c r="R8" s="393"/>
      <c r="S8" s="393"/>
      <c r="T8" s="393"/>
      <c r="U8" s="393"/>
      <c r="V8" s="393"/>
    </row>
    <row r="9" spans="1:22" x14ac:dyDescent="0.25">
      <c r="A9" s="395"/>
      <c r="B9" s="402"/>
      <c r="C9" s="429" t="s">
        <v>14</v>
      </c>
      <c r="D9" s="430"/>
      <c r="E9" s="431">
        <v>12</v>
      </c>
      <c r="F9" s="432" t="s">
        <v>8</v>
      </c>
      <c r="G9" s="432"/>
      <c r="H9" s="408"/>
      <c r="I9" s="409" t="s">
        <v>15</v>
      </c>
      <c r="J9" s="433">
        <v>45131</v>
      </c>
      <c r="K9" s="409"/>
      <c r="L9" s="409"/>
      <c r="M9" s="411"/>
      <c r="N9" s="393"/>
      <c r="O9" s="393"/>
      <c r="P9" s="393"/>
      <c r="Q9" s="393"/>
      <c r="R9" s="393"/>
      <c r="S9" s="393"/>
      <c r="T9" s="393"/>
      <c r="U9" s="393"/>
      <c r="V9" s="393"/>
    </row>
    <row r="10" spans="1:22" x14ac:dyDescent="0.25">
      <c r="A10" s="395"/>
      <c r="B10" s="434"/>
      <c r="C10" s="435"/>
      <c r="D10" s="436"/>
      <c r="E10" s="437"/>
      <c r="F10" s="437"/>
      <c r="G10" s="437"/>
      <c r="H10" s="438"/>
      <c r="I10" s="439"/>
      <c r="J10" s="439"/>
      <c r="K10" s="439"/>
      <c r="L10" s="439"/>
      <c r="M10" s="440"/>
      <c r="N10" s="393"/>
      <c r="O10" s="393"/>
      <c r="P10" s="393"/>
      <c r="Q10" s="393"/>
      <c r="R10" s="393"/>
      <c r="S10" s="393"/>
      <c r="T10" s="393"/>
      <c r="U10" s="393"/>
      <c r="V10" s="393"/>
    </row>
    <row r="11" spans="1:22" x14ac:dyDescent="0.25">
      <c r="A11" s="395"/>
      <c r="B11" s="393"/>
      <c r="C11" s="441"/>
      <c r="D11" s="442"/>
      <c r="E11" s="443"/>
      <c r="F11" s="443"/>
      <c r="G11" s="443"/>
      <c r="H11" s="444"/>
      <c r="I11" s="393"/>
      <c r="J11" s="393"/>
      <c r="L11" s="445"/>
      <c r="M11" s="446"/>
      <c r="N11" s="393"/>
      <c r="O11" s="393"/>
      <c r="P11" s="393"/>
      <c r="Q11" s="393"/>
      <c r="R11" s="393"/>
      <c r="S11" s="393"/>
      <c r="T11" s="393"/>
      <c r="U11" s="393"/>
      <c r="V11" s="393"/>
    </row>
    <row r="12" spans="1:22" x14ac:dyDescent="0.25">
      <c r="A12" s="395"/>
      <c r="B12" s="447"/>
      <c r="C12" s="448"/>
      <c r="D12" s="449"/>
      <c r="E12" s="450"/>
      <c r="F12" s="451"/>
      <c r="G12" s="451"/>
      <c r="H12" s="452"/>
      <c r="I12" s="453"/>
      <c r="J12" s="453"/>
      <c r="K12" s="454"/>
      <c r="L12" s="454"/>
      <c r="M12" s="454"/>
      <c r="N12" s="393"/>
      <c r="O12" s="393"/>
      <c r="P12" s="393"/>
      <c r="Q12" s="393"/>
      <c r="R12" s="393"/>
      <c r="S12" s="393"/>
      <c r="T12" s="393"/>
      <c r="U12" s="393"/>
      <c r="V12" s="393"/>
    </row>
    <row r="13" spans="1:22" ht="69" customHeight="1" x14ac:dyDescent="0.25">
      <c r="A13" s="395"/>
      <c r="B13" s="455"/>
      <c r="C13" s="456" t="s">
        <v>16</v>
      </c>
      <c r="D13" s="456" t="s">
        <v>17</v>
      </c>
      <c r="E13" s="456" t="s">
        <v>18</v>
      </c>
      <c r="F13" s="457" t="s">
        <v>19</v>
      </c>
      <c r="G13" s="457" t="s">
        <v>20</v>
      </c>
      <c r="H13" s="456" t="s">
        <v>21</v>
      </c>
      <c r="I13" s="456" t="s">
        <v>22</v>
      </c>
      <c r="J13" s="456" t="s">
        <v>23</v>
      </c>
      <c r="K13" s="456" t="s">
        <v>92</v>
      </c>
      <c r="L13" s="458" t="s">
        <v>307</v>
      </c>
      <c r="M13" s="459" t="s">
        <v>305</v>
      </c>
      <c r="N13" s="393"/>
      <c r="O13" s="393"/>
      <c r="P13" s="393"/>
      <c r="Q13" s="393"/>
      <c r="R13" s="393"/>
      <c r="S13" s="393"/>
      <c r="T13" s="393"/>
      <c r="U13" s="393"/>
      <c r="V13" s="393"/>
    </row>
    <row r="14" spans="1:22" x14ac:dyDescent="0.25">
      <c r="A14" s="395"/>
      <c r="B14" s="460"/>
      <c r="C14" s="461"/>
      <c r="D14" s="462"/>
      <c r="E14" s="462"/>
      <c r="F14" s="463"/>
      <c r="G14" s="463"/>
      <c r="H14" s="462"/>
      <c r="I14" s="462"/>
      <c r="J14" s="462"/>
      <c r="K14" s="464"/>
      <c r="L14" s="393"/>
      <c r="M14" s="465"/>
      <c r="N14" s="393"/>
      <c r="O14" s="393"/>
      <c r="P14" s="393"/>
      <c r="Q14" s="393"/>
      <c r="R14" s="393"/>
      <c r="S14" s="393"/>
      <c r="T14" s="393"/>
      <c r="U14" s="393"/>
      <c r="V14" s="393"/>
    </row>
    <row r="15" spans="1:22" x14ac:dyDescent="0.25">
      <c r="A15" s="466"/>
      <c r="B15" s="460"/>
      <c r="C15" s="467"/>
      <c r="D15" s="468"/>
      <c r="E15" s="468"/>
      <c r="F15" s="469"/>
      <c r="G15" s="469"/>
      <c r="H15" s="468"/>
      <c r="I15" s="468"/>
      <c r="J15" s="468"/>
      <c r="K15" s="470" t="s">
        <v>100</v>
      </c>
      <c r="L15" s="471"/>
      <c r="M15" s="472">
        <f>SUM(M16:M40)</f>
        <v>8891828.6535</v>
      </c>
      <c r="N15" s="393"/>
      <c r="O15" s="393"/>
      <c r="P15" s="393"/>
      <c r="Q15" s="393"/>
      <c r="R15" s="393"/>
      <c r="S15" s="393"/>
      <c r="T15" s="393"/>
      <c r="U15" s="393"/>
      <c r="V15" s="393"/>
    </row>
    <row r="16" spans="1:22" ht="21.75" customHeight="1" x14ac:dyDescent="0.25">
      <c r="A16" s="473"/>
      <c r="B16" s="455"/>
      <c r="C16" s="474">
        <v>1</v>
      </c>
      <c r="D16" s="475">
        <f>StartOnSite+30.5</f>
        <v>44398.5</v>
      </c>
      <c r="E16" s="476">
        <f>IF(D16&gt;$J$9,CF_ContractSum,VLOOKUP(D16,CashFlowCalcs!$H$18:$J$750,3))</f>
        <v>151002.89097365705</v>
      </c>
      <c r="F16" s="477"/>
      <c r="G16" s="477"/>
      <c r="H16" s="476">
        <f>G16*$E$7</f>
        <v>0</v>
      </c>
      <c r="I16" s="476">
        <f>G16-H16</f>
        <v>0</v>
      </c>
      <c r="J16" s="476">
        <v>0</v>
      </c>
      <c r="K16" s="478">
        <f t="shared" ref="K16:K27" si="0">IF($J$1=0,0,(IF(ISBLANK(F16)=FALSE,F16,VLOOKUP(D16,TAB_DATE1toNOOFDAYREM,8))))</f>
        <v>151002.89097365705</v>
      </c>
      <c r="L16" s="479">
        <v>0.97</v>
      </c>
      <c r="M16" s="476">
        <f>K16*L16</f>
        <v>146472.80424444732</v>
      </c>
      <c r="N16" s="480"/>
      <c r="O16" s="393"/>
      <c r="P16" s="393"/>
      <c r="Q16" s="393"/>
      <c r="R16" s="393"/>
      <c r="S16" s="393"/>
      <c r="T16" s="393"/>
      <c r="U16" s="393"/>
      <c r="V16" s="393"/>
    </row>
    <row r="17" spans="1:22" ht="21.75" customHeight="1" x14ac:dyDescent="0.25">
      <c r="A17" s="473"/>
      <c r="B17" s="481"/>
      <c r="C17" s="474">
        <f t="shared" ref="C17:C40" si="1">+C16+1</f>
        <v>2</v>
      </c>
      <c r="D17" s="475">
        <f>D16+30.5+2</f>
        <v>44431</v>
      </c>
      <c r="E17" s="476">
        <f>IF(D17&gt;$J$9,0,VLOOKUP(D17,CashFlowCalcs!$H$18:$J$750,3))</f>
        <v>220919.93816988415</v>
      </c>
      <c r="F17" s="477"/>
      <c r="G17" s="477"/>
      <c r="H17" s="476">
        <f t="shared" ref="H17:H31" si="2">G17*$E$7</f>
        <v>0</v>
      </c>
      <c r="I17" s="476">
        <f t="shared" ref="I17:I40" si="3">G17-H17</f>
        <v>0</v>
      </c>
      <c r="J17" s="476">
        <f>IF(ISBLANK(F17)=TRUE,0,I16)</f>
        <v>0</v>
      </c>
      <c r="K17" s="478">
        <f t="shared" si="0"/>
        <v>220919.93816988415</v>
      </c>
      <c r="L17" s="482">
        <f t="shared" ref="L17:L40" si="4">IF($C17&gt;CF_NoOfVals,1,IF($C17=CF_NoOfVals,1-(CF_Retention/2),1-CF_Retention))</f>
        <v>0.95</v>
      </c>
      <c r="M17" s="476">
        <f t="shared" ref="M17:M40" si="5">IF(C17&gt;CF_NoOfVals,0,IF(C17=1,K17*L17,(K17*L17)-(K16*L16)))</f>
        <v>63401.137016942608</v>
      </c>
      <c r="N17" s="393"/>
      <c r="O17" s="393"/>
      <c r="P17" s="393"/>
      <c r="Q17" s="393"/>
      <c r="R17" s="393"/>
      <c r="S17" s="393"/>
      <c r="T17" s="393"/>
      <c r="U17" s="393"/>
      <c r="V17" s="393"/>
    </row>
    <row r="18" spans="1:22" ht="21.75" customHeight="1" x14ac:dyDescent="0.25">
      <c r="A18" s="473"/>
      <c r="B18" s="481"/>
      <c r="C18" s="474">
        <f t="shared" si="1"/>
        <v>3</v>
      </c>
      <c r="D18" s="475">
        <f>D17+30.5-2</f>
        <v>44459.5</v>
      </c>
      <c r="E18" s="476">
        <f>IF(D18&gt;$J$9,0,VLOOKUP(D18,CashFlowCalcs!$H$18:$J$750,3))</f>
        <v>302964.50024316437</v>
      </c>
      <c r="F18" s="477"/>
      <c r="G18" s="477"/>
      <c r="H18" s="476">
        <f t="shared" si="2"/>
        <v>0</v>
      </c>
      <c r="I18" s="476">
        <f t="shared" si="3"/>
        <v>0</v>
      </c>
      <c r="J18" s="476">
        <f>IF(ISBLANK(F18)=TRUE,0,I17)</f>
        <v>0</v>
      </c>
      <c r="K18" s="478">
        <f t="shared" si="0"/>
        <v>302964.50024316437</v>
      </c>
      <c r="L18" s="482">
        <f t="shared" si="4"/>
        <v>0.95</v>
      </c>
      <c r="M18" s="478">
        <f>IF(C18&gt;CF_NoOfVals,0,IF(C18=1,K18*L18,(K18*L18)-(K17*L17)))</f>
        <v>77942.333969616215</v>
      </c>
      <c r="N18" s="393"/>
      <c r="O18" s="393"/>
      <c r="P18" s="393"/>
      <c r="Q18" s="393"/>
      <c r="R18" s="393"/>
      <c r="S18" s="393"/>
      <c r="T18" s="393"/>
      <c r="U18" s="393"/>
      <c r="V18" s="393"/>
    </row>
    <row r="19" spans="1:22" ht="21.75" customHeight="1" x14ac:dyDescent="0.25">
      <c r="A19" s="473"/>
      <c r="B19" s="481"/>
      <c r="C19" s="474">
        <f t="shared" si="1"/>
        <v>4</v>
      </c>
      <c r="D19" s="475">
        <f>D18+30.5+2+8</f>
        <v>44500</v>
      </c>
      <c r="E19" s="476">
        <f>IF(D19&gt;$J$9,0,VLOOKUP(D19,CashFlowCalcs!$H$18:$J$750,3))</f>
        <v>467159.71578125429</v>
      </c>
      <c r="F19" s="477"/>
      <c r="G19" s="477"/>
      <c r="H19" s="476">
        <f t="shared" si="2"/>
        <v>0</v>
      </c>
      <c r="I19" s="476">
        <f t="shared" si="3"/>
        <v>0</v>
      </c>
      <c r="J19" s="476">
        <f t="shared" ref="J19:J40" si="6">IF(ISBLANK(F19)=TRUE,0,I18)</f>
        <v>0</v>
      </c>
      <c r="K19" s="478">
        <f t="shared" si="0"/>
        <v>467159.71578125429</v>
      </c>
      <c r="L19" s="482">
        <f t="shared" si="4"/>
        <v>0.95</v>
      </c>
      <c r="M19" s="476">
        <f t="shared" si="5"/>
        <v>155985.45476118539</v>
      </c>
      <c r="N19" s="393"/>
      <c r="O19" s="393"/>
      <c r="P19" s="393"/>
      <c r="Q19" s="393"/>
      <c r="R19" s="393"/>
      <c r="S19" s="393"/>
      <c r="T19" s="393"/>
      <c r="U19" s="393"/>
      <c r="V19" s="393"/>
    </row>
    <row r="20" spans="1:22" ht="21.75" customHeight="1" x14ac:dyDescent="0.25">
      <c r="A20" s="473"/>
      <c r="B20" s="481"/>
      <c r="C20" s="474">
        <f t="shared" si="1"/>
        <v>5</v>
      </c>
      <c r="D20" s="475">
        <f>D19+30.5-7</f>
        <v>44523.5</v>
      </c>
      <c r="E20" s="476">
        <f>IF(D20&gt;$J$9,0,VLOOKUP(D20,CashFlowCalcs!$H$18:$J$750,3))</f>
        <v>593977.45560909063</v>
      </c>
      <c r="F20" s="477"/>
      <c r="G20" s="477"/>
      <c r="H20" s="476">
        <f t="shared" si="2"/>
        <v>0</v>
      </c>
      <c r="I20" s="476">
        <f t="shared" si="3"/>
        <v>0</v>
      </c>
      <c r="J20" s="476">
        <f t="shared" si="6"/>
        <v>0</v>
      </c>
      <c r="K20" s="478">
        <f t="shared" si="0"/>
        <v>593977.45560909063</v>
      </c>
      <c r="L20" s="482">
        <f t="shared" si="4"/>
        <v>0.95</v>
      </c>
      <c r="M20" s="476">
        <f t="shared" si="5"/>
        <v>120476.85283644451</v>
      </c>
      <c r="N20" s="393"/>
      <c r="O20" s="393"/>
      <c r="P20" s="393"/>
      <c r="Q20" s="393"/>
      <c r="R20" s="393"/>
      <c r="S20" s="393"/>
      <c r="T20" s="393"/>
      <c r="U20" s="393"/>
      <c r="V20" s="393"/>
    </row>
    <row r="21" spans="1:22" ht="21.75" customHeight="1" x14ac:dyDescent="0.25">
      <c r="A21" s="473"/>
      <c r="B21" s="481"/>
      <c r="C21" s="474">
        <f t="shared" si="1"/>
        <v>6</v>
      </c>
      <c r="D21" s="475">
        <f>D20+30.5-1-2</f>
        <v>44551</v>
      </c>
      <c r="E21" s="476">
        <f>IF(D21&gt;$J$9,0,VLOOKUP(D21,CashFlowCalcs!$H$18:$J$750,3))</f>
        <v>777776.9360969566</v>
      </c>
      <c r="F21" s="477"/>
      <c r="G21" s="477"/>
      <c r="H21" s="476">
        <f t="shared" si="2"/>
        <v>0</v>
      </c>
      <c r="I21" s="476">
        <f t="shared" si="3"/>
        <v>0</v>
      </c>
      <c r="J21" s="476">
        <f t="shared" si="6"/>
        <v>0</v>
      </c>
      <c r="K21" s="478">
        <f t="shared" si="0"/>
        <v>777776.9360969566</v>
      </c>
      <c r="L21" s="482">
        <f t="shared" si="4"/>
        <v>0.95</v>
      </c>
      <c r="M21" s="476">
        <f t="shared" si="5"/>
        <v>174609.50646347273</v>
      </c>
      <c r="N21" s="393"/>
      <c r="O21" s="393"/>
      <c r="P21" s="393"/>
      <c r="Q21" s="393"/>
      <c r="R21" s="393"/>
      <c r="S21" s="393"/>
      <c r="T21" s="393"/>
      <c r="U21" s="393"/>
      <c r="V21" s="393"/>
    </row>
    <row r="22" spans="1:22" ht="21.75" customHeight="1" x14ac:dyDescent="0.25">
      <c r="A22" s="473"/>
      <c r="B22" s="481"/>
      <c r="C22" s="474">
        <f t="shared" si="1"/>
        <v>7</v>
      </c>
      <c r="D22" s="475">
        <f>D21+28+6</f>
        <v>44585</v>
      </c>
      <c r="E22" s="476">
        <f>IF(D22&gt;$J$9,0,VLOOKUP(D22,CashFlowCalcs!$H$18:$J$750,3))</f>
        <v>1055184.7034824584</v>
      </c>
      <c r="F22" s="477"/>
      <c r="G22" s="477"/>
      <c r="H22" s="476">
        <f t="shared" si="2"/>
        <v>0</v>
      </c>
      <c r="I22" s="476">
        <f t="shared" si="3"/>
        <v>0</v>
      </c>
      <c r="J22" s="476">
        <f t="shared" si="6"/>
        <v>0</v>
      </c>
      <c r="K22" s="478">
        <f t="shared" si="0"/>
        <v>1055184.7034824584</v>
      </c>
      <c r="L22" s="482">
        <f t="shared" si="4"/>
        <v>0.95</v>
      </c>
      <c r="M22" s="476">
        <f t="shared" si="5"/>
        <v>263537.37901622662</v>
      </c>
      <c r="N22" s="393"/>
      <c r="O22" s="393"/>
      <c r="P22" s="393"/>
      <c r="Q22" s="393"/>
      <c r="R22" s="393"/>
      <c r="S22" s="393"/>
      <c r="T22" s="393"/>
      <c r="U22" s="393"/>
      <c r="V22" s="393"/>
    </row>
    <row r="23" spans="1:22" ht="21.75" customHeight="1" x14ac:dyDescent="0.25">
      <c r="A23" s="473"/>
      <c r="B23" s="481"/>
      <c r="C23" s="474">
        <f t="shared" si="1"/>
        <v>8</v>
      </c>
      <c r="D23" s="475">
        <f>D22+28</f>
        <v>44613</v>
      </c>
      <c r="E23" s="476">
        <f>IF(D23&gt;$J$9,0,VLOOKUP(D23,CashFlowCalcs!$H$18:$J$750,3))</f>
        <v>1339776.7335241372</v>
      </c>
      <c r="F23" s="477"/>
      <c r="G23" s="477"/>
      <c r="H23" s="476">
        <f t="shared" si="2"/>
        <v>0</v>
      </c>
      <c r="I23" s="476">
        <f t="shared" si="3"/>
        <v>0</v>
      </c>
      <c r="J23" s="476">
        <f t="shared" si="6"/>
        <v>0</v>
      </c>
      <c r="K23" s="478">
        <f t="shared" si="0"/>
        <v>1339776.7335241372</v>
      </c>
      <c r="L23" s="482">
        <f t="shared" si="4"/>
        <v>0.95</v>
      </c>
      <c r="M23" s="476">
        <f t="shared" si="5"/>
        <v>270362.42853959487</v>
      </c>
      <c r="N23" s="393"/>
      <c r="O23" s="393"/>
      <c r="P23" s="393"/>
      <c r="Q23" s="393"/>
      <c r="R23" s="393"/>
      <c r="S23" s="393"/>
      <c r="T23" s="393"/>
      <c r="U23" s="393"/>
      <c r="V23" s="393"/>
    </row>
    <row r="24" spans="1:22" ht="21.75" customHeight="1" x14ac:dyDescent="0.25">
      <c r="A24" s="473"/>
      <c r="B24" s="481"/>
      <c r="C24" s="474">
        <f t="shared" si="1"/>
        <v>9</v>
      </c>
      <c r="D24" s="475">
        <f>D23+28</f>
        <v>44641</v>
      </c>
      <c r="E24" s="476">
        <f>IF(D24&gt;$J$9,0,VLOOKUP(D24,CashFlowCalcs!$H$18:$J$750,3))</f>
        <v>1570385.2192858607</v>
      </c>
      <c r="F24" s="477"/>
      <c r="G24" s="477"/>
      <c r="H24" s="476">
        <f t="shared" si="2"/>
        <v>0</v>
      </c>
      <c r="I24" s="476">
        <f t="shared" si="3"/>
        <v>0</v>
      </c>
      <c r="J24" s="476">
        <f t="shared" si="6"/>
        <v>0</v>
      </c>
      <c r="K24" s="478">
        <f t="shared" si="0"/>
        <v>1570385.2192858607</v>
      </c>
      <c r="L24" s="482">
        <f t="shared" si="4"/>
        <v>0.95</v>
      </c>
      <c r="M24" s="476">
        <f t="shared" si="5"/>
        <v>219078.06147363735</v>
      </c>
      <c r="N24" s="393"/>
      <c r="O24" s="393"/>
      <c r="P24" s="393"/>
      <c r="Q24" s="393"/>
      <c r="R24" s="393"/>
      <c r="S24" s="393"/>
      <c r="T24" s="393"/>
      <c r="U24" s="393"/>
      <c r="V24" s="393"/>
    </row>
    <row r="25" spans="1:22" ht="21.75" customHeight="1" x14ac:dyDescent="0.25">
      <c r="A25" s="473"/>
      <c r="B25" s="481"/>
      <c r="C25" s="474">
        <f t="shared" si="1"/>
        <v>10</v>
      </c>
      <c r="D25" s="475">
        <f>D24+10+1-3</f>
        <v>44649</v>
      </c>
      <c r="E25" s="476">
        <f>IF(D25&gt;$J$9,0,VLOOKUP(D25,CashFlowCalcs!$H$18:$J$750,3))</f>
        <v>1605522.1465269553</v>
      </c>
      <c r="F25" s="477"/>
      <c r="G25" s="477"/>
      <c r="H25" s="476">
        <f t="shared" si="2"/>
        <v>0</v>
      </c>
      <c r="I25" s="476">
        <f t="shared" si="3"/>
        <v>0</v>
      </c>
      <c r="J25" s="476">
        <f t="shared" si="6"/>
        <v>0</v>
      </c>
      <c r="K25" s="478">
        <f t="shared" si="0"/>
        <v>1605522.1465269553</v>
      </c>
      <c r="L25" s="482">
        <f t="shared" si="4"/>
        <v>0.95</v>
      </c>
      <c r="M25" s="476">
        <f t="shared" si="5"/>
        <v>33380.08087903983</v>
      </c>
      <c r="N25" s="393"/>
      <c r="O25" s="393"/>
      <c r="P25" s="393"/>
      <c r="Q25" s="393"/>
      <c r="R25" s="393"/>
      <c r="S25" s="393"/>
      <c r="T25" s="393"/>
      <c r="U25" s="393"/>
      <c r="V25" s="393"/>
    </row>
    <row r="26" spans="1:22" ht="21.75" customHeight="1" x14ac:dyDescent="0.25">
      <c r="A26" s="473"/>
      <c r="B26" s="481"/>
      <c r="C26" s="474">
        <f t="shared" si="1"/>
        <v>11</v>
      </c>
      <c r="D26" s="475">
        <f t="shared" ref="D26:D40" si="7">D25+30.5</f>
        <v>44679.5</v>
      </c>
      <c r="E26" s="476">
        <f>IF(D26&gt;$J$9,0,VLOOKUP(D26,CashFlowCalcs!$H$18:$J$750,3))</f>
        <v>2029144.9532188354</v>
      </c>
      <c r="F26" s="477"/>
      <c r="G26" s="477"/>
      <c r="H26" s="476">
        <f t="shared" si="2"/>
        <v>0</v>
      </c>
      <c r="I26" s="476">
        <f t="shared" si="3"/>
        <v>0</v>
      </c>
      <c r="J26" s="476">
        <f t="shared" si="6"/>
        <v>0</v>
      </c>
      <c r="K26" s="478">
        <f t="shared" si="0"/>
        <v>2029144.9532188354</v>
      </c>
      <c r="L26" s="482">
        <f t="shared" si="4"/>
        <v>0.95</v>
      </c>
      <c r="M26" s="476">
        <f t="shared" si="5"/>
        <v>402441.66635728604</v>
      </c>
      <c r="N26" s="393"/>
      <c r="O26" s="393"/>
      <c r="P26" s="393"/>
      <c r="Q26" s="393"/>
      <c r="R26" s="393"/>
      <c r="S26" s="393"/>
      <c r="T26" s="393"/>
      <c r="U26" s="393"/>
      <c r="V26" s="393"/>
    </row>
    <row r="27" spans="1:22" ht="21.75" customHeight="1" thickBot="1" x14ac:dyDescent="0.3">
      <c r="A27" s="483"/>
      <c r="B27" s="484"/>
      <c r="C27" s="483">
        <f t="shared" si="1"/>
        <v>12</v>
      </c>
      <c r="D27" s="485">
        <f t="shared" si="7"/>
        <v>44710</v>
      </c>
      <c r="E27" s="476">
        <f>IF(D27&gt;$J$9,0,VLOOKUP(D27,CashFlowCalcs!$H$18:$J$750,3))</f>
        <v>2497593.8648828622</v>
      </c>
      <c r="F27" s="486"/>
      <c r="G27" s="486"/>
      <c r="H27" s="487">
        <f t="shared" si="2"/>
        <v>0</v>
      </c>
      <c r="I27" s="487">
        <f t="shared" si="3"/>
        <v>0</v>
      </c>
      <c r="J27" s="487">
        <f t="shared" si="6"/>
        <v>0</v>
      </c>
      <c r="K27" s="488">
        <f t="shared" si="0"/>
        <v>2497593.8648828622</v>
      </c>
      <c r="L27" s="489">
        <f t="shared" si="4"/>
        <v>0.95</v>
      </c>
      <c r="M27" s="487">
        <f t="shared" si="5"/>
        <v>445026.46608082531</v>
      </c>
      <c r="N27" s="393"/>
      <c r="O27" s="393"/>
      <c r="P27" s="393"/>
      <c r="Q27" s="393"/>
      <c r="R27" s="393"/>
      <c r="S27" s="393"/>
      <c r="T27" s="393"/>
      <c r="U27" s="393"/>
      <c r="V27" s="393"/>
    </row>
    <row r="28" spans="1:22" ht="21.75" customHeight="1" thickTop="1" x14ac:dyDescent="0.25">
      <c r="A28" s="467"/>
      <c r="B28" s="490"/>
      <c r="C28" s="467">
        <f t="shared" si="1"/>
        <v>13</v>
      </c>
      <c r="D28" s="491">
        <f t="shared" si="7"/>
        <v>44740.5</v>
      </c>
      <c r="E28" s="476">
        <f>IF(D28&gt;$J$9,0,VLOOKUP(D28,CashFlowCalcs!$H$18:$J$750,3))</f>
        <v>3053752.6006210269</v>
      </c>
      <c r="F28" s="492"/>
      <c r="G28" s="492"/>
      <c r="H28" s="493">
        <f t="shared" si="2"/>
        <v>0</v>
      </c>
      <c r="I28" s="493">
        <f t="shared" si="3"/>
        <v>0</v>
      </c>
      <c r="J28" s="493">
        <f t="shared" si="6"/>
        <v>0</v>
      </c>
      <c r="K28" s="494">
        <f t="shared" ref="K28:K40" si="8">IF($J$1=0,0,(IF(ISBLANK(F28)=FALSE,F28,VLOOKUP(D28,TAB_DATE1toNOOFDAYREM,8))))</f>
        <v>3053752.6006210269</v>
      </c>
      <c r="L28" s="495">
        <f t="shared" si="4"/>
        <v>0.95</v>
      </c>
      <c r="M28" s="493">
        <f t="shared" si="5"/>
        <v>528350.79895125655</v>
      </c>
    </row>
    <row r="29" spans="1:22" ht="21.75" customHeight="1" x14ac:dyDescent="0.25">
      <c r="A29" s="474"/>
      <c r="B29" s="496"/>
      <c r="C29" s="474">
        <f t="shared" si="1"/>
        <v>14</v>
      </c>
      <c r="D29" s="475">
        <f t="shared" si="7"/>
        <v>44771</v>
      </c>
      <c r="E29" s="476">
        <f>IF(D29&gt;$J$9,0,VLOOKUP(D29,CashFlowCalcs!$H$18:$J$750,3))</f>
        <v>3700373.6389624556</v>
      </c>
      <c r="F29" s="477"/>
      <c r="G29" s="477"/>
      <c r="H29" s="476">
        <f t="shared" si="2"/>
        <v>0</v>
      </c>
      <c r="I29" s="476">
        <f t="shared" si="3"/>
        <v>0</v>
      </c>
      <c r="J29" s="476">
        <f t="shared" si="6"/>
        <v>0</v>
      </c>
      <c r="K29" s="478">
        <f t="shared" si="8"/>
        <v>3700373.6389624556</v>
      </c>
      <c r="L29" s="482">
        <f t="shared" si="4"/>
        <v>0.95</v>
      </c>
      <c r="M29" s="476">
        <f t="shared" si="5"/>
        <v>614289.98642435716</v>
      </c>
    </row>
    <row r="30" spans="1:22" ht="21.75" customHeight="1" x14ac:dyDescent="0.25">
      <c r="A30" s="474"/>
      <c r="B30" s="496"/>
      <c r="C30" s="474">
        <f t="shared" si="1"/>
        <v>15</v>
      </c>
      <c r="D30" s="475">
        <f t="shared" si="7"/>
        <v>44801.5</v>
      </c>
      <c r="E30" s="476">
        <f>IF(D30&gt;$J$9,0,VLOOKUP(D30,CashFlowCalcs!$H$18:$J$750,3))</f>
        <v>4307636.0001710653</v>
      </c>
      <c r="F30" s="477"/>
      <c r="G30" s="477"/>
      <c r="H30" s="476">
        <f t="shared" si="2"/>
        <v>0</v>
      </c>
      <c r="I30" s="476">
        <f t="shared" si="3"/>
        <v>0</v>
      </c>
      <c r="J30" s="476">
        <f t="shared" si="6"/>
        <v>0</v>
      </c>
      <c r="K30" s="478">
        <f t="shared" si="8"/>
        <v>4307636.0001710653</v>
      </c>
      <c r="L30" s="482">
        <f t="shared" si="4"/>
        <v>0.95</v>
      </c>
      <c r="M30" s="476">
        <f t="shared" si="5"/>
        <v>576899.24314817926</v>
      </c>
    </row>
    <row r="31" spans="1:22" ht="21.75" customHeight="1" x14ac:dyDescent="0.25">
      <c r="A31" s="474"/>
      <c r="B31" s="496"/>
      <c r="C31" s="474">
        <f t="shared" si="1"/>
        <v>16</v>
      </c>
      <c r="D31" s="475">
        <f t="shared" si="7"/>
        <v>44832</v>
      </c>
      <c r="E31" s="476">
        <f>IF(D31&gt;$J$9,0,VLOOKUP(D31,CashFlowCalcs!$H$18:$J$750,3))</f>
        <v>5042107.8837964162</v>
      </c>
      <c r="F31" s="477"/>
      <c r="G31" s="477"/>
      <c r="H31" s="476">
        <f t="shared" si="2"/>
        <v>0</v>
      </c>
      <c r="I31" s="476">
        <f t="shared" si="3"/>
        <v>0</v>
      </c>
      <c r="J31" s="476">
        <f t="shared" si="6"/>
        <v>0</v>
      </c>
      <c r="K31" s="478">
        <f t="shared" si="8"/>
        <v>5042107.8837964162</v>
      </c>
      <c r="L31" s="482">
        <f t="shared" si="4"/>
        <v>0.95</v>
      </c>
      <c r="M31" s="476">
        <f t="shared" si="5"/>
        <v>697748.28944408381</v>
      </c>
    </row>
    <row r="32" spans="1:22" ht="21.75" customHeight="1" x14ac:dyDescent="0.25">
      <c r="A32" s="474"/>
      <c r="B32" s="496"/>
      <c r="C32" s="474">
        <f t="shared" si="1"/>
        <v>17</v>
      </c>
      <c r="D32" s="475">
        <f t="shared" si="7"/>
        <v>44862.5</v>
      </c>
      <c r="E32" s="476">
        <f>IF(D32&gt;$J$9,0,VLOOKUP(D32,CashFlowCalcs!$H$18:$J$750,3))</f>
        <v>5760837.5087597892</v>
      </c>
      <c r="F32" s="477"/>
      <c r="G32" s="477"/>
      <c r="H32" s="476">
        <f t="shared" ref="H32:H40" si="9">G32*-1*$E$7</f>
        <v>0</v>
      </c>
      <c r="I32" s="476">
        <f t="shared" si="3"/>
        <v>0</v>
      </c>
      <c r="J32" s="476">
        <f t="shared" si="6"/>
        <v>0</v>
      </c>
      <c r="K32" s="478">
        <f t="shared" si="8"/>
        <v>5760837.5087597892</v>
      </c>
      <c r="L32" s="482">
        <f t="shared" si="4"/>
        <v>0.95</v>
      </c>
      <c r="M32" s="476">
        <f t="shared" si="5"/>
        <v>682793.14371520374</v>
      </c>
    </row>
    <row r="33" spans="1:13" ht="21.75" customHeight="1" x14ac:dyDescent="0.25">
      <c r="A33" s="474"/>
      <c r="B33" s="496"/>
      <c r="C33" s="474">
        <f t="shared" si="1"/>
        <v>18</v>
      </c>
      <c r="D33" s="475">
        <f t="shared" si="7"/>
        <v>44893</v>
      </c>
      <c r="E33" s="476">
        <f>IF(D33&gt;$J$9,0,VLOOKUP(D33,CashFlowCalcs!$H$18:$J$750,3))</f>
        <v>6439661.8016614746</v>
      </c>
      <c r="F33" s="477"/>
      <c r="G33" s="477"/>
      <c r="H33" s="476">
        <f t="shared" si="9"/>
        <v>0</v>
      </c>
      <c r="I33" s="476">
        <f t="shared" si="3"/>
        <v>0</v>
      </c>
      <c r="J33" s="476">
        <f t="shared" si="6"/>
        <v>0</v>
      </c>
      <c r="K33" s="478">
        <f t="shared" si="8"/>
        <v>6439661.8016614746</v>
      </c>
      <c r="L33" s="482">
        <f t="shared" si="4"/>
        <v>0.95</v>
      </c>
      <c r="M33" s="476">
        <f t="shared" si="5"/>
        <v>644883.07825660147</v>
      </c>
    </row>
    <row r="34" spans="1:13" ht="21.75" customHeight="1" x14ac:dyDescent="0.25">
      <c r="A34" s="474"/>
      <c r="B34" s="496"/>
      <c r="C34" s="474">
        <f t="shared" si="1"/>
        <v>19</v>
      </c>
      <c r="D34" s="475">
        <f t="shared" si="7"/>
        <v>44923.5</v>
      </c>
      <c r="E34" s="476">
        <f>IF(D34&gt;$J$9,0,VLOOKUP(D34,CashFlowCalcs!$H$18:$J$750,3))</f>
        <v>7117898.827033136</v>
      </c>
      <c r="F34" s="477"/>
      <c r="G34" s="477"/>
      <c r="H34" s="476">
        <f t="shared" si="9"/>
        <v>0</v>
      </c>
      <c r="I34" s="476">
        <f t="shared" si="3"/>
        <v>0</v>
      </c>
      <c r="J34" s="476">
        <f t="shared" si="6"/>
        <v>0</v>
      </c>
      <c r="K34" s="478">
        <f t="shared" si="8"/>
        <v>7117898.827033136</v>
      </c>
      <c r="L34" s="482">
        <f t="shared" si="4"/>
        <v>0.95</v>
      </c>
      <c r="M34" s="476">
        <f t="shared" si="5"/>
        <v>644325.17410307843</v>
      </c>
    </row>
    <row r="35" spans="1:13" ht="21.75" customHeight="1" x14ac:dyDescent="0.25">
      <c r="A35" s="474"/>
      <c r="B35" s="496"/>
      <c r="C35" s="474">
        <f t="shared" si="1"/>
        <v>20</v>
      </c>
      <c r="D35" s="475">
        <f t="shared" si="7"/>
        <v>44954</v>
      </c>
      <c r="E35" s="476">
        <f>IF(D35&gt;$J$9,0,VLOOKUP(D35,CashFlowCalcs!$H$18:$J$750,3))</f>
        <v>7735367.0635894369</v>
      </c>
      <c r="F35" s="477"/>
      <c r="G35" s="477"/>
      <c r="H35" s="476">
        <f t="shared" si="9"/>
        <v>0</v>
      </c>
      <c r="I35" s="476">
        <f t="shared" si="3"/>
        <v>0</v>
      </c>
      <c r="J35" s="476">
        <f t="shared" si="6"/>
        <v>0</v>
      </c>
      <c r="K35" s="478">
        <f t="shared" si="8"/>
        <v>7735367.0635894369</v>
      </c>
      <c r="L35" s="482">
        <f t="shared" si="4"/>
        <v>0.95</v>
      </c>
      <c r="M35" s="476">
        <f t="shared" si="5"/>
        <v>586594.8247284852</v>
      </c>
    </row>
    <row r="36" spans="1:13" ht="21.75" customHeight="1" x14ac:dyDescent="0.25">
      <c r="A36" s="474"/>
      <c r="B36" s="496"/>
      <c r="C36" s="474">
        <f t="shared" si="1"/>
        <v>21</v>
      </c>
      <c r="D36" s="475">
        <f t="shared" si="7"/>
        <v>44984.5</v>
      </c>
      <c r="E36" s="476">
        <f>IF(D36&gt;$J$9,0,VLOOKUP(D36,CashFlowCalcs!$H$18:$J$750,3))</f>
        <v>8243323.9292331412</v>
      </c>
      <c r="F36" s="477"/>
      <c r="G36" s="477"/>
      <c r="H36" s="476">
        <f t="shared" si="9"/>
        <v>0</v>
      </c>
      <c r="I36" s="476">
        <f t="shared" si="3"/>
        <v>0</v>
      </c>
      <c r="J36" s="476">
        <f t="shared" si="6"/>
        <v>0</v>
      </c>
      <c r="K36" s="478">
        <f t="shared" si="8"/>
        <v>8243323.9292331412</v>
      </c>
      <c r="L36" s="482">
        <f t="shared" si="4"/>
        <v>0.95</v>
      </c>
      <c r="M36" s="476">
        <f t="shared" si="5"/>
        <v>482559.02236151975</v>
      </c>
    </row>
    <row r="37" spans="1:13" ht="21.75" customHeight="1" x14ac:dyDescent="0.25">
      <c r="A37" s="474"/>
      <c r="B37" s="496"/>
      <c r="C37" s="474">
        <f t="shared" si="1"/>
        <v>22</v>
      </c>
      <c r="D37" s="475">
        <f t="shared" si="7"/>
        <v>45015</v>
      </c>
      <c r="E37" s="476">
        <f>IF(D37&gt;$J$9,0,VLOOKUP(D37,CashFlowCalcs!$H$18:$J$750,3))</f>
        <v>8508262.0601410866</v>
      </c>
      <c r="F37" s="477"/>
      <c r="G37" s="477"/>
      <c r="H37" s="476">
        <f t="shared" si="9"/>
        <v>0</v>
      </c>
      <c r="I37" s="476">
        <f t="shared" si="3"/>
        <v>0</v>
      </c>
      <c r="J37" s="476">
        <f t="shared" si="6"/>
        <v>0</v>
      </c>
      <c r="K37" s="478">
        <f t="shared" si="8"/>
        <v>8508262.0601410866</v>
      </c>
      <c r="L37" s="482">
        <f t="shared" si="4"/>
        <v>0.95</v>
      </c>
      <c r="M37" s="476">
        <f t="shared" si="5"/>
        <v>251691.22436254751</v>
      </c>
    </row>
    <row r="38" spans="1:13" ht="21.75" customHeight="1" x14ac:dyDescent="0.25">
      <c r="A38" s="474"/>
      <c r="B38" s="496"/>
      <c r="C38" s="474">
        <f t="shared" si="1"/>
        <v>23</v>
      </c>
      <c r="D38" s="475">
        <f t="shared" si="7"/>
        <v>45045.5</v>
      </c>
      <c r="E38" s="476">
        <f>IF(D38&gt;$J$9,0,VLOOKUP(D38,CashFlowCalcs!$H$18:$J$750,3))</f>
        <v>8843115.8658597786</v>
      </c>
      <c r="F38" s="477"/>
      <c r="G38" s="477"/>
      <c r="H38" s="476">
        <f t="shared" si="9"/>
        <v>0</v>
      </c>
      <c r="I38" s="476">
        <f t="shared" si="3"/>
        <v>0</v>
      </c>
      <c r="J38" s="476">
        <f t="shared" si="6"/>
        <v>0</v>
      </c>
      <c r="K38" s="478">
        <f t="shared" si="8"/>
        <v>8843115.8658597786</v>
      </c>
      <c r="L38" s="482">
        <f t="shared" si="4"/>
        <v>0.95</v>
      </c>
      <c r="M38" s="476">
        <f t="shared" si="5"/>
        <v>318111.11543275695</v>
      </c>
    </row>
    <row r="39" spans="1:13" ht="21.75" customHeight="1" x14ac:dyDescent="0.25">
      <c r="A39" s="474"/>
      <c r="B39" s="496"/>
      <c r="C39" s="474">
        <f t="shared" si="1"/>
        <v>24</v>
      </c>
      <c r="D39" s="475">
        <f t="shared" si="7"/>
        <v>45076</v>
      </c>
      <c r="E39" s="476">
        <f>IF(D39&gt;$J$9,0,VLOOKUP(D39,CashFlowCalcs!$H$18:$J$750,3))</f>
        <v>9056819.4450464156</v>
      </c>
      <c r="F39" s="477"/>
      <c r="G39" s="477"/>
      <c r="H39" s="476">
        <f t="shared" si="9"/>
        <v>0</v>
      </c>
      <c r="I39" s="476">
        <f t="shared" si="3"/>
        <v>0</v>
      </c>
      <c r="J39" s="476">
        <f t="shared" si="6"/>
        <v>0</v>
      </c>
      <c r="K39" s="478">
        <f t="shared" si="8"/>
        <v>9056819.4450464156</v>
      </c>
      <c r="L39" s="482">
        <f t="shared" si="4"/>
        <v>0.95</v>
      </c>
      <c r="M39" s="476">
        <f t="shared" si="5"/>
        <v>203018.40022730641</v>
      </c>
    </row>
    <row r="40" spans="1:13" ht="21.75" customHeight="1" x14ac:dyDescent="0.25">
      <c r="A40" s="474"/>
      <c r="B40" s="496"/>
      <c r="C40" s="474">
        <f t="shared" si="1"/>
        <v>25</v>
      </c>
      <c r="D40" s="475">
        <f t="shared" si="7"/>
        <v>45106.5</v>
      </c>
      <c r="E40" s="476">
        <f>IF(D40&gt;$J$9,0,VLOOKUP(D40,CashFlowCalcs!$H$18:$J$750,3))</f>
        <v>9119824.2599999998</v>
      </c>
      <c r="F40" s="477"/>
      <c r="G40" s="477"/>
      <c r="H40" s="476">
        <f t="shared" si="9"/>
        <v>0</v>
      </c>
      <c r="I40" s="476">
        <f t="shared" si="3"/>
        <v>0</v>
      </c>
      <c r="J40" s="476">
        <f t="shared" si="6"/>
        <v>0</v>
      </c>
      <c r="K40" s="478">
        <f t="shared" si="8"/>
        <v>9119824.2599999998</v>
      </c>
      <c r="L40" s="482">
        <f t="shared" si="4"/>
        <v>0.97499999999999998</v>
      </c>
      <c r="M40" s="476">
        <f t="shared" si="5"/>
        <v>287850.18070590496</v>
      </c>
    </row>
    <row r="41" spans="1:13" ht="21.75" customHeight="1" x14ac:dyDescent="0.25">
      <c r="A41" s="497"/>
      <c r="B41" s="498"/>
      <c r="C41" s="497"/>
      <c r="D41" s="499"/>
      <c r="E41" s="500"/>
      <c r="F41" s="501"/>
      <c r="G41" s="501"/>
      <c r="H41" s="500"/>
      <c r="I41" s="500"/>
      <c r="J41" s="500"/>
      <c r="K41" s="502"/>
      <c r="L41" s="503"/>
      <c r="M41" s="500"/>
    </row>
    <row r="42" spans="1:13" x14ac:dyDescent="0.25">
      <c r="C42" s="504"/>
      <c r="D42" s="504"/>
      <c r="E42" s="505"/>
      <c r="F42" s="505"/>
      <c r="G42" s="505"/>
    </row>
    <row r="43" spans="1:13" x14ac:dyDescent="0.25">
      <c r="C43" s="504"/>
      <c r="D43" s="504"/>
      <c r="E43" s="505"/>
      <c r="F43" s="505"/>
      <c r="G43" s="505"/>
    </row>
    <row r="44" spans="1:13" x14ac:dyDescent="0.25">
      <c r="C44" s="504"/>
      <c r="D44" s="507"/>
      <c r="E44" s="505"/>
      <c r="F44" s="394"/>
      <c r="G44" s="505"/>
    </row>
    <row r="45" spans="1:13" x14ac:dyDescent="0.25">
      <c r="C45" s="504"/>
      <c r="E45" s="394"/>
      <c r="F45" s="394"/>
      <c r="G45" s="394"/>
      <c r="H45" s="394"/>
    </row>
  </sheetData>
  <mergeCells count="5">
    <mergeCell ref="E1:H1"/>
    <mergeCell ref="H5:I5"/>
    <mergeCell ref="H6:I6"/>
    <mergeCell ref="H7:I7"/>
    <mergeCell ref="H8:I8"/>
  </mergeCells>
  <pageMargins left="0.70866141732283472" right="0.70866141732283472" top="0.74803149606299213" bottom="0.74803149606299213" header="0.31496062992125984" footer="0.31496062992125984"/>
  <pageSetup paperSize="8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pageSetUpPr fitToPage="1"/>
  </sheetPr>
  <dimension ref="B1:M45"/>
  <sheetViews>
    <sheetView zoomScale="75" zoomScaleNormal="75" workbookViewId="0">
      <selection activeCell="J1" sqref="J1"/>
    </sheetView>
  </sheetViews>
  <sheetFormatPr defaultRowHeight="12.75" x14ac:dyDescent="0.2"/>
  <cols>
    <col min="1" max="1" width="1.7109375" style="8" customWidth="1"/>
    <col min="2" max="2" width="3.140625" style="8" customWidth="1"/>
    <col min="3" max="3" width="4.7109375" style="8" customWidth="1"/>
    <col min="4" max="4" width="15.85546875" style="8" customWidth="1"/>
    <col min="5" max="5" width="12.7109375" style="55" customWidth="1"/>
    <col min="6" max="6" width="17.85546875" style="55" customWidth="1"/>
    <col min="7" max="7" width="15.140625" style="55" customWidth="1"/>
    <col min="8" max="8" width="10.7109375" style="55" customWidth="1"/>
    <col min="9" max="9" width="10.85546875" style="8" customWidth="1"/>
    <col min="10" max="10" width="13" style="8" customWidth="1"/>
    <col min="11" max="11" width="11.5703125" style="8" customWidth="1"/>
    <col min="12" max="12" width="11.42578125" style="8" customWidth="1"/>
    <col min="13" max="13" width="0" style="8" hidden="1" customWidth="1"/>
    <col min="14" max="20" width="9.140625" style="8"/>
    <col min="21" max="33" width="10.7109375" style="8" customWidth="1"/>
    <col min="34" max="252" width="9.140625" style="8"/>
    <col min="253" max="254" width="1.7109375" style="8" customWidth="1"/>
    <col min="255" max="255" width="4.7109375" style="8" customWidth="1"/>
    <col min="256" max="257" width="10.7109375" style="8" customWidth="1"/>
    <col min="258" max="258" width="8.42578125" style="8" customWidth="1"/>
    <col min="259" max="259" width="10.7109375" style="8" customWidth="1"/>
    <col min="260" max="260" width="21.7109375" style="8" customWidth="1"/>
    <col min="261" max="262" width="10.7109375" style="8" customWidth="1"/>
    <col min="263" max="264" width="1.7109375" style="8" customWidth="1"/>
    <col min="265" max="289" width="10.7109375" style="8" customWidth="1"/>
    <col min="290" max="508" width="9.140625" style="8"/>
    <col min="509" max="510" width="1.7109375" style="8" customWidth="1"/>
    <col min="511" max="511" width="4.7109375" style="8" customWidth="1"/>
    <col min="512" max="513" width="10.7109375" style="8" customWidth="1"/>
    <col min="514" max="514" width="8.42578125" style="8" customWidth="1"/>
    <col min="515" max="515" width="10.7109375" style="8" customWidth="1"/>
    <col min="516" max="516" width="21.7109375" style="8" customWidth="1"/>
    <col min="517" max="518" width="10.7109375" style="8" customWidth="1"/>
    <col min="519" max="520" width="1.7109375" style="8" customWidth="1"/>
    <col min="521" max="545" width="10.7109375" style="8" customWidth="1"/>
    <col min="546" max="764" width="9.140625" style="8"/>
    <col min="765" max="766" width="1.7109375" style="8" customWidth="1"/>
    <col min="767" max="767" width="4.7109375" style="8" customWidth="1"/>
    <col min="768" max="769" width="10.7109375" style="8" customWidth="1"/>
    <col min="770" max="770" width="8.42578125" style="8" customWidth="1"/>
    <col min="771" max="771" width="10.7109375" style="8" customWidth="1"/>
    <col min="772" max="772" width="21.7109375" style="8" customWidth="1"/>
    <col min="773" max="774" width="10.7109375" style="8" customWidth="1"/>
    <col min="775" max="776" width="1.7109375" style="8" customWidth="1"/>
    <col min="777" max="801" width="10.7109375" style="8" customWidth="1"/>
    <col min="802" max="1020" width="9.140625" style="8"/>
    <col min="1021" max="1022" width="1.7109375" style="8" customWidth="1"/>
    <col min="1023" max="1023" width="4.7109375" style="8" customWidth="1"/>
    <col min="1024" max="1025" width="10.7109375" style="8" customWidth="1"/>
    <col min="1026" max="1026" width="8.42578125" style="8" customWidth="1"/>
    <col min="1027" max="1027" width="10.7109375" style="8" customWidth="1"/>
    <col min="1028" max="1028" width="21.7109375" style="8" customWidth="1"/>
    <col min="1029" max="1030" width="10.7109375" style="8" customWidth="1"/>
    <col min="1031" max="1032" width="1.7109375" style="8" customWidth="1"/>
    <col min="1033" max="1057" width="10.7109375" style="8" customWidth="1"/>
    <col min="1058" max="1276" width="9.140625" style="8"/>
    <col min="1277" max="1278" width="1.7109375" style="8" customWidth="1"/>
    <col min="1279" max="1279" width="4.7109375" style="8" customWidth="1"/>
    <col min="1280" max="1281" width="10.7109375" style="8" customWidth="1"/>
    <col min="1282" max="1282" width="8.42578125" style="8" customWidth="1"/>
    <col min="1283" max="1283" width="10.7109375" style="8" customWidth="1"/>
    <col min="1284" max="1284" width="21.7109375" style="8" customWidth="1"/>
    <col min="1285" max="1286" width="10.7109375" style="8" customWidth="1"/>
    <col min="1287" max="1288" width="1.7109375" style="8" customWidth="1"/>
    <col min="1289" max="1313" width="10.7109375" style="8" customWidth="1"/>
    <col min="1314" max="1532" width="9.140625" style="8"/>
    <col min="1533" max="1534" width="1.7109375" style="8" customWidth="1"/>
    <col min="1535" max="1535" width="4.7109375" style="8" customWidth="1"/>
    <col min="1536" max="1537" width="10.7109375" style="8" customWidth="1"/>
    <col min="1538" max="1538" width="8.42578125" style="8" customWidth="1"/>
    <col min="1539" max="1539" width="10.7109375" style="8" customWidth="1"/>
    <col min="1540" max="1540" width="21.7109375" style="8" customWidth="1"/>
    <col min="1541" max="1542" width="10.7109375" style="8" customWidth="1"/>
    <col min="1543" max="1544" width="1.7109375" style="8" customWidth="1"/>
    <col min="1545" max="1569" width="10.7109375" style="8" customWidth="1"/>
    <col min="1570" max="1788" width="9.140625" style="8"/>
    <col min="1789" max="1790" width="1.7109375" style="8" customWidth="1"/>
    <col min="1791" max="1791" width="4.7109375" style="8" customWidth="1"/>
    <col min="1792" max="1793" width="10.7109375" style="8" customWidth="1"/>
    <col min="1794" max="1794" width="8.42578125" style="8" customWidth="1"/>
    <col min="1795" max="1795" width="10.7109375" style="8" customWidth="1"/>
    <col min="1796" max="1796" width="21.7109375" style="8" customWidth="1"/>
    <col min="1797" max="1798" width="10.7109375" style="8" customWidth="1"/>
    <col min="1799" max="1800" width="1.7109375" style="8" customWidth="1"/>
    <col min="1801" max="1825" width="10.7109375" style="8" customWidth="1"/>
    <col min="1826" max="2044" width="9.140625" style="8"/>
    <col min="2045" max="2046" width="1.7109375" style="8" customWidth="1"/>
    <col min="2047" max="2047" width="4.7109375" style="8" customWidth="1"/>
    <col min="2048" max="2049" width="10.7109375" style="8" customWidth="1"/>
    <col min="2050" max="2050" width="8.42578125" style="8" customWidth="1"/>
    <col min="2051" max="2051" width="10.7109375" style="8" customWidth="1"/>
    <col min="2052" max="2052" width="21.7109375" style="8" customWidth="1"/>
    <col min="2053" max="2054" width="10.7109375" style="8" customWidth="1"/>
    <col min="2055" max="2056" width="1.7109375" style="8" customWidth="1"/>
    <col min="2057" max="2081" width="10.7109375" style="8" customWidth="1"/>
    <col min="2082" max="2300" width="9.140625" style="8"/>
    <col min="2301" max="2302" width="1.7109375" style="8" customWidth="1"/>
    <col min="2303" max="2303" width="4.7109375" style="8" customWidth="1"/>
    <col min="2304" max="2305" width="10.7109375" style="8" customWidth="1"/>
    <col min="2306" max="2306" width="8.42578125" style="8" customWidth="1"/>
    <col min="2307" max="2307" width="10.7109375" style="8" customWidth="1"/>
    <col min="2308" max="2308" width="21.7109375" style="8" customWidth="1"/>
    <col min="2309" max="2310" width="10.7109375" style="8" customWidth="1"/>
    <col min="2311" max="2312" width="1.7109375" style="8" customWidth="1"/>
    <col min="2313" max="2337" width="10.7109375" style="8" customWidth="1"/>
    <col min="2338" max="2556" width="9.140625" style="8"/>
    <col min="2557" max="2558" width="1.7109375" style="8" customWidth="1"/>
    <col min="2559" max="2559" width="4.7109375" style="8" customWidth="1"/>
    <col min="2560" max="2561" width="10.7109375" style="8" customWidth="1"/>
    <col min="2562" max="2562" width="8.42578125" style="8" customWidth="1"/>
    <col min="2563" max="2563" width="10.7109375" style="8" customWidth="1"/>
    <col min="2564" max="2564" width="21.7109375" style="8" customWidth="1"/>
    <col min="2565" max="2566" width="10.7109375" style="8" customWidth="1"/>
    <col min="2567" max="2568" width="1.7109375" style="8" customWidth="1"/>
    <col min="2569" max="2593" width="10.7109375" style="8" customWidth="1"/>
    <col min="2594" max="2812" width="9.140625" style="8"/>
    <col min="2813" max="2814" width="1.7109375" style="8" customWidth="1"/>
    <col min="2815" max="2815" width="4.7109375" style="8" customWidth="1"/>
    <col min="2816" max="2817" width="10.7109375" style="8" customWidth="1"/>
    <col min="2818" max="2818" width="8.42578125" style="8" customWidth="1"/>
    <col min="2819" max="2819" width="10.7109375" style="8" customWidth="1"/>
    <col min="2820" max="2820" width="21.7109375" style="8" customWidth="1"/>
    <col min="2821" max="2822" width="10.7109375" style="8" customWidth="1"/>
    <col min="2823" max="2824" width="1.7109375" style="8" customWidth="1"/>
    <col min="2825" max="2849" width="10.7109375" style="8" customWidth="1"/>
    <col min="2850" max="3068" width="9.140625" style="8"/>
    <col min="3069" max="3070" width="1.7109375" style="8" customWidth="1"/>
    <col min="3071" max="3071" width="4.7109375" style="8" customWidth="1"/>
    <col min="3072" max="3073" width="10.7109375" style="8" customWidth="1"/>
    <col min="3074" max="3074" width="8.42578125" style="8" customWidth="1"/>
    <col min="3075" max="3075" width="10.7109375" style="8" customWidth="1"/>
    <col min="3076" max="3076" width="21.7109375" style="8" customWidth="1"/>
    <col min="3077" max="3078" width="10.7109375" style="8" customWidth="1"/>
    <col min="3079" max="3080" width="1.7109375" style="8" customWidth="1"/>
    <col min="3081" max="3105" width="10.7109375" style="8" customWidth="1"/>
    <col min="3106" max="3324" width="9.140625" style="8"/>
    <col min="3325" max="3326" width="1.7109375" style="8" customWidth="1"/>
    <col min="3327" max="3327" width="4.7109375" style="8" customWidth="1"/>
    <col min="3328" max="3329" width="10.7109375" style="8" customWidth="1"/>
    <col min="3330" max="3330" width="8.42578125" style="8" customWidth="1"/>
    <col min="3331" max="3331" width="10.7109375" style="8" customWidth="1"/>
    <col min="3332" max="3332" width="21.7109375" style="8" customWidth="1"/>
    <col min="3333" max="3334" width="10.7109375" style="8" customWidth="1"/>
    <col min="3335" max="3336" width="1.7109375" style="8" customWidth="1"/>
    <col min="3337" max="3361" width="10.7109375" style="8" customWidth="1"/>
    <col min="3362" max="3580" width="9.140625" style="8"/>
    <col min="3581" max="3582" width="1.7109375" style="8" customWidth="1"/>
    <col min="3583" max="3583" width="4.7109375" style="8" customWidth="1"/>
    <col min="3584" max="3585" width="10.7109375" style="8" customWidth="1"/>
    <col min="3586" max="3586" width="8.42578125" style="8" customWidth="1"/>
    <col min="3587" max="3587" width="10.7109375" style="8" customWidth="1"/>
    <col min="3588" max="3588" width="21.7109375" style="8" customWidth="1"/>
    <col min="3589" max="3590" width="10.7109375" style="8" customWidth="1"/>
    <col min="3591" max="3592" width="1.7109375" style="8" customWidth="1"/>
    <col min="3593" max="3617" width="10.7109375" style="8" customWidth="1"/>
    <col min="3618" max="3836" width="9.140625" style="8"/>
    <col min="3837" max="3838" width="1.7109375" style="8" customWidth="1"/>
    <col min="3839" max="3839" width="4.7109375" style="8" customWidth="1"/>
    <col min="3840" max="3841" width="10.7109375" style="8" customWidth="1"/>
    <col min="3842" max="3842" width="8.42578125" style="8" customWidth="1"/>
    <col min="3843" max="3843" width="10.7109375" style="8" customWidth="1"/>
    <col min="3844" max="3844" width="21.7109375" style="8" customWidth="1"/>
    <col min="3845" max="3846" width="10.7109375" style="8" customWidth="1"/>
    <col min="3847" max="3848" width="1.7109375" style="8" customWidth="1"/>
    <col min="3849" max="3873" width="10.7109375" style="8" customWidth="1"/>
    <col min="3874" max="4092" width="9.140625" style="8"/>
    <col min="4093" max="4094" width="1.7109375" style="8" customWidth="1"/>
    <col min="4095" max="4095" width="4.7109375" style="8" customWidth="1"/>
    <col min="4096" max="4097" width="10.7109375" style="8" customWidth="1"/>
    <col min="4098" max="4098" width="8.42578125" style="8" customWidth="1"/>
    <col min="4099" max="4099" width="10.7109375" style="8" customWidth="1"/>
    <col min="4100" max="4100" width="21.7109375" style="8" customWidth="1"/>
    <col min="4101" max="4102" width="10.7109375" style="8" customWidth="1"/>
    <col min="4103" max="4104" width="1.7109375" style="8" customWidth="1"/>
    <col min="4105" max="4129" width="10.7109375" style="8" customWidth="1"/>
    <col min="4130" max="4348" width="9.140625" style="8"/>
    <col min="4349" max="4350" width="1.7109375" style="8" customWidth="1"/>
    <col min="4351" max="4351" width="4.7109375" style="8" customWidth="1"/>
    <col min="4352" max="4353" width="10.7109375" style="8" customWidth="1"/>
    <col min="4354" max="4354" width="8.42578125" style="8" customWidth="1"/>
    <col min="4355" max="4355" width="10.7109375" style="8" customWidth="1"/>
    <col min="4356" max="4356" width="21.7109375" style="8" customWidth="1"/>
    <col min="4357" max="4358" width="10.7109375" style="8" customWidth="1"/>
    <col min="4359" max="4360" width="1.7109375" style="8" customWidth="1"/>
    <col min="4361" max="4385" width="10.7109375" style="8" customWidth="1"/>
    <col min="4386" max="4604" width="9.140625" style="8"/>
    <col min="4605" max="4606" width="1.7109375" style="8" customWidth="1"/>
    <col min="4607" max="4607" width="4.7109375" style="8" customWidth="1"/>
    <col min="4608" max="4609" width="10.7109375" style="8" customWidth="1"/>
    <col min="4610" max="4610" width="8.42578125" style="8" customWidth="1"/>
    <col min="4611" max="4611" width="10.7109375" style="8" customWidth="1"/>
    <col min="4612" max="4612" width="21.7109375" style="8" customWidth="1"/>
    <col min="4613" max="4614" width="10.7109375" style="8" customWidth="1"/>
    <col min="4615" max="4616" width="1.7109375" style="8" customWidth="1"/>
    <col min="4617" max="4641" width="10.7109375" style="8" customWidth="1"/>
    <col min="4642" max="4860" width="9.140625" style="8"/>
    <col min="4861" max="4862" width="1.7109375" style="8" customWidth="1"/>
    <col min="4863" max="4863" width="4.7109375" style="8" customWidth="1"/>
    <col min="4864" max="4865" width="10.7109375" style="8" customWidth="1"/>
    <col min="4866" max="4866" width="8.42578125" style="8" customWidth="1"/>
    <col min="4867" max="4867" width="10.7109375" style="8" customWidth="1"/>
    <col min="4868" max="4868" width="21.7109375" style="8" customWidth="1"/>
    <col min="4869" max="4870" width="10.7109375" style="8" customWidth="1"/>
    <col min="4871" max="4872" width="1.7109375" style="8" customWidth="1"/>
    <col min="4873" max="4897" width="10.7109375" style="8" customWidth="1"/>
    <col min="4898" max="5116" width="9.140625" style="8"/>
    <col min="5117" max="5118" width="1.7109375" style="8" customWidth="1"/>
    <col min="5119" max="5119" width="4.7109375" style="8" customWidth="1"/>
    <col min="5120" max="5121" width="10.7109375" style="8" customWidth="1"/>
    <col min="5122" max="5122" width="8.42578125" style="8" customWidth="1"/>
    <col min="5123" max="5123" width="10.7109375" style="8" customWidth="1"/>
    <col min="5124" max="5124" width="21.7109375" style="8" customWidth="1"/>
    <col min="5125" max="5126" width="10.7109375" style="8" customWidth="1"/>
    <col min="5127" max="5128" width="1.7109375" style="8" customWidth="1"/>
    <col min="5129" max="5153" width="10.7109375" style="8" customWidth="1"/>
    <col min="5154" max="5372" width="9.140625" style="8"/>
    <col min="5373" max="5374" width="1.7109375" style="8" customWidth="1"/>
    <col min="5375" max="5375" width="4.7109375" style="8" customWidth="1"/>
    <col min="5376" max="5377" width="10.7109375" style="8" customWidth="1"/>
    <col min="5378" max="5378" width="8.42578125" style="8" customWidth="1"/>
    <col min="5379" max="5379" width="10.7109375" style="8" customWidth="1"/>
    <col min="5380" max="5380" width="21.7109375" style="8" customWidth="1"/>
    <col min="5381" max="5382" width="10.7109375" style="8" customWidth="1"/>
    <col min="5383" max="5384" width="1.7109375" style="8" customWidth="1"/>
    <col min="5385" max="5409" width="10.7109375" style="8" customWidth="1"/>
    <col min="5410" max="5628" width="9.140625" style="8"/>
    <col min="5629" max="5630" width="1.7109375" style="8" customWidth="1"/>
    <col min="5631" max="5631" width="4.7109375" style="8" customWidth="1"/>
    <col min="5632" max="5633" width="10.7109375" style="8" customWidth="1"/>
    <col min="5634" max="5634" width="8.42578125" style="8" customWidth="1"/>
    <col min="5635" max="5635" width="10.7109375" style="8" customWidth="1"/>
    <col min="5636" max="5636" width="21.7109375" style="8" customWidth="1"/>
    <col min="5637" max="5638" width="10.7109375" style="8" customWidth="1"/>
    <col min="5639" max="5640" width="1.7109375" style="8" customWidth="1"/>
    <col min="5641" max="5665" width="10.7109375" style="8" customWidth="1"/>
    <col min="5666" max="5884" width="9.140625" style="8"/>
    <col min="5885" max="5886" width="1.7109375" style="8" customWidth="1"/>
    <col min="5887" max="5887" width="4.7109375" style="8" customWidth="1"/>
    <col min="5888" max="5889" width="10.7109375" style="8" customWidth="1"/>
    <col min="5890" max="5890" width="8.42578125" style="8" customWidth="1"/>
    <col min="5891" max="5891" width="10.7109375" style="8" customWidth="1"/>
    <col min="5892" max="5892" width="21.7109375" style="8" customWidth="1"/>
    <col min="5893" max="5894" width="10.7109375" style="8" customWidth="1"/>
    <col min="5895" max="5896" width="1.7109375" style="8" customWidth="1"/>
    <col min="5897" max="5921" width="10.7109375" style="8" customWidth="1"/>
    <col min="5922" max="6140" width="9.140625" style="8"/>
    <col min="6141" max="6142" width="1.7109375" style="8" customWidth="1"/>
    <col min="6143" max="6143" width="4.7109375" style="8" customWidth="1"/>
    <col min="6144" max="6145" width="10.7109375" style="8" customWidth="1"/>
    <col min="6146" max="6146" width="8.42578125" style="8" customWidth="1"/>
    <col min="6147" max="6147" width="10.7109375" style="8" customWidth="1"/>
    <col min="6148" max="6148" width="21.7109375" style="8" customWidth="1"/>
    <col min="6149" max="6150" width="10.7109375" style="8" customWidth="1"/>
    <col min="6151" max="6152" width="1.7109375" style="8" customWidth="1"/>
    <col min="6153" max="6177" width="10.7109375" style="8" customWidth="1"/>
    <col min="6178" max="6396" width="9.140625" style="8"/>
    <col min="6397" max="6398" width="1.7109375" style="8" customWidth="1"/>
    <col min="6399" max="6399" width="4.7109375" style="8" customWidth="1"/>
    <col min="6400" max="6401" width="10.7109375" style="8" customWidth="1"/>
    <col min="6402" max="6402" width="8.42578125" style="8" customWidth="1"/>
    <col min="6403" max="6403" width="10.7109375" style="8" customWidth="1"/>
    <col min="6404" max="6404" width="21.7109375" style="8" customWidth="1"/>
    <col min="6405" max="6406" width="10.7109375" style="8" customWidth="1"/>
    <col min="6407" max="6408" width="1.7109375" style="8" customWidth="1"/>
    <col min="6409" max="6433" width="10.7109375" style="8" customWidth="1"/>
    <col min="6434" max="6652" width="9.140625" style="8"/>
    <col min="6653" max="6654" width="1.7109375" style="8" customWidth="1"/>
    <col min="6655" max="6655" width="4.7109375" style="8" customWidth="1"/>
    <col min="6656" max="6657" width="10.7109375" style="8" customWidth="1"/>
    <col min="6658" max="6658" width="8.42578125" style="8" customWidth="1"/>
    <col min="6659" max="6659" width="10.7109375" style="8" customWidth="1"/>
    <col min="6660" max="6660" width="21.7109375" style="8" customWidth="1"/>
    <col min="6661" max="6662" width="10.7109375" style="8" customWidth="1"/>
    <col min="6663" max="6664" width="1.7109375" style="8" customWidth="1"/>
    <col min="6665" max="6689" width="10.7109375" style="8" customWidth="1"/>
    <col min="6690" max="6908" width="9.140625" style="8"/>
    <col min="6909" max="6910" width="1.7109375" style="8" customWidth="1"/>
    <col min="6911" max="6911" width="4.7109375" style="8" customWidth="1"/>
    <col min="6912" max="6913" width="10.7109375" style="8" customWidth="1"/>
    <col min="6914" max="6914" width="8.42578125" style="8" customWidth="1"/>
    <col min="6915" max="6915" width="10.7109375" style="8" customWidth="1"/>
    <col min="6916" max="6916" width="21.7109375" style="8" customWidth="1"/>
    <col min="6917" max="6918" width="10.7109375" style="8" customWidth="1"/>
    <col min="6919" max="6920" width="1.7109375" style="8" customWidth="1"/>
    <col min="6921" max="6945" width="10.7109375" style="8" customWidth="1"/>
    <col min="6946" max="7164" width="9.140625" style="8"/>
    <col min="7165" max="7166" width="1.7109375" style="8" customWidth="1"/>
    <col min="7167" max="7167" width="4.7109375" style="8" customWidth="1"/>
    <col min="7168" max="7169" width="10.7109375" style="8" customWidth="1"/>
    <col min="7170" max="7170" width="8.42578125" style="8" customWidth="1"/>
    <col min="7171" max="7171" width="10.7109375" style="8" customWidth="1"/>
    <col min="7172" max="7172" width="21.7109375" style="8" customWidth="1"/>
    <col min="7173" max="7174" width="10.7109375" style="8" customWidth="1"/>
    <col min="7175" max="7176" width="1.7109375" style="8" customWidth="1"/>
    <col min="7177" max="7201" width="10.7109375" style="8" customWidth="1"/>
    <col min="7202" max="7420" width="9.140625" style="8"/>
    <col min="7421" max="7422" width="1.7109375" style="8" customWidth="1"/>
    <col min="7423" max="7423" width="4.7109375" style="8" customWidth="1"/>
    <col min="7424" max="7425" width="10.7109375" style="8" customWidth="1"/>
    <col min="7426" max="7426" width="8.42578125" style="8" customWidth="1"/>
    <col min="7427" max="7427" width="10.7109375" style="8" customWidth="1"/>
    <col min="7428" max="7428" width="21.7109375" style="8" customWidth="1"/>
    <col min="7429" max="7430" width="10.7109375" style="8" customWidth="1"/>
    <col min="7431" max="7432" width="1.7109375" style="8" customWidth="1"/>
    <col min="7433" max="7457" width="10.7109375" style="8" customWidth="1"/>
    <col min="7458" max="7676" width="9.140625" style="8"/>
    <col min="7677" max="7678" width="1.7109375" style="8" customWidth="1"/>
    <col min="7679" max="7679" width="4.7109375" style="8" customWidth="1"/>
    <col min="7680" max="7681" width="10.7109375" style="8" customWidth="1"/>
    <col min="7682" max="7682" width="8.42578125" style="8" customWidth="1"/>
    <col min="7683" max="7683" width="10.7109375" style="8" customWidth="1"/>
    <col min="7684" max="7684" width="21.7109375" style="8" customWidth="1"/>
    <col min="7685" max="7686" width="10.7109375" style="8" customWidth="1"/>
    <col min="7687" max="7688" width="1.7109375" style="8" customWidth="1"/>
    <col min="7689" max="7713" width="10.7109375" style="8" customWidth="1"/>
    <col min="7714" max="7932" width="9.140625" style="8"/>
    <col min="7933" max="7934" width="1.7109375" style="8" customWidth="1"/>
    <col min="7935" max="7935" width="4.7109375" style="8" customWidth="1"/>
    <col min="7936" max="7937" width="10.7109375" style="8" customWidth="1"/>
    <col min="7938" max="7938" width="8.42578125" style="8" customWidth="1"/>
    <col min="7939" max="7939" width="10.7109375" style="8" customWidth="1"/>
    <col min="7940" max="7940" width="21.7109375" style="8" customWidth="1"/>
    <col min="7941" max="7942" width="10.7109375" style="8" customWidth="1"/>
    <col min="7943" max="7944" width="1.7109375" style="8" customWidth="1"/>
    <col min="7945" max="7969" width="10.7109375" style="8" customWidth="1"/>
    <col min="7970" max="8188" width="9.140625" style="8"/>
    <col min="8189" max="8190" width="1.7109375" style="8" customWidth="1"/>
    <col min="8191" max="8191" width="4.7109375" style="8" customWidth="1"/>
    <col min="8192" max="8193" width="10.7109375" style="8" customWidth="1"/>
    <col min="8194" max="8194" width="8.42578125" style="8" customWidth="1"/>
    <col min="8195" max="8195" width="10.7109375" style="8" customWidth="1"/>
    <col min="8196" max="8196" width="21.7109375" style="8" customWidth="1"/>
    <col min="8197" max="8198" width="10.7109375" style="8" customWidth="1"/>
    <col min="8199" max="8200" width="1.7109375" style="8" customWidth="1"/>
    <col min="8201" max="8225" width="10.7109375" style="8" customWidth="1"/>
    <col min="8226" max="8444" width="9.140625" style="8"/>
    <col min="8445" max="8446" width="1.7109375" style="8" customWidth="1"/>
    <col min="8447" max="8447" width="4.7109375" style="8" customWidth="1"/>
    <col min="8448" max="8449" width="10.7109375" style="8" customWidth="1"/>
    <col min="8450" max="8450" width="8.42578125" style="8" customWidth="1"/>
    <col min="8451" max="8451" width="10.7109375" style="8" customWidth="1"/>
    <col min="8452" max="8452" width="21.7109375" style="8" customWidth="1"/>
    <col min="8453" max="8454" width="10.7109375" style="8" customWidth="1"/>
    <col min="8455" max="8456" width="1.7109375" style="8" customWidth="1"/>
    <col min="8457" max="8481" width="10.7109375" style="8" customWidth="1"/>
    <col min="8482" max="8700" width="9.140625" style="8"/>
    <col min="8701" max="8702" width="1.7109375" style="8" customWidth="1"/>
    <col min="8703" max="8703" width="4.7109375" style="8" customWidth="1"/>
    <col min="8704" max="8705" width="10.7109375" style="8" customWidth="1"/>
    <col min="8706" max="8706" width="8.42578125" style="8" customWidth="1"/>
    <col min="8707" max="8707" width="10.7109375" style="8" customWidth="1"/>
    <col min="8708" max="8708" width="21.7109375" style="8" customWidth="1"/>
    <col min="8709" max="8710" width="10.7109375" style="8" customWidth="1"/>
    <col min="8711" max="8712" width="1.7109375" style="8" customWidth="1"/>
    <col min="8713" max="8737" width="10.7109375" style="8" customWidth="1"/>
    <col min="8738" max="8956" width="9.140625" style="8"/>
    <col min="8957" max="8958" width="1.7109375" style="8" customWidth="1"/>
    <col min="8959" max="8959" width="4.7109375" style="8" customWidth="1"/>
    <col min="8960" max="8961" width="10.7109375" style="8" customWidth="1"/>
    <col min="8962" max="8962" width="8.42578125" style="8" customWidth="1"/>
    <col min="8963" max="8963" width="10.7109375" style="8" customWidth="1"/>
    <col min="8964" max="8964" width="21.7109375" style="8" customWidth="1"/>
    <col min="8965" max="8966" width="10.7109375" style="8" customWidth="1"/>
    <col min="8967" max="8968" width="1.7109375" style="8" customWidth="1"/>
    <col min="8969" max="8993" width="10.7109375" style="8" customWidth="1"/>
    <col min="8994" max="9212" width="9.140625" style="8"/>
    <col min="9213" max="9214" width="1.7109375" style="8" customWidth="1"/>
    <col min="9215" max="9215" width="4.7109375" style="8" customWidth="1"/>
    <col min="9216" max="9217" width="10.7109375" style="8" customWidth="1"/>
    <col min="9218" max="9218" width="8.42578125" style="8" customWidth="1"/>
    <col min="9219" max="9219" width="10.7109375" style="8" customWidth="1"/>
    <col min="9220" max="9220" width="21.7109375" style="8" customWidth="1"/>
    <col min="9221" max="9222" width="10.7109375" style="8" customWidth="1"/>
    <col min="9223" max="9224" width="1.7109375" style="8" customWidth="1"/>
    <col min="9225" max="9249" width="10.7109375" style="8" customWidth="1"/>
    <col min="9250" max="9468" width="9.140625" style="8"/>
    <col min="9469" max="9470" width="1.7109375" style="8" customWidth="1"/>
    <col min="9471" max="9471" width="4.7109375" style="8" customWidth="1"/>
    <col min="9472" max="9473" width="10.7109375" style="8" customWidth="1"/>
    <col min="9474" max="9474" width="8.42578125" style="8" customWidth="1"/>
    <col min="9475" max="9475" width="10.7109375" style="8" customWidth="1"/>
    <col min="9476" max="9476" width="21.7109375" style="8" customWidth="1"/>
    <col min="9477" max="9478" width="10.7109375" style="8" customWidth="1"/>
    <col min="9479" max="9480" width="1.7109375" style="8" customWidth="1"/>
    <col min="9481" max="9505" width="10.7109375" style="8" customWidth="1"/>
    <col min="9506" max="9724" width="9.140625" style="8"/>
    <col min="9725" max="9726" width="1.7109375" style="8" customWidth="1"/>
    <col min="9727" max="9727" width="4.7109375" style="8" customWidth="1"/>
    <col min="9728" max="9729" width="10.7109375" style="8" customWidth="1"/>
    <col min="9730" max="9730" width="8.42578125" style="8" customWidth="1"/>
    <col min="9731" max="9731" width="10.7109375" style="8" customWidth="1"/>
    <col min="9732" max="9732" width="21.7109375" style="8" customWidth="1"/>
    <col min="9733" max="9734" width="10.7109375" style="8" customWidth="1"/>
    <col min="9735" max="9736" width="1.7109375" style="8" customWidth="1"/>
    <col min="9737" max="9761" width="10.7109375" style="8" customWidth="1"/>
    <col min="9762" max="9980" width="9.140625" style="8"/>
    <col min="9981" max="9982" width="1.7109375" style="8" customWidth="1"/>
    <col min="9983" max="9983" width="4.7109375" style="8" customWidth="1"/>
    <col min="9984" max="9985" width="10.7109375" style="8" customWidth="1"/>
    <col min="9986" max="9986" width="8.42578125" style="8" customWidth="1"/>
    <col min="9987" max="9987" width="10.7109375" style="8" customWidth="1"/>
    <col min="9988" max="9988" width="21.7109375" style="8" customWidth="1"/>
    <col min="9989" max="9990" width="10.7109375" style="8" customWidth="1"/>
    <col min="9991" max="9992" width="1.7109375" style="8" customWidth="1"/>
    <col min="9993" max="10017" width="10.7109375" style="8" customWidth="1"/>
    <col min="10018" max="10236" width="9.140625" style="8"/>
    <col min="10237" max="10238" width="1.7109375" style="8" customWidth="1"/>
    <col min="10239" max="10239" width="4.7109375" style="8" customWidth="1"/>
    <col min="10240" max="10241" width="10.7109375" style="8" customWidth="1"/>
    <col min="10242" max="10242" width="8.42578125" style="8" customWidth="1"/>
    <col min="10243" max="10243" width="10.7109375" style="8" customWidth="1"/>
    <col min="10244" max="10244" width="21.7109375" style="8" customWidth="1"/>
    <col min="10245" max="10246" width="10.7109375" style="8" customWidth="1"/>
    <col min="10247" max="10248" width="1.7109375" style="8" customWidth="1"/>
    <col min="10249" max="10273" width="10.7109375" style="8" customWidth="1"/>
    <col min="10274" max="10492" width="9.140625" style="8"/>
    <col min="10493" max="10494" width="1.7109375" style="8" customWidth="1"/>
    <col min="10495" max="10495" width="4.7109375" style="8" customWidth="1"/>
    <col min="10496" max="10497" width="10.7109375" style="8" customWidth="1"/>
    <col min="10498" max="10498" width="8.42578125" style="8" customWidth="1"/>
    <col min="10499" max="10499" width="10.7109375" style="8" customWidth="1"/>
    <col min="10500" max="10500" width="21.7109375" style="8" customWidth="1"/>
    <col min="10501" max="10502" width="10.7109375" style="8" customWidth="1"/>
    <col min="10503" max="10504" width="1.7109375" style="8" customWidth="1"/>
    <col min="10505" max="10529" width="10.7109375" style="8" customWidth="1"/>
    <col min="10530" max="10748" width="9.140625" style="8"/>
    <col min="10749" max="10750" width="1.7109375" style="8" customWidth="1"/>
    <col min="10751" max="10751" width="4.7109375" style="8" customWidth="1"/>
    <col min="10752" max="10753" width="10.7109375" style="8" customWidth="1"/>
    <col min="10754" max="10754" width="8.42578125" style="8" customWidth="1"/>
    <col min="10755" max="10755" width="10.7109375" style="8" customWidth="1"/>
    <col min="10756" max="10756" width="21.7109375" style="8" customWidth="1"/>
    <col min="10757" max="10758" width="10.7109375" style="8" customWidth="1"/>
    <col min="10759" max="10760" width="1.7109375" style="8" customWidth="1"/>
    <col min="10761" max="10785" width="10.7109375" style="8" customWidth="1"/>
    <col min="10786" max="11004" width="9.140625" style="8"/>
    <col min="11005" max="11006" width="1.7109375" style="8" customWidth="1"/>
    <col min="11007" max="11007" width="4.7109375" style="8" customWidth="1"/>
    <col min="11008" max="11009" width="10.7109375" style="8" customWidth="1"/>
    <col min="11010" max="11010" width="8.42578125" style="8" customWidth="1"/>
    <col min="11011" max="11011" width="10.7109375" style="8" customWidth="1"/>
    <col min="11012" max="11012" width="21.7109375" style="8" customWidth="1"/>
    <col min="11013" max="11014" width="10.7109375" style="8" customWidth="1"/>
    <col min="11015" max="11016" width="1.7109375" style="8" customWidth="1"/>
    <col min="11017" max="11041" width="10.7109375" style="8" customWidth="1"/>
    <col min="11042" max="11260" width="9.140625" style="8"/>
    <col min="11261" max="11262" width="1.7109375" style="8" customWidth="1"/>
    <col min="11263" max="11263" width="4.7109375" style="8" customWidth="1"/>
    <col min="11264" max="11265" width="10.7109375" style="8" customWidth="1"/>
    <col min="11266" max="11266" width="8.42578125" style="8" customWidth="1"/>
    <col min="11267" max="11267" width="10.7109375" style="8" customWidth="1"/>
    <col min="11268" max="11268" width="21.7109375" style="8" customWidth="1"/>
    <col min="11269" max="11270" width="10.7109375" style="8" customWidth="1"/>
    <col min="11271" max="11272" width="1.7109375" style="8" customWidth="1"/>
    <col min="11273" max="11297" width="10.7109375" style="8" customWidth="1"/>
    <col min="11298" max="11516" width="9.140625" style="8"/>
    <col min="11517" max="11518" width="1.7109375" style="8" customWidth="1"/>
    <col min="11519" max="11519" width="4.7109375" style="8" customWidth="1"/>
    <col min="11520" max="11521" width="10.7109375" style="8" customWidth="1"/>
    <col min="11522" max="11522" width="8.42578125" style="8" customWidth="1"/>
    <col min="11523" max="11523" width="10.7109375" style="8" customWidth="1"/>
    <col min="11524" max="11524" width="21.7109375" style="8" customWidth="1"/>
    <col min="11525" max="11526" width="10.7109375" style="8" customWidth="1"/>
    <col min="11527" max="11528" width="1.7109375" style="8" customWidth="1"/>
    <col min="11529" max="11553" width="10.7109375" style="8" customWidth="1"/>
    <col min="11554" max="11772" width="9.140625" style="8"/>
    <col min="11773" max="11774" width="1.7109375" style="8" customWidth="1"/>
    <col min="11775" max="11775" width="4.7109375" style="8" customWidth="1"/>
    <col min="11776" max="11777" width="10.7109375" style="8" customWidth="1"/>
    <col min="11778" max="11778" width="8.42578125" style="8" customWidth="1"/>
    <col min="11779" max="11779" width="10.7109375" style="8" customWidth="1"/>
    <col min="11780" max="11780" width="21.7109375" style="8" customWidth="1"/>
    <col min="11781" max="11782" width="10.7109375" style="8" customWidth="1"/>
    <col min="11783" max="11784" width="1.7109375" style="8" customWidth="1"/>
    <col min="11785" max="11809" width="10.7109375" style="8" customWidth="1"/>
    <col min="11810" max="12028" width="9.140625" style="8"/>
    <col min="12029" max="12030" width="1.7109375" style="8" customWidth="1"/>
    <col min="12031" max="12031" width="4.7109375" style="8" customWidth="1"/>
    <col min="12032" max="12033" width="10.7109375" style="8" customWidth="1"/>
    <col min="12034" max="12034" width="8.42578125" style="8" customWidth="1"/>
    <col min="12035" max="12035" width="10.7109375" style="8" customWidth="1"/>
    <col min="12036" max="12036" width="21.7109375" style="8" customWidth="1"/>
    <col min="12037" max="12038" width="10.7109375" style="8" customWidth="1"/>
    <col min="12039" max="12040" width="1.7109375" style="8" customWidth="1"/>
    <col min="12041" max="12065" width="10.7109375" style="8" customWidth="1"/>
    <col min="12066" max="12284" width="9.140625" style="8"/>
    <col min="12285" max="12286" width="1.7109375" style="8" customWidth="1"/>
    <col min="12287" max="12287" width="4.7109375" style="8" customWidth="1"/>
    <col min="12288" max="12289" width="10.7109375" style="8" customWidth="1"/>
    <col min="12290" max="12290" width="8.42578125" style="8" customWidth="1"/>
    <col min="12291" max="12291" width="10.7109375" style="8" customWidth="1"/>
    <col min="12292" max="12292" width="21.7109375" style="8" customWidth="1"/>
    <col min="12293" max="12294" width="10.7109375" style="8" customWidth="1"/>
    <col min="12295" max="12296" width="1.7109375" style="8" customWidth="1"/>
    <col min="12297" max="12321" width="10.7109375" style="8" customWidth="1"/>
    <col min="12322" max="12540" width="9.140625" style="8"/>
    <col min="12541" max="12542" width="1.7109375" style="8" customWidth="1"/>
    <col min="12543" max="12543" width="4.7109375" style="8" customWidth="1"/>
    <col min="12544" max="12545" width="10.7109375" style="8" customWidth="1"/>
    <col min="12546" max="12546" width="8.42578125" style="8" customWidth="1"/>
    <col min="12547" max="12547" width="10.7109375" style="8" customWidth="1"/>
    <col min="12548" max="12548" width="21.7109375" style="8" customWidth="1"/>
    <col min="12549" max="12550" width="10.7109375" style="8" customWidth="1"/>
    <col min="12551" max="12552" width="1.7109375" style="8" customWidth="1"/>
    <col min="12553" max="12577" width="10.7109375" style="8" customWidth="1"/>
    <col min="12578" max="12796" width="9.140625" style="8"/>
    <col min="12797" max="12798" width="1.7109375" style="8" customWidth="1"/>
    <col min="12799" max="12799" width="4.7109375" style="8" customWidth="1"/>
    <col min="12800" max="12801" width="10.7109375" style="8" customWidth="1"/>
    <col min="12802" max="12802" width="8.42578125" style="8" customWidth="1"/>
    <col min="12803" max="12803" width="10.7109375" style="8" customWidth="1"/>
    <col min="12804" max="12804" width="21.7109375" style="8" customWidth="1"/>
    <col min="12805" max="12806" width="10.7109375" style="8" customWidth="1"/>
    <col min="12807" max="12808" width="1.7109375" style="8" customWidth="1"/>
    <col min="12809" max="12833" width="10.7109375" style="8" customWidth="1"/>
    <col min="12834" max="13052" width="9.140625" style="8"/>
    <col min="13053" max="13054" width="1.7109375" style="8" customWidth="1"/>
    <col min="13055" max="13055" width="4.7109375" style="8" customWidth="1"/>
    <col min="13056" max="13057" width="10.7109375" style="8" customWidth="1"/>
    <col min="13058" max="13058" width="8.42578125" style="8" customWidth="1"/>
    <col min="13059" max="13059" width="10.7109375" style="8" customWidth="1"/>
    <col min="13060" max="13060" width="21.7109375" style="8" customWidth="1"/>
    <col min="13061" max="13062" width="10.7109375" style="8" customWidth="1"/>
    <col min="13063" max="13064" width="1.7109375" style="8" customWidth="1"/>
    <col min="13065" max="13089" width="10.7109375" style="8" customWidth="1"/>
    <col min="13090" max="13308" width="9.140625" style="8"/>
    <col min="13309" max="13310" width="1.7109375" style="8" customWidth="1"/>
    <col min="13311" max="13311" width="4.7109375" style="8" customWidth="1"/>
    <col min="13312" max="13313" width="10.7109375" style="8" customWidth="1"/>
    <col min="13314" max="13314" width="8.42578125" style="8" customWidth="1"/>
    <col min="13315" max="13315" width="10.7109375" style="8" customWidth="1"/>
    <col min="13316" max="13316" width="21.7109375" style="8" customWidth="1"/>
    <col min="13317" max="13318" width="10.7109375" style="8" customWidth="1"/>
    <col min="13319" max="13320" width="1.7109375" style="8" customWidth="1"/>
    <col min="13321" max="13345" width="10.7109375" style="8" customWidth="1"/>
    <col min="13346" max="13564" width="9.140625" style="8"/>
    <col min="13565" max="13566" width="1.7109375" style="8" customWidth="1"/>
    <col min="13567" max="13567" width="4.7109375" style="8" customWidth="1"/>
    <col min="13568" max="13569" width="10.7109375" style="8" customWidth="1"/>
    <col min="13570" max="13570" width="8.42578125" style="8" customWidth="1"/>
    <col min="13571" max="13571" width="10.7109375" style="8" customWidth="1"/>
    <col min="13572" max="13572" width="21.7109375" style="8" customWidth="1"/>
    <col min="13573" max="13574" width="10.7109375" style="8" customWidth="1"/>
    <col min="13575" max="13576" width="1.7109375" style="8" customWidth="1"/>
    <col min="13577" max="13601" width="10.7109375" style="8" customWidth="1"/>
    <col min="13602" max="13820" width="9.140625" style="8"/>
    <col min="13821" max="13822" width="1.7109375" style="8" customWidth="1"/>
    <col min="13823" max="13823" width="4.7109375" style="8" customWidth="1"/>
    <col min="13824" max="13825" width="10.7109375" style="8" customWidth="1"/>
    <col min="13826" max="13826" width="8.42578125" style="8" customWidth="1"/>
    <col min="13827" max="13827" width="10.7109375" style="8" customWidth="1"/>
    <col min="13828" max="13828" width="21.7109375" style="8" customWidth="1"/>
    <col min="13829" max="13830" width="10.7109375" style="8" customWidth="1"/>
    <col min="13831" max="13832" width="1.7109375" style="8" customWidth="1"/>
    <col min="13833" max="13857" width="10.7109375" style="8" customWidth="1"/>
    <col min="13858" max="14076" width="9.140625" style="8"/>
    <col min="14077" max="14078" width="1.7109375" style="8" customWidth="1"/>
    <col min="14079" max="14079" width="4.7109375" style="8" customWidth="1"/>
    <col min="14080" max="14081" width="10.7109375" style="8" customWidth="1"/>
    <col min="14082" max="14082" width="8.42578125" style="8" customWidth="1"/>
    <col min="14083" max="14083" width="10.7109375" style="8" customWidth="1"/>
    <col min="14084" max="14084" width="21.7109375" style="8" customWidth="1"/>
    <col min="14085" max="14086" width="10.7109375" style="8" customWidth="1"/>
    <col min="14087" max="14088" width="1.7109375" style="8" customWidth="1"/>
    <col min="14089" max="14113" width="10.7109375" style="8" customWidth="1"/>
    <col min="14114" max="14332" width="9.140625" style="8"/>
    <col min="14333" max="14334" width="1.7109375" style="8" customWidth="1"/>
    <col min="14335" max="14335" width="4.7109375" style="8" customWidth="1"/>
    <col min="14336" max="14337" width="10.7109375" style="8" customWidth="1"/>
    <col min="14338" max="14338" width="8.42578125" style="8" customWidth="1"/>
    <col min="14339" max="14339" width="10.7109375" style="8" customWidth="1"/>
    <col min="14340" max="14340" width="21.7109375" style="8" customWidth="1"/>
    <col min="14341" max="14342" width="10.7109375" style="8" customWidth="1"/>
    <col min="14343" max="14344" width="1.7109375" style="8" customWidth="1"/>
    <col min="14345" max="14369" width="10.7109375" style="8" customWidth="1"/>
    <col min="14370" max="14588" width="9.140625" style="8"/>
    <col min="14589" max="14590" width="1.7109375" style="8" customWidth="1"/>
    <col min="14591" max="14591" width="4.7109375" style="8" customWidth="1"/>
    <col min="14592" max="14593" width="10.7109375" style="8" customWidth="1"/>
    <col min="14594" max="14594" width="8.42578125" style="8" customWidth="1"/>
    <col min="14595" max="14595" width="10.7109375" style="8" customWidth="1"/>
    <col min="14596" max="14596" width="21.7109375" style="8" customWidth="1"/>
    <col min="14597" max="14598" width="10.7109375" style="8" customWidth="1"/>
    <col min="14599" max="14600" width="1.7109375" style="8" customWidth="1"/>
    <col min="14601" max="14625" width="10.7109375" style="8" customWidth="1"/>
    <col min="14626" max="14844" width="9.140625" style="8"/>
    <col min="14845" max="14846" width="1.7109375" style="8" customWidth="1"/>
    <col min="14847" max="14847" width="4.7109375" style="8" customWidth="1"/>
    <col min="14848" max="14849" width="10.7109375" style="8" customWidth="1"/>
    <col min="14850" max="14850" width="8.42578125" style="8" customWidth="1"/>
    <col min="14851" max="14851" width="10.7109375" style="8" customWidth="1"/>
    <col min="14852" max="14852" width="21.7109375" style="8" customWidth="1"/>
    <col min="14853" max="14854" width="10.7109375" style="8" customWidth="1"/>
    <col min="14855" max="14856" width="1.7109375" style="8" customWidth="1"/>
    <col min="14857" max="14881" width="10.7109375" style="8" customWidth="1"/>
    <col min="14882" max="15100" width="9.140625" style="8"/>
    <col min="15101" max="15102" width="1.7109375" style="8" customWidth="1"/>
    <col min="15103" max="15103" width="4.7109375" style="8" customWidth="1"/>
    <col min="15104" max="15105" width="10.7109375" style="8" customWidth="1"/>
    <col min="15106" max="15106" width="8.42578125" style="8" customWidth="1"/>
    <col min="15107" max="15107" width="10.7109375" style="8" customWidth="1"/>
    <col min="15108" max="15108" width="21.7109375" style="8" customWidth="1"/>
    <col min="15109" max="15110" width="10.7109375" style="8" customWidth="1"/>
    <col min="15111" max="15112" width="1.7109375" style="8" customWidth="1"/>
    <col min="15113" max="15137" width="10.7109375" style="8" customWidth="1"/>
    <col min="15138" max="15356" width="9.140625" style="8"/>
    <col min="15357" max="15358" width="1.7109375" style="8" customWidth="1"/>
    <col min="15359" max="15359" width="4.7109375" style="8" customWidth="1"/>
    <col min="15360" max="15361" width="10.7109375" style="8" customWidth="1"/>
    <col min="15362" max="15362" width="8.42578125" style="8" customWidth="1"/>
    <col min="15363" max="15363" width="10.7109375" style="8" customWidth="1"/>
    <col min="15364" max="15364" width="21.7109375" style="8" customWidth="1"/>
    <col min="15365" max="15366" width="10.7109375" style="8" customWidth="1"/>
    <col min="15367" max="15368" width="1.7109375" style="8" customWidth="1"/>
    <col min="15369" max="15393" width="10.7109375" style="8" customWidth="1"/>
    <col min="15394" max="15612" width="9.140625" style="8"/>
    <col min="15613" max="15614" width="1.7109375" style="8" customWidth="1"/>
    <col min="15615" max="15615" width="4.7109375" style="8" customWidth="1"/>
    <col min="15616" max="15617" width="10.7109375" style="8" customWidth="1"/>
    <col min="15618" max="15618" width="8.42578125" style="8" customWidth="1"/>
    <col min="15619" max="15619" width="10.7109375" style="8" customWidth="1"/>
    <col min="15620" max="15620" width="21.7109375" style="8" customWidth="1"/>
    <col min="15621" max="15622" width="10.7109375" style="8" customWidth="1"/>
    <col min="15623" max="15624" width="1.7109375" style="8" customWidth="1"/>
    <col min="15625" max="15649" width="10.7109375" style="8" customWidth="1"/>
    <col min="15650" max="15868" width="9.140625" style="8"/>
    <col min="15869" max="15870" width="1.7109375" style="8" customWidth="1"/>
    <col min="15871" max="15871" width="4.7109375" style="8" customWidth="1"/>
    <col min="15872" max="15873" width="10.7109375" style="8" customWidth="1"/>
    <col min="15874" max="15874" width="8.42578125" style="8" customWidth="1"/>
    <col min="15875" max="15875" width="10.7109375" style="8" customWidth="1"/>
    <col min="15876" max="15876" width="21.7109375" style="8" customWidth="1"/>
    <col min="15877" max="15878" width="10.7109375" style="8" customWidth="1"/>
    <col min="15879" max="15880" width="1.7109375" style="8" customWidth="1"/>
    <col min="15881" max="15905" width="10.7109375" style="8" customWidth="1"/>
    <col min="15906" max="16124" width="9.140625" style="8"/>
    <col min="16125" max="16126" width="1.7109375" style="8" customWidth="1"/>
    <col min="16127" max="16127" width="4.7109375" style="8" customWidth="1"/>
    <col min="16128" max="16129" width="10.7109375" style="8" customWidth="1"/>
    <col min="16130" max="16130" width="8.42578125" style="8" customWidth="1"/>
    <col min="16131" max="16131" width="10.7109375" style="8" customWidth="1"/>
    <col min="16132" max="16132" width="21.7109375" style="8" customWidth="1"/>
    <col min="16133" max="16134" width="10.7109375" style="8" customWidth="1"/>
    <col min="16135" max="16136" width="1.7109375" style="8" customWidth="1"/>
    <col min="16137" max="16161" width="10.7109375" style="8" customWidth="1"/>
    <col min="16162" max="16384" width="9.140625" style="8"/>
  </cols>
  <sheetData>
    <row r="1" spans="2:13" s="2" customFormat="1" ht="42.75" customHeight="1" x14ac:dyDescent="0.2">
      <c r="C1" s="9" t="s">
        <v>3</v>
      </c>
      <c r="D1" s="3"/>
      <c r="E1" s="355" t="e">
        <f>#REF!&amp;" "&amp;#REF!</f>
        <v>#REF!</v>
      </c>
      <c r="F1" s="356"/>
      <c r="G1" s="356"/>
      <c r="H1" s="356"/>
      <c r="I1" s="10" t="s">
        <v>4</v>
      </c>
      <c r="J1" s="92" t="e">
        <f>#REF!</f>
        <v>#REF!</v>
      </c>
      <c r="K1" s="93" t="e">
        <f>#REF!</f>
        <v>#REF!</v>
      </c>
    </row>
    <row r="2" spans="2:13" s="2" customFormat="1" x14ac:dyDescent="0.2">
      <c r="B2" s="11"/>
      <c r="C2" s="12"/>
      <c r="D2" s="12"/>
      <c r="E2" s="13"/>
      <c r="F2" s="13"/>
      <c r="G2" s="13"/>
      <c r="H2" s="13"/>
      <c r="I2" s="14"/>
      <c r="J2" s="14"/>
      <c r="K2" s="14"/>
      <c r="L2" s="15"/>
    </row>
    <row r="3" spans="2:13" s="2" customFormat="1" x14ac:dyDescent="0.2">
      <c r="B3" s="16"/>
      <c r="C3" s="4" t="s">
        <v>60</v>
      </c>
      <c r="D3" s="4"/>
      <c r="E3" s="17"/>
      <c r="F3" s="88">
        <f>CashFlowCalcs!G6</f>
        <v>9119824.2599999998</v>
      </c>
      <c r="G3" s="18"/>
      <c r="H3" s="19"/>
      <c r="I3" s="5" t="s">
        <v>5</v>
      </c>
      <c r="J3" s="20">
        <v>11999999</v>
      </c>
      <c r="K3" s="5"/>
      <c r="L3" s="21"/>
    </row>
    <row r="4" spans="2:13" s="2" customFormat="1" x14ac:dyDescent="0.2">
      <c r="B4" s="16"/>
      <c r="C4" s="4"/>
      <c r="D4" s="4"/>
      <c r="E4" s="22"/>
      <c r="F4" s="23"/>
      <c r="G4" s="23"/>
      <c r="H4" s="19"/>
      <c r="I4" s="5" t="s">
        <v>6</v>
      </c>
      <c r="J4" s="20">
        <v>10000</v>
      </c>
      <c r="K4" s="5"/>
      <c r="L4" s="21"/>
    </row>
    <row r="5" spans="2:13" s="2" customFormat="1" x14ac:dyDescent="0.2">
      <c r="B5" s="16"/>
      <c r="C5" s="4" t="s">
        <v>7</v>
      </c>
      <c r="D5" s="4"/>
      <c r="E5" s="67" t="e">
        <f>ROUND(J8/4.33333,0)</f>
        <v>#REF!</v>
      </c>
      <c r="F5" s="24" t="s">
        <v>8</v>
      </c>
      <c r="G5" s="24"/>
      <c r="H5" s="357" t="s">
        <v>9</v>
      </c>
      <c r="I5" s="358"/>
      <c r="J5" s="25">
        <v>2</v>
      </c>
      <c r="K5" s="5"/>
      <c r="L5" s="21"/>
    </row>
    <row r="6" spans="2:13" s="2" customFormat="1" x14ac:dyDescent="0.2">
      <c r="B6" s="16"/>
      <c r="C6" s="4" t="s">
        <v>58</v>
      </c>
      <c r="D6" s="4"/>
      <c r="E6" s="64">
        <v>16</v>
      </c>
      <c r="F6" s="26"/>
      <c r="G6" s="26"/>
      <c r="H6" s="357" t="s">
        <v>10</v>
      </c>
      <c r="I6" s="358"/>
      <c r="J6" s="25">
        <v>25</v>
      </c>
      <c r="K6" s="5"/>
      <c r="L6" s="21"/>
    </row>
    <row r="7" spans="2:13" s="2" customFormat="1" ht="15" x14ac:dyDescent="0.25">
      <c r="B7" s="16"/>
      <c r="C7" s="4" t="s">
        <v>11</v>
      </c>
      <c r="D7" s="4"/>
      <c r="E7" s="65">
        <v>0.03</v>
      </c>
      <c r="F7" s="27"/>
      <c r="G7" s="27"/>
      <c r="H7" s="359" t="s">
        <v>97</v>
      </c>
      <c r="I7" s="360"/>
      <c r="J7" s="109" t="e">
        <f>#REF!</f>
        <v>#REF!</v>
      </c>
      <c r="K7" s="5"/>
      <c r="L7" s="21"/>
    </row>
    <row r="8" spans="2:13" s="2" customFormat="1" x14ac:dyDescent="0.2">
      <c r="B8" s="16"/>
      <c r="C8" s="4" t="s">
        <v>59</v>
      </c>
      <c r="D8" s="4"/>
      <c r="E8" s="68" t="e">
        <f>E6-J1</f>
        <v>#REF!</v>
      </c>
      <c r="F8" s="29"/>
      <c r="G8" s="29"/>
      <c r="H8" s="357" t="s">
        <v>12</v>
      </c>
      <c r="I8" s="358"/>
      <c r="J8" s="107" t="e">
        <f>#REF!</f>
        <v>#REF!</v>
      </c>
      <c r="K8" s="5" t="s">
        <v>13</v>
      </c>
      <c r="L8" s="21"/>
    </row>
    <row r="9" spans="2:13" s="2" customFormat="1" x14ac:dyDescent="0.2">
      <c r="B9" s="16"/>
      <c r="C9" s="30" t="s">
        <v>14</v>
      </c>
      <c r="D9" s="30"/>
      <c r="E9" s="66">
        <v>12</v>
      </c>
      <c r="F9" s="31" t="s">
        <v>8</v>
      </c>
      <c r="G9" s="31"/>
      <c r="H9" s="19"/>
      <c r="I9" s="28" t="s">
        <v>15</v>
      </c>
      <c r="J9" s="32" t="e">
        <f>+J7+(J8*7)+1</f>
        <v>#REF!</v>
      </c>
      <c r="K9" s="5"/>
      <c r="L9" s="21"/>
    </row>
    <row r="10" spans="2:13" s="2" customFormat="1" x14ac:dyDescent="0.2">
      <c r="B10" s="33"/>
      <c r="C10" s="34"/>
      <c r="D10" s="34"/>
      <c r="E10" s="35"/>
      <c r="F10" s="35"/>
      <c r="G10" s="35"/>
      <c r="H10" s="36"/>
      <c r="I10" s="6"/>
      <c r="J10" s="6"/>
      <c r="K10" s="6"/>
      <c r="L10" s="37"/>
    </row>
    <row r="11" spans="2:13" s="2" customFormat="1" x14ac:dyDescent="0.2">
      <c r="C11" s="38"/>
      <c r="D11" s="38"/>
      <c r="E11" s="39"/>
      <c r="F11" s="39"/>
      <c r="G11" s="39"/>
      <c r="H11" s="40"/>
    </row>
    <row r="12" spans="2:13" s="2" customFormat="1" x14ac:dyDescent="0.2">
      <c r="B12" s="11"/>
      <c r="C12" s="41"/>
      <c r="D12" s="41"/>
      <c r="E12" s="42"/>
      <c r="F12" s="43"/>
      <c r="G12" s="43"/>
      <c r="H12" s="13"/>
      <c r="I12" s="14"/>
      <c r="J12" s="14"/>
      <c r="K12" s="14"/>
      <c r="L12" s="15"/>
    </row>
    <row r="13" spans="2:13" s="2" customFormat="1" ht="63.75" x14ac:dyDescent="0.2">
      <c r="B13" s="16"/>
      <c r="C13" s="44" t="s">
        <v>16</v>
      </c>
      <c r="D13" s="44" t="s">
        <v>17</v>
      </c>
      <c r="E13" s="44" t="s">
        <v>18</v>
      </c>
      <c r="F13" s="45" t="s">
        <v>19</v>
      </c>
      <c r="G13" s="45" t="s">
        <v>20</v>
      </c>
      <c r="H13" s="44" t="s">
        <v>21</v>
      </c>
      <c r="I13" s="44" t="s">
        <v>22</v>
      </c>
      <c r="J13" s="44" t="s">
        <v>23</v>
      </c>
      <c r="K13" s="44" t="s">
        <v>92</v>
      </c>
      <c r="L13" s="89" t="s">
        <v>93</v>
      </c>
    </row>
    <row r="14" spans="2:13" s="2" customFormat="1" x14ac:dyDescent="0.2">
      <c r="B14" s="33"/>
      <c r="C14" s="46"/>
      <c r="D14" s="46"/>
      <c r="E14" s="46"/>
      <c r="F14" s="47"/>
      <c r="G14" s="47"/>
      <c r="H14" s="46"/>
      <c r="I14" s="46"/>
      <c r="J14" s="46"/>
      <c r="K14" s="90"/>
      <c r="L14" s="91" t="e">
        <f>SUM(L16:L40)</f>
        <v>#REF!</v>
      </c>
    </row>
    <row r="15" spans="2:13" s="2" customFormat="1" x14ac:dyDescent="0.2">
      <c r="B15" s="16"/>
      <c r="C15" s="5"/>
      <c r="D15" s="5"/>
      <c r="E15" s="5"/>
      <c r="F15" s="48"/>
      <c r="G15" s="48"/>
      <c r="H15" s="5"/>
      <c r="I15" s="5"/>
      <c r="J15" s="5"/>
      <c r="K15" s="49"/>
      <c r="L15" s="21"/>
    </row>
    <row r="16" spans="2:13" s="2" customFormat="1" ht="21.75" customHeight="1" x14ac:dyDescent="0.2">
      <c r="B16" s="16"/>
      <c r="C16" s="5">
        <v>1</v>
      </c>
      <c r="D16" s="32">
        <v>42132</v>
      </c>
      <c r="E16" s="49" t="e">
        <f>IF(D16&gt;$J$9,0,VLOOKUP(D16,CashFlowCalcs!$H$18:$J$750,3))</f>
        <v>#REF!</v>
      </c>
      <c r="F16" s="50">
        <v>57914.65</v>
      </c>
      <c r="G16" s="50">
        <f t="shared" ref="G16:G40" si="0">IF(ISBLANK(F16)=TRUE,0,F16)</f>
        <v>57914.65</v>
      </c>
      <c r="H16" s="49">
        <f>G16*$E$7</f>
        <v>1737.4395</v>
      </c>
      <c r="I16" s="49">
        <f>G16-H16</f>
        <v>56177.210500000001</v>
      </c>
      <c r="J16" s="49">
        <v>0</v>
      </c>
      <c r="K16" s="51">
        <f>IF(ISBLANK(F16)=FALSE,F16,VLOOKUP(D16,CashFlowCalcs!$H$17:$O$750,5))</f>
        <v>57914.65</v>
      </c>
      <c r="L16" s="52">
        <f t="shared" ref="L16:L31" si="1">IF(ISBLANK(E16)=TRUE,0,IF(ISBLANK(F16)=FALSE,I16-I15,(K16-K15)*0.97))</f>
        <v>56177.210500000001</v>
      </c>
      <c r="M16" s="69" t="e">
        <f>IF(C15&lt;$J$1,0,CashFlowCalcs!$H$14*(($E$6-C16)/(CashFlowCalcs!$H$15-1)))</f>
        <v>#REF!</v>
      </c>
    </row>
    <row r="17" spans="2:13" s="2" customFormat="1" ht="21.75" customHeight="1" x14ac:dyDescent="0.2">
      <c r="B17" s="113" t="s">
        <v>24</v>
      </c>
      <c r="C17" s="5">
        <f t="shared" ref="C17:C40" si="2">+C16+1</f>
        <v>2</v>
      </c>
      <c r="D17" s="32">
        <f>D16+28+5</f>
        <v>42165</v>
      </c>
      <c r="E17" s="49" t="e">
        <f>IF(D17&gt;$J$9,0,VLOOKUP(D17,CashFlowCalcs!$H$18:$J$750,3))</f>
        <v>#REF!</v>
      </c>
      <c r="F17" s="50">
        <v>182957.69</v>
      </c>
      <c r="G17" s="50">
        <f t="shared" si="0"/>
        <v>182957.69</v>
      </c>
      <c r="H17" s="49">
        <f t="shared" ref="H17:H31" si="3">G17*$E$7</f>
        <v>5488.7307000000001</v>
      </c>
      <c r="I17" s="49">
        <f t="shared" ref="I17:I31" si="4">G17-H17</f>
        <v>177468.95929999999</v>
      </c>
      <c r="J17" s="49">
        <f>IF(ISBLANK(F17)=TRUE,0,I16)</f>
        <v>56177.210500000001</v>
      </c>
      <c r="K17" s="51">
        <f>IF(ISBLANK(F17)=FALSE,F17,VLOOKUP(D17,CashFlowCalcs!$H$17:$O$750,5))</f>
        <v>182957.69</v>
      </c>
      <c r="L17" s="52">
        <f t="shared" si="1"/>
        <v>121291.74879999999</v>
      </c>
      <c r="M17" s="69" t="e">
        <f>IF(C16&lt;$J$1,0,CashFlowCalcs!$H$14*(($E$6-C17)/(CashFlowCalcs!$H$15-1)))</f>
        <v>#REF!</v>
      </c>
    </row>
    <row r="18" spans="2:13" s="2" customFormat="1" ht="21.75" customHeight="1" x14ac:dyDescent="0.2">
      <c r="B18" s="113" t="s">
        <v>25</v>
      </c>
      <c r="C18" s="5">
        <f t="shared" si="2"/>
        <v>3</v>
      </c>
      <c r="D18" s="32">
        <f>D17+28+2</f>
        <v>42195</v>
      </c>
      <c r="E18" s="49" t="e">
        <f>IF(D18&gt;$J$9,0,VLOOKUP(D18,CashFlowCalcs!$H$18:$J$750,3))</f>
        <v>#REF!</v>
      </c>
      <c r="F18" s="50">
        <v>267232.77</v>
      </c>
      <c r="G18" s="50">
        <f t="shared" si="0"/>
        <v>267232.77</v>
      </c>
      <c r="H18" s="49">
        <f t="shared" si="3"/>
        <v>8016.9831000000004</v>
      </c>
      <c r="I18" s="49">
        <f t="shared" si="4"/>
        <v>259215.78690000001</v>
      </c>
      <c r="J18" s="49">
        <f>IF(ISBLANK(F18)=TRUE,0,I17)</f>
        <v>177468.95929999999</v>
      </c>
      <c r="K18" s="51">
        <f>IF(ISBLANK(F18)=FALSE,F18,VLOOKUP(D18,CashFlowCalcs!$H$17:$O$750,5))</f>
        <v>267232.77</v>
      </c>
      <c r="L18" s="52">
        <f t="shared" si="1"/>
        <v>81746.827600000019</v>
      </c>
      <c r="M18" s="69" t="e">
        <f>IF(C17&lt;$J$1,0,CashFlowCalcs!$H$14*(($E$6-C18)/(CashFlowCalcs!$H$15-1)))</f>
        <v>#REF!</v>
      </c>
    </row>
    <row r="19" spans="2:13" s="2" customFormat="1" ht="21.75" customHeight="1" x14ac:dyDescent="0.2">
      <c r="B19" s="113" t="s">
        <v>26</v>
      </c>
      <c r="C19" s="5">
        <f t="shared" si="2"/>
        <v>4</v>
      </c>
      <c r="D19" s="32">
        <f>D18+27</f>
        <v>42222</v>
      </c>
      <c r="E19" s="49" t="e">
        <f>IF(D19&gt;$J$9,0,VLOOKUP(D19,CashFlowCalcs!$H$18:$J$750,3))</f>
        <v>#REF!</v>
      </c>
      <c r="F19" s="50">
        <v>444030.77</v>
      </c>
      <c r="G19" s="50">
        <f t="shared" si="0"/>
        <v>444030.77</v>
      </c>
      <c r="H19" s="49">
        <f t="shared" si="3"/>
        <v>13320.9231</v>
      </c>
      <c r="I19" s="49">
        <f t="shared" si="4"/>
        <v>430709.8469</v>
      </c>
      <c r="J19" s="49">
        <f t="shared" ref="J19:J40" si="5">IF(ISBLANK(F19)=TRUE,0,I18)</f>
        <v>259215.78690000001</v>
      </c>
      <c r="K19" s="51">
        <f>IF(ISBLANK(F19)=FALSE,F19,VLOOKUP(D19,CashFlowCalcs!$H$17:$O$750,5))</f>
        <v>444030.77</v>
      </c>
      <c r="L19" s="52">
        <f t="shared" si="1"/>
        <v>171494.06</v>
      </c>
      <c r="M19" s="69" t="e">
        <f>CashFlowCalcs!$H$14*(($E$6-C19)/(CashFlowCalcs!$H$15-1))</f>
        <v>#REF!</v>
      </c>
    </row>
    <row r="20" spans="2:13" s="2" customFormat="1" ht="21.75" customHeight="1" x14ac:dyDescent="0.2">
      <c r="B20" s="113" t="s">
        <v>27</v>
      </c>
      <c r="C20" s="5">
        <f t="shared" si="2"/>
        <v>5</v>
      </c>
      <c r="D20" s="32">
        <f>ROUND(D19+30.5,0)+4</f>
        <v>42257</v>
      </c>
      <c r="E20" s="49" t="e">
        <f>IF(D20&gt;$J$9,0,VLOOKUP(D20,CashFlowCalcs!$H$18:$J$750,3))</f>
        <v>#REF!</v>
      </c>
      <c r="F20" s="50" t="e">
        <f>[0]!ACT_GROSS</f>
        <v>#REF!</v>
      </c>
      <c r="G20" s="50" t="e">
        <f t="shared" si="0"/>
        <v>#REF!</v>
      </c>
      <c r="H20" s="49" t="e">
        <f t="shared" si="3"/>
        <v>#REF!</v>
      </c>
      <c r="I20" s="49" t="e">
        <f t="shared" si="4"/>
        <v>#REF!</v>
      </c>
      <c r="J20" s="49">
        <f t="shared" si="5"/>
        <v>430709.8469</v>
      </c>
      <c r="K20" s="51" t="e">
        <f>IF(ISBLANK(F20)=FALSE,F20,VLOOKUP(D20,CashFlowCalcs!$H$17:$O$750,5))</f>
        <v>#REF!</v>
      </c>
      <c r="L20" s="52" t="e">
        <f t="shared" si="1"/>
        <v>#REF!</v>
      </c>
      <c r="M20" s="69" t="e">
        <f>CashFlowCalcs!$H$14*(($E$6-C20)/(CashFlowCalcs!$H$15-1))</f>
        <v>#REF!</v>
      </c>
    </row>
    <row r="21" spans="2:13" s="2" customFormat="1" ht="21.75" customHeight="1" x14ac:dyDescent="0.2">
      <c r="B21" s="113" t="s">
        <v>28</v>
      </c>
      <c r="C21" s="5">
        <f t="shared" si="2"/>
        <v>6</v>
      </c>
      <c r="D21" s="32">
        <f>ROUND(D20+30.5,0)+4</f>
        <v>42292</v>
      </c>
      <c r="E21" s="49" t="e">
        <f>IF(D21&gt;$J$9,0,VLOOKUP(D21,CashFlowCalcs!$H$18:$J$750,3))</f>
        <v>#REF!</v>
      </c>
      <c r="F21" s="50" t="e">
        <f>#REF!</f>
        <v>#REF!</v>
      </c>
      <c r="G21" s="50" t="e">
        <f t="shared" si="0"/>
        <v>#REF!</v>
      </c>
      <c r="H21" s="49" t="e">
        <f t="shared" si="3"/>
        <v>#REF!</v>
      </c>
      <c r="I21" s="49" t="e">
        <f t="shared" si="4"/>
        <v>#REF!</v>
      </c>
      <c r="J21" s="49" t="e">
        <f t="shared" si="5"/>
        <v>#REF!</v>
      </c>
      <c r="K21" s="51" t="e">
        <f>IF(ISBLANK(F21)=FALSE,F21,VLOOKUP(D21,CashFlowCalcs!$H$17:$O$750,5))</f>
        <v>#REF!</v>
      </c>
      <c r="L21" s="52" t="e">
        <f t="shared" si="1"/>
        <v>#REF!</v>
      </c>
      <c r="M21" s="69" t="e">
        <f>CashFlowCalcs!$H$14*(($E$6-C21)/(CashFlowCalcs!$H$15-1))</f>
        <v>#REF!</v>
      </c>
    </row>
    <row r="22" spans="2:13" s="2" customFormat="1" ht="21.75" customHeight="1" x14ac:dyDescent="0.2">
      <c r="B22" s="113" t="s">
        <v>29</v>
      </c>
      <c r="C22" s="5">
        <f t="shared" si="2"/>
        <v>7</v>
      </c>
      <c r="D22" s="32">
        <f>ROUND(D21+30.5,0)-3</f>
        <v>42320</v>
      </c>
      <c r="E22" s="49" t="e">
        <f>IF(D22&gt;$J$9,0,VLOOKUP(D22,CashFlowCalcs!$H$18:$J$750,3))</f>
        <v>#REF!</v>
      </c>
      <c r="F22" s="50"/>
      <c r="G22" s="50">
        <f t="shared" si="0"/>
        <v>0</v>
      </c>
      <c r="H22" s="49">
        <f t="shared" si="3"/>
        <v>0</v>
      </c>
      <c r="I22" s="49">
        <f t="shared" si="4"/>
        <v>0</v>
      </c>
      <c r="J22" s="49">
        <f t="shared" si="5"/>
        <v>0</v>
      </c>
      <c r="K22" s="51" t="e">
        <f>IF(ISBLANK(F22)=FALSE,F22,VLOOKUP(D22,CashFlowCalcs!$H$17:$O$750,5))</f>
        <v>#N/A</v>
      </c>
      <c r="L22" s="52" t="e">
        <f t="shared" si="1"/>
        <v>#N/A</v>
      </c>
      <c r="M22" s="69" t="e">
        <f>CashFlowCalcs!$H$14*(($E$6-C22)/(CashFlowCalcs!$H$15-1))</f>
        <v>#REF!</v>
      </c>
    </row>
    <row r="23" spans="2:13" s="2" customFormat="1" ht="21.75" customHeight="1" x14ac:dyDescent="0.2">
      <c r="B23" s="113" t="s">
        <v>30</v>
      </c>
      <c r="C23" s="5">
        <f t="shared" si="2"/>
        <v>8</v>
      </c>
      <c r="D23" s="32">
        <f>ROUND(D22+30.5,0)-3</f>
        <v>42348</v>
      </c>
      <c r="E23" s="49" t="e">
        <f>IF(D23&gt;$J$9,0,VLOOKUP(D23,CashFlowCalcs!$H$18:$J$750,3))</f>
        <v>#REF!</v>
      </c>
      <c r="F23" s="50"/>
      <c r="G23" s="50">
        <f t="shared" si="0"/>
        <v>0</v>
      </c>
      <c r="H23" s="49">
        <f t="shared" si="3"/>
        <v>0</v>
      </c>
      <c r="I23" s="49">
        <f t="shared" si="4"/>
        <v>0</v>
      </c>
      <c r="J23" s="49">
        <f t="shared" si="5"/>
        <v>0</v>
      </c>
      <c r="K23" s="51" t="e">
        <f>IF(ISBLANK(F23)=FALSE,F23,VLOOKUP(D23,CashFlowCalcs!$H$17:$O$750,5))</f>
        <v>#N/A</v>
      </c>
      <c r="L23" s="52" t="e">
        <f t="shared" si="1"/>
        <v>#N/A</v>
      </c>
      <c r="M23" s="69" t="e">
        <f>CashFlowCalcs!$H$14*(($E$6-C23)/(CashFlowCalcs!$H$15-1))</f>
        <v>#REF!</v>
      </c>
    </row>
    <row r="24" spans="2:13" s="2" customFormat="1" ht="21.75" customHeight="1" x14ac:dyDescent="0.2">
      <c r="B24" s="113" t="s">
        <v>31</v>
      </c>
      <c r="C24" s="5">
        <f t="shared" si="2"/>
        <v>9</v>
      </c>
      <c r="D24" s="32">
        <f t="shared" ref="D24:D40" si="6">ROUND(D23+30.5,0)</f>
        <v>42379</v>
      </c>
      <c r="E24" s="49" t="e">
        <f>IF(D24&gt;$J$9,0,VLOOKUP(D24,CashFlowCalcs!$H$18:$J$750,3))</f>
        <v>#REF!</v>
      </c>
      <c r="F24" s="50"/>
      <c r="G24" s="50">
        <f t="shared" si="0"/>
        <v>0</v>
      </c>
      <c r="H24" s="49">
        <f t="shared" si="3"/>
        <v>0</v>
      </c>
      <c r="I24" s="49">
        <f t="shared" si="4"/>
        <v>0</v>
      </c>
      <c r="J24" s="49">
        <f t="shared" si="5"/>
        <v>0</v>
      </c>
      <c r="K24" s="51" t="e">
        <f>IF(ISBLANK(F24)=FALSE,F24,VLOOKUP(D24,CashFlowCalcs!$H$17:$O$750,5))</f>
        <v>#N/A</v>
      </c>
      <c r="L24" s="52" t="e">
        <f t="shared" si="1"/>
        <v>#N/A</v>
      </c>
      <c r="M24" s="69" t="e">
        <f>CashFlowCalcs!$H$14*(($E$6-C24)/(CashFlowCalcs!$H$15-1))</f>
        <v>#REF!</v>
      </c>
    </row>
    <row r="25" spans="2:13" s="2" customFormat="1" ht="21.75" customHeight="1" x14ac:dyDescent="0.2">
      <c r="B25" s="113" t="s">
        <v>32</v>
      </c>
      <c r="C25" s="5">
        <f t="shared" si="2"/>
        <v>10</v>
      </c>
      <c r="D25" s="32">
        <f t="shared" si="6"/>
        <v>42410</v>
      </c>
      <c r="E25" s="49" t="e">
        <f>IF(D25&gt;$J$9,0,VLOOKUP(D25,CashFlowCalcs!$H$18:$J$750,3))</f>
        <v>#REF!</v>
      </c>
      <c r="F25" s="50"/>
      <c r="G25" s="50">
        <f t="shared" si="0"/>
        <v>0</v>
      </c>
      <c r="H25" s="49">
        <f t="shared" si="3"/>
        <v>0</v>
      </c>
      <c r="I25" s="49">
        <f t="shared" si="4"/>
        <v>0</v>
      </c>
      <c r="J25" s="49">
        <f t="shared" si="5"/>
        <v>0</v>
      </c>
      <c r="K25" s="51" t="e">
        <f>IF(ISBLANK(F25)=FALSE,F25,VLOOKUP(D25,CashFlowCalcs!$H$17:$O$750,5))</f>
        <v>#N/A</v>
      </c>
      <c r="L25" s="52" t="e">
        <f t="shared" si="1"/>
        <v>#N/A</v>
      </c>
      <c r="M25" s="69" t="e">
        <f>CashFlowCalcs!$H$14*(($E$6-C25)/(CashFlowCalcs!$H$15-1))</f>
        <v>#REF!</v>
      </c>
    </row>
    <row r="26" spans="2:13" s="2" customFormat="1" ht="21.75" customHeight="1" x14ac:dyDescent="0.2">
      <c r="B26" s="113" t="s">
        <v>33</v>
      </c>
      <c r="C26" s="5">
        <f t="shared" si="2"/>
        <v>11</v>
      </c>
      <c r="D26" s="32">
        <f t="shared" si="6"/>
        <v>42441</v>
      </c>
      <c r="E26" s="49" t="e">
        <f>IF(D26&gt;$J$9,0,VLOOKUP(D26,CashFlowCalcs!$H$18:$J$750,3))</f>
        <v>#REF!</v>
      </c>
      <c r="F26" s="50"/>
      <c r="G26" s="50">
        <f t="shared" si="0"/>
        <v>0</v>
      </c>
      <c r="H26" s="49">
        <f t="shared" si="3"/>
        <v>0</v>
      </c>
      <c r="I26" s="49">
        <f t="shared" si="4"/>
        <v>0</v>
      </c>
      <c r="J26" s="49">
        <f t="shared" si="5"/>
        <v>0</v>
      </c>
      <c r="K26" s="51" t="e">
        <f>IF(ISBLANK(F26)=FALSE,F26,VLOOKUP(D26,CashFlowCalcs!$H$17:$O$750,5))</f>
        <v>#N/A</v>
      </c>
      <c r="L26" s="52" t="e">
        <f t="shared" si="1"/>
        <v>#N/A</v>
      </c>
      <c r="M26" s="69" t="e">
        <f>CashFlowCalcs!$H$14*(($E$6-C26)/(CashFlowCalcs!$H$15-1))</f>
        <v>#REF!</v>
      </c>
    </row>
    <row r="27" spans="2:13" s="2" customFormat="1" ht="21.75" customHeight="1" x14ac:dyDescent="0.2">
      <c r="B27" s="113" t="s">
        <v>34</v>
      </c>
      <c r="C27" s="5">
        <f t="shared" si="2"/>
        <v>12</v>
      </c>
      <c r="D27" s="32">
        <f t="shared" si="6"/>
        <v>42472</v>
      </c>
      <c r="E27" s="49" t="e">
        <f>IF(D27&gt;$J$9,0,VLOOKUP(D27,CashFlowCalcs!$H$18:$J$750,3))</f>
        <v>#REF!</v>
      </c>
      <c r="F27" s="50"/>
      <c r="G27" s="50">
        <f t="shared" si="0"/>
        <v>0</v>
      </c>
      <c r="H27" s="49">
        <f t="shared" si="3"/>
        <v>0</v>
      </c>
      <c r="I27" s="49">
        <f t="shared" si="4"/>
        <v>0</v>
      </c>
      <c r="J27" s="49">
        <f t="shared" si="5"/>
        <v>0</v>
      </c>
      <c r="K27" s="51" t="e">
        <f>IF(ISBLANK(F27)=FALSE,F27,VLOOKUP(D27,CashFlowCalcs!$H$17:$O$750,5))</f>
        <v>#N/A</v>
      </c>
      <c r="L27" s="52" t="e">
        <f t="shared" si="1"/>
        <v>#N/A</v>
      </c>
      <c r="M27" s="69" t="e">
        <f>CashFlowCalcs!$H$14*(($E$6-C27)/(CashFlowCalcs!$H$15-1))</f>
        <v>#REF!</v>
      </c>
    </row>
    <row r="28" spans="2:13" s="2" customFormat="1" ht="21.75" customHeight="1" x14ac:dyDescent="0.2">
      <c r="B28" s="113" t="s">
        <v>35</v>
      </c>
      <c r="C28" s="5">
        <f t="shared" si="2"/>
        <v>13</v>
      </c>
      <c r="D28" s="32">
        <f t="shared" si="6"/>
        <v>42503</v>
      </c>
      <c r="E28" s="49" t="e">
        <f>IF(D28&gt;$J$9,0,VLOOKUP(D28,CashFlowCalcs!$H$18:$J$750,3))</f>
        <v>#REF!</v>
      </c>
      <c r="F28" s="50"/>
      <c r="G28" s="50">
        <f t="shared" si="0"/>
        <v>0</v>
      </c>
      <c r="H28" s="49">
        <f t="shared" si="3"/>
        <v>0</v>
      </c>
      <c r="I28" s="49">
        <f t="shared" si="4"/>
        <v>0</v>
      </c>
      <c r="J28" s="49">
        <f t="shared" si="5"/>
        <v>0</v>
      </c>
      <c r="K28" s="51" t="e">
        <f>IF(ISBLANK(F28)=FALSE,F28,VLOOKUP(D28,CashFlowCalcs!$H$17:$O$750,5))</f>
        <v>#N/A</v>
      </c>
      <c r="L28" s="52" t="e">
        <f t="shared" si="1"/>
        <v>#N/A</v>
      </c>
      <c r="M28" s="69" t="e">
        <f>CashFlowCalcs!$H$14*(($E$6-C28)/(CashFlowCalcs!$H$15-1))</f>
        <v>#REF!</v>
      </c>
    </row>
    <row r="29" spans="2:13" s="2" customFormat="1" ht="21.75" customHeight="1" x14ac:dyDescent="0.2">
      <c r="B29" s="113" t="s">
        <v>36</v>
      </c>
      <c r="C29" s="5">
        <f t="shared" si="2"/>
        <v>14</v>
      </c>
      <c r="D29" s="32">
        <f t="shared" si="6"/>
        <v>42534</v>
      </c>
      <c r="E29" s="49" t="e">
        <f>IF(D29&gt;$J$9,0,VLOOKUP(D29,CashFlowCalcs!$H$18:$J$750,3))</f>
        <v>#REF!</v>
      </c>
      <c r="F29" s="50"/>
      <c r="G29" s="50">
        <f t="shared" si="0"/>
        <v>0</v>
      </c>
      <c r="H29" s="49">
        <f t="shared" si="3"/>
        <v>0</v>
      </c>
      <c r="I29" s="49">
        <f t="shared" si="4"/>
        <v>0</v>
      </c>
      <c r="J29" s="49">
        <f t="shared" si="5"/>
        <v>0</v>
      </c>
      <c r="K29" s="51" t="e">
        <f>IF(ISBLANK(F29)=FALSE,F29,VLOOKUP(D29,CashFlowCalcs!$H$17:$O$750,5))</f>
        <v>#N/A</v>
      </c>
      <c r="L29" s="52" t="e">
        <f t="shared" si="1"/>
        <v>#N/A</v>
      </c>
      <c r="M29" s="69" t="e">
        <f>CashFlowCalcs!$H$14*(($E$6-C29)/(CashFlowCalcs!$H$15-1))</f>
        <v>#REF!</v>
      </c>
    </row>
    <row r="30" spans="2:13" s="2" customFormat="1" ht="21.75" customHeight="1" x14ac:dyDescent="0.2">
      <c r="B30" s="113" t="s">
        <v>37</v>
      </c>
      <c r="C30" s="5">
        <f t="shared" si="2"/>
        <v>15</v>
      </c>
      <c r="D30" s="32">
        <f t="shared" si="6"/>
        <v>42565</v>
      </c>
      <c r="E30" s="49" t="e">
        <f>IF(D30&gt;$J$9,0,VLOOKUP(D30,CashFlowCalcs!$H$18:$J$750,3))</f>
        <v>#REF!</v>
      </c>
      <c r="F30" s="50"/>
      <c r="G30" s="50">
        <f t="shared" si="0"/>
        <v>0</v>
      </c>
      <c r="H30" s="49">
        <f t="shared" si="3"/>
        <v>0</v>
      </c>
      <c r="I30" s="49">
        <f t="shared" si="4"/>
        <v>0</v>
      </c>
      <c r="J30" s="49">
        <f t="shared" si="5"/>
        <v>0</v>
      </c>
      <c r="K30" s="51" t="e">
        <f>IF(ISBLANK(F30)=FALSE,F30,VLOOKUP(D30,CashFlowCalcs!$H$17:$O$750,5))</f>
        <v>#N/A</v>
      </c>
      <c r="L30" s="52" t="e">
        <f t="shared" si="1"/>
        <v>#N/A</v>
      </c>
      <c r="M30" s="69" t="e">
        <f>CashFlowCalcs!$H$14*(($E$6-C30)/(CashFlowCalcs!$H$15-1))</f>
        <v>#REF!</v>
      </c>
    </row>
    <row r="31" spans="2:13" s="2" customFormat="1" ht="21.75" customHeight="1" x14ac:dyDescent="0.2">
      <c r="B31" s="113" t="s">
        <v>38</v>
      </c>
      <c r="C31" s="5">
        <f t="shared" si="2"/>
        <v>16</v>
      </c>
      <c r="D31" s="32">
        <f>ROUND(D30+30.5,0)-9-5</f>
        <v>42582</v>
      </c>
      <c r="E31" s="49" t="e">
        <f>IF(D31&gt;$J$9,0,VLOOKUP(D31,CashFlowCalcs!$H$18:$J$750,3))</f>
        <v>#REF!</v>
      </c>
      <c r="F31" s="50"/>
      <c r="G31" s="50">
        <f t="shared" si="0"/>
        <v>0</v>
      </c>
      <c r="H31" s="49">
        <f t="shared" si="3"/>
        <v>0</v>
      </c>
      <c r="I31" s="49">
        <f t="shared" si="4"/>
        <v>0</v>
      </c>
      <c r="J31" s="49">
        <f t="shared" si="5"/>
        <v>0</v>
      </c>
      <c r="K31" s="51" t="e">
        <f>IF(ISBLANK(F31)=FALSE,F31,VLOOKUP(D31,CashFlowCalcs!$H$17:$O$750,5))</f>
        <v>#N/A</v>
      </c>
      <c r="L31" s="52" t="e">
        <f t="shared" si="1"/>
        <v>#N/A</v>
      </c>
      <c r="M31" s="69" t="e">
        <f>CashFlowCalcs!$H$14*(($E$6-C31)/(CashFlowCalcs!$H$15-1))</f>
        <v>#REF!</v>
      </c>
    </row>
    <row r="32" spans="2:13" s="2" customFormat="1" ht="21.75" customHeight="1" x14ac:dyDescent="0.2">
      <c r="B32" s="113" t="s">
        <v>39</v>
      </c>
      <c r="C32" s="5">
        <f t="shared" si="2"/>
        <v>17</v>
      </c>
      <c r="D32" s="32">
        <f t="shared" si="6"/>
        <v>42613</v>
      </c>
      <c r="E32" s="49" t="e">
        <f>IF(D32&gt;$J$9,0,VLOOKUP(D32,CashFlowCalcs!$H$18:$J$750,3))</f>
        <v>#REF!</v>
      </c>
      <c r="F32" s="50"/>
      <c r="G32" s="50">
        <f t="shared" si="0"/>
        <v>0</v>
      </c>
      <c r="H32" s="49">
        <f t="shared" ref="H32:H40" si="7">G32*-1*$E$7</f>
        <v>0</v>
      </c>
      <c r="I32" s="49" t="e">
        <f t="shared" ref="I32:I40" si="8">IF(C32&lt;=$E$5,E32+H32,0)</f>
        <v>#REF!</v>
      </c>
      <c r="J32" s="49">
        <f t="shared" si="5"/>
        <v>0</v>
      </c>
      <c r="K32" s="51" t="e">
        <f>IF(ISBLANK(F32)=FALSE,F32,VLOOKUP(D32,CashFlowCalcs!$H$17:$O$750,5))</f>
        <v>#N/A</v>
      </c>
      <c r="L32" s="52"/>
      <c r="M32" s="69" t="e">
        <f>CashFlowCalcs!$H$14*(($E$6-C32)/(CashFlowCalcs!$H$15-1))</f>
        <v>#REF!</v>
      </c>
    </row>
    <row r="33" spans="2:13" s="2" customFormat="1" ht="21.75" customHeight="1" x14ac:dyDescent="0.2">
      <c r="B33" s="113" t="s">
        <v>40</v>
      </c>
      <c r="C33" s="5">
        <f t="shared" si="2"/>
        <v>18</v>
      </c>
      <c r="D33" s="32">
        <f t="shared" si="6"/>
        <v>42644</v>
      </c>
      <c r="E33" s="49" t="e">
        <f>IF(D33&gt;$J$9,0,VLOOKUP(D33,CashFlowCalcs!$H$18:$J$750,3))</f>
        <v>#REF!</v>
      </c>
      <c r="F33" s="50"/>
      <c r="G33" s="50">
        <f t="shared" si="0"/>
        <v>0</v>
      </c>
      <c r="H33" s="49">
        <f t="shared" si="7"/>
        <v>0</v>
      </c>
      <c r="I33" s="49" t="e">
        <f t="shared" si="8"/>
        <v>#REF!</v>
      </c>
      <c r="J33" s="49">
        <f t="shared" si="5"/>
        <v>0</v>
      </c>
      <c r="K33" s="51" t="e">
        <f>IF(ISBLANK(F33)=FALSE,F33,VLOOKUP(D33,CashFlowCalcs!$H$17:$O$750,5))</f>
        <v>#N/A</v>
      </c>
      <c r="L33" s="52"/>
      <c r="M33" s="69" t="e">
        <f>CashFlowCalcs!$H$14*(($E$6-C33)/(CashFlowCalcs!$H$15-1))</f>
        <v>#REF!</v>
      </c>
    </row>
    <row r="34" spans="2:13" s="2" customFormat="1" ht="21.75" customHeight="1" x14ac:dyDescent="0.2">
      <c r="B34" s="113" t="s">
        <v>41</v>
      </c>
      <c r="C34" s="5">
        <f t="shared" si="2"/>
        <v>19</v>
      </c>
      <c r="D34" s="32">
        <f t="shared" si="6"/>
        <v>42675</v>
      </c>
      <c r="E34" s="49" t="e">
        <f>IF(D34&gt;$J$9,0,VLOOKUP(D34,CashFlowCalcs!$H$18:$J$750,3))</f>
        <v>#REF!</v>
      </c>
      <c r="F34" s="50"/>
      <c r="G34" s="50">
        <f t="shared" si="0"/>
        <v>0</v>
      </c>
      <c r="H34" s="49">
        <f t="shared" si="7"/>
        <v>0</v>
      </c>
      <c r="I34" s="49" t="e">
        <f t="shared" si="8"/>
        <v>#REF!</v>
      </c>
      <c r="J34" s="49">
        <f t="shared" si="5"/>
        <v>0</v>
      </c>
      <c r="K34" s="51" t="e">
        <f>IF(ISBLANK(F34)=FALSE,F34,VLOOKUP(D34,CashFlowCalcs!$H$17:$O$750,5))</f>
        <v>#N/A</v>
      </c>
      <c r="L34" s="52"/>
      <c r="M34" s="69" t="e">
        <f>CashFlowCalcs!$H$14*(($E$6-C34)/(CashFlowCalcs!$H$15-1))</f>
        <v>#REF!</v>
      </c>
    </row>
    <row r="35" spans="2:13" s="2" customFormat="1" ht="21.75" customHeight="1" x14ac:dyDescent="0.2">
      <c r="B35" s="113" t="s">
        <v>42</v>
      </c>
      <c r="C35" s="5">
        <f t="shared" si="2"/>
        <v>20</v>
      </c>
      <c r="D35" s="32">
        <f t="shared" si="6"/>
        <v>42706</v>
      </c>
      <c r="E35" s="49" t="e">
        <f>IF(D35&gt;$J$9,0,VLOOKUP(D35,CashFlowCalcs!$H$18:$J$750,3))</f>
        <v>#REF!</v>
      </c>
      <c r="F35" s="50"/>
      <c r="G35" s="50">
        <f t="shared" si="0"/>
        <v>0</v>
      </c>
      <c r="H35" s="49">
        <f t="shared" si="7"/>
        <v>0</v>
      </c>
      <c r="I35" s="49" t="e">
        <f t="shared" si="8"/>
        <v>#REF!</v>
      </c>
      <c r="J35" s="49">
        <f t="shared" si="5"/>
        <v>0</v>
      </c>
      <c r="K35" s="51" t="e">
        <f>IF(ISBLANK(F35)=FALSE,F35,VLOOKUP(D35,CashFlowCalcs!$H$17:$O$750,5))</f>
        <v>#N/A</v>
      </c>
      <c r="L35" s="52"/>
      <c r="M35" s="69" t="e">
        <f>CashFlowCalcs!$H$14*(($E$6-C35)/(CashFlowCalcs!$H$15-1))</f>
        <v>#REF!</v>
      </c>
    </row>
    <row r="36" spans="2:13" s="2" customFormat="1" ht="21.75" customHeight="1" x14ac:dyDescent="0.2">
      <c r="B36" s="113" t="s">
        <v>43</v>
      </c>
      <c r="C36" s="5">
        <f t="shared" si="2"/>
        <v>21</v>
      </c>
      <c r="D36" s="32">
        <f t="shared" si="6"/>
        <v>42737</v>
      </c>
      <c r="E36" s="49" t="e">
        <f>IF(D36&gt;$J$9,0,VLOOKUP(D36,CashFlowCalcs!$H$18:$J$750,3))</f>
        <v>#REF!</v>
      </c>
      <c r="F36" s="50"/>
      <c r="G36" s="50">
        <f t="shared" si="0"/>
        <v>0</v>
      </c>
      <c r="H36" s="49">
        <f t="shared" si="7"/>
        <v>0</v>
      </c>
      <c r="I36" s="49" t="e">
        <f t="shared" si="8"/>
        <v>#REF!</v>
      </c>
      <c r="J36" s="49">
        <f t="shared" si="5"/>
        <v>0</v>
      </c>
      <c r="K36" s="51" t="e">
        <f>IF(ISBLANK(F36)=FALSE,F36,VLOOKUP(D36,CashFlowCalcs!$H$17:$O$750,5))</f>
        <v>#N/A</v>
      </c>
      <c r="L36" s="52"/>
      <c r="M36" s="69" t="e">
        <f>CashFlowCalcs!$H$14*(($E$6-C36)/(CashFlowCalcs!$H$15-1))</f>
        <v>#REF!</v>
      </c>
    </row>
    <row r="37" spans="2:13" s="2" customFormat="1" ht="21.75" customHeight="1" x14ac:dyDescent="0.2">
      <c r="B37" s="113" t="s">
        <v>44</v>
      </c>
      <c r="C37" s="5">
        <f t="shared" si="2"/>
        <v>22</v>
      </c>
      <c r="D37" s="32">
        <f t="shared" si="6"/>
        <v>42768</v>
      </c>
      <c r="E37" s="49" t="e">
        <f>IF(D37&gt;$J$9,0,VLOOKUP(D37,CashFlowCalcs!$H$18:$J$750,3))</f>
        <v>#REF!</v>
      </c>
      <c r="F37" s="50"/>
      <c r="G37" s="50">
        <f t="shared" si="0"/>
        <v>0</v>
      </c>
      <c r="H37" s="49">
        <f t="shared" si="7"/>
        <v>0</v>
      </c>
      <c r="I37" s="49" t="e">
        <f t="shared" si="8"/>
        <v>#REF!</v>
      </c>
      <c r="J37" s="49">
        <f t="shared" si="5"/>
        <v>0</v>
      </c>
      <c r="K37" s="51" t="e">
        <f>IF(ISBLANK(F37)=FALSE,F37,VLOOKUP(D37,CashFlowCalcs!$H$17:$O$750,5))</f>
        <v>#N/A</v>
      </c>
      <c r="L37" s="52"/>
      <c r="M37" s="69" t="e">
        <f>CashFlowCalcs!$H$14*(($E$6-C37)/(CashFlowCalcs!$H$15-1))</f>
        <v>#REF!</v>
      </c>
    </row>
    <row r="38" spans="2:13" s="2" customFormat="1" ht="21.75" customHeight="1" x14ac:dyDescent="0.2">
      <c r="B38" s="113" t="s">
        <v>45</v>
      </c>
      <c r="C38" s="5">
        <f t="shared" si="2"/>
        <v>23</v>
      </c>
      <c r="D38" s="32">
        <f t="shared" si="6"/>
        <v>42799</v>
      </c>
      <c r="E38" s="49" t="e">
        <f>IF(D38&gt;$J$9,0,VLOOKUP(D38,CashFlowCalcs!$H$18:$J$750,3))</f>
        <v>#REF!</v>
      </c>
      <c r="F38" s="50"/>
      <c r="G38" s="50">
        <f t="shared" si="0"/>
        <v>0</v>
      </c>
      <c r="H38" s="49">
        <f t="shared" si="7"/>
        <v>0</v>
      </c>
      <c r="I38" s="49" t="e">
        <f t="shared" si="8"/>
        <v>#REF!</v>
      </c>
      <c r="J38" s="49">
        <f t="shared" si="5"/>
        <v>0</v>
      </c>
      <c r="K38" s="51" t="e">
        <f>IF(ISBLANK(F38)=FALSE,F38,VLOOKUP(D38,CashFlowCalcs!$H$17:$O$750,5))</f>
        <v>#N/A</v>
      </c>
      <c r="L38" s="52"/>
      <c r="M38" s="69" t="e">
        <f>CashFlowCalcs!$H$14*(($E$6-C38)/(CashFlowCalcs!$H$15-1))</f>
        <v>#REF!</v>
      </c>
    </row>
    <row r="39" spans="2:13" s="2" customFormat="1" ht="21.75" customHeight="1" x14ac:dyDescent="0.2">
      <c r="B39" s="113" t="s">
        <v>46</v>
      </c>
      <c r="C39" s="5">
        <f t="shared" si="2"/>
        <v>24</v>
      </c>
      <c r="D39" s="32">
        <f t="shared" si="6"/>
        <v>42830</v>
      </c>
      <c r="E39" s="49" t="e">
        <f>IF(D39&gt;$J$9,0,VLOOKUP(D39,CashFlowCalcs!$H$18:$J$750,3))</f>
        <v>#REF!</v>
      </c>
      <c r="F39" s="50"/>
      <c r="G39" s="50">
        <f t="shared" si="0"/>
        <v>0</v>
      </c>
      <c r="H39" s="49">
        <f t="shared" si="7"/>
        <v>0</v>
      </c>
      <c r="I39" s="49" t="e">
        <f t="shared" si="8"/>
        <v>#REF!</v>
      </c>
      <c r="J39" s="49">
        <f t="shared" si="5"/>
        <v>0</v>
      </c>
      <c r="K39" s="51" t="e">
        <f>IF(ISBLANK(F39)=FALSE,F39,VLOOKUP(D39,CashFlowCalcs!$H$17:$O$750,5))</f>
        <v>#N/A</v>
      </c>
      <c r="L39" s="52"/>
      <c r="M39" s="69" t="e">
        <f>CashFlowCalcs!$H$14*(($E$6-C39)/(CashFlowCalcs!$H$15-1))</f>
        <v>#REF!</v>
      </c>
    </row>
    <row r="40" spans="2:13" s="2" customFormat="1" ht="21.75" customHeight="1" x14ac:dyDescent="0.2">
      <c r="B40" s="113" t="s">
        <v>47</v>
      </c>
      <c r="C40" s="5">
        <f t="shared" si="2"/>
        <v>25</v>
      </c>
      <c r="D40" s="32">
        <f t="shared" si="6"/>
        <v>42861</v>
      </c>
      <c r="E40" s="49" t="e">
        <f>IF(D40&gt;$J$9,0,VLOOKUP(D40,CashFlowCalcs!$H$18:$J$750,3))</f>
        <v>#REF!</v>
      </c>
      <c r="F40" s="50"/>
      <c r="G40" s="50">
        <f t="shared" si="0"/>
        <v>0</v>
      </c>
      <c r="H40" s="49">
        <f t="shared" si="7"/>
        <v>0</v>
      </c>
      <c r="I40" s="49" t="e">
        <f t="shared" si="8"/>
        <v>#REF!</v>
      </c>
      <c r="J40" s="49">
        <f t="shared" si="5"/>
        <v>0</v>
      </c>
      <c r="K40" s="51" t="e">
        <f>IF(ISBLANK(F40)=FALSE,F40,VLOOKUP(D40,CashFlowCalcs!$H$17:$O$750,5))</f>
        <v>#N/A</v>
      </c>
      <c r="L40" s="52"/>
      <c r="M40" s="69" t="e">
        <f>CashFlowCalcs!$H$14*(($E$6-C40)/(CashFlowCalcs!$H$15-1))</f>
        <v>#REF!</v>
      </c>
    </row>
    <row r="41" spans="2:13" s="2" customFormat="1" ht="21.75" customHeight="1" x14ac:dyDescent="0.2">
      <c r="B41" s="33"/>
      <c r="C41" s="34"/>
      <c r="D41" s="34"/>
      <c r="E41" s="53"/>
      <c r="F41" s="53"/>
      <c r="G41" s="53"/>
      <c r="H41" s="53"/>
      <c r="I41" s="53"/>
      <c r="J41" s="53"/>
      <c r="K41" s="53"/>
      <c r="L41" s="54"/>
    </row>
    <row r="42" spans="2:13" s="2" customFormat="1" x14ac:dyDescent="0.2">
      <c r="C42" s="38"/>
      <c r="D42" s="38"/>
      <c r="E42" s="39"/>
      <c r="F42" s="39"/>
      <c r="G42" s="39"/>
      <c r="H42" s="40"/>
    </row>
    <row r="43" spans="2:13" s="2" customFormat="1" x14ac:dyDescent="0.2">
      <c r="C43" s="38"/>
      <c r="D43" s="38"/>
      <c r="E43" s="39"/>
      <c r="F43" s="39"/>
      <c r="G43" s="39"/>
      <c r="H43" s="40"/>
    </row>
    <row r="44" spans="2:13" s="2" customFormat="1" x14ac:dyDescent="0.2">
      <c r="C44" s="38"/>
      <c r="D44" s="7"/>
      <c r="E44" s="39"/>
      <c r="G44" s="39"/>
      <c r="H44" s="40"/>
    </row>
    <row r="45" spans="2:13" s="2" customFormat="1" x14ac:dyDescent="0.2">
      <c r="C45" s="38"/>
    </row>
  </sheetData>
  <mergeCells count="5">
    <mergeCell ref="E1:H1"/>
    <mergeCell ref="H5:I5"/>
    <mergeCell ref="H6:I6"/>
    <mergeCell ref="H8:I8"/>
    <mergeCell ref="H7:I7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/>
  <dimension ref="A1:S751"/>
  <sheetViews>
    <sheetView zoomScale="75" zoomScaleNormal="75" workbookViewId="0">
      <pane ySplit="17" topLeftCell="A192" activePane="bottomLeft" state="frozen"/>
      <selection pane="bottomLeft" activeCell="H11" sqref="H11"/>
    </sheetView>
  </sheetViews>
  <sheetFormatPr defaultRowHeight="15" x14ac:dyDescent="0.25"/>
  <cols>
    <col min="2" max="2" width="9.28515625" bestFit="1" customWidth="1"/>
    <col min="4" max="4" width="9.28515625" bestFit="1" customWidth="1"/>
    <col min="5" max="5" width="12" bestFit="1" customWidth="1"/>
    <col min="6" max="6" width="16.140625" customWidth="1"/>
    <col min="7" max="7" width="15.5703125" customWidth="1"/>
    <col min="8" max="8" width="12.42578125" customWidth="1"/>
    <col min="9" max="9" width="11.85546875" customWidth="1"/>
    <col min="10" max="10" width="13.85546875" customWidth="1"/>
    <col min="11" max="11" width="14.5703125" customWidth="1"/>
    <col min="12" max="12" width="15.140625" customWidth="1"/>
    <col min="13" max="13" width="13" bestFit="1" customWidth="1"/>
    <col min="14" max="14" width="13.140625" customWidth="1"/>
    <col min="15" max="15" width="9.28515625" bestFit="1" customWidth="1"/>
    <col min="16" max="16" width="11.5703125" style="159" bestFit="1" customWidth="1"/>
    <col min="17" max="17" width="11.5703125" style="159" customWidth="1"/>
    <col min="18" max="18" width="18.5703125" customWidth="1"/>
    <col min="19" max="19" width="11.5703125" style="164" bestFit="1" customWidth="1"/>
  </cols>
  <sheetData>
    <row r="1" spans="1:19" x14ac:dyDescent="0.25">
      <c r="D1" s="364" t="s">
        <v>52</v>
      </c>
      <c r="E1" s="363"/>
      <c r="F1" s="365"/>
      <c r="G1" s="72">
        <f>StartOnSite</f>
        <v>44368</v>
      </c>
      <c r="H1" s="58" t="s">
        <v>53</v>
      </c>
      <c r="I1" s="72">
        <f>CompOnSite</f>
        <v>45131</v>
      </c>
      <c r="J1" s="57" t="s">
        <v>56</v>
      </c>
      <c r="K1" s="75">
        <f>I1-G1-1</f>
        <v>762</v>
      </c>
      <c r="N1" s="71" t="s">
        <v>63</v>
      </c>
    </row>
    <row r="2" spans="1:19" ht="15" customHeight="1" x14ac:dyDescent="0.25">
      <c r="D2" s="364" t="s">
        <v>55</v>
      </c>
      <c r="E2" s="363"/>
      <c r="F2" s="365"/>
      <c r="G2" s="73">
        <f>I1-G1</f>
        <v>763</v>
      </c>
      <c r="H2" s="58"/>
      <c r="I2">
        <f>VLOOKUP($I$1,$E$17:$Q$750,13)</f>
        <v>505</v>
      </c>
      <c r="J2" s="58"/>
    </row>
    <row r="3" spans="1:19" x14ac:dyDescent="0.25">
      <c r="D3" s="364" t="s">
        <v>54</v>
      </c>
      <c r="E3" s="363"/>
      <c r="F3" s="363"/>
      <c r="G3" s="58" t="s">
        <v>0</v>
      </c>
      <c r="H3" s="354">
        <f>G1</f>
        <v>44368</v>
      </c>
      <c r="I3" s="58" t="s">
        <v>56</v>
      </c>
      <c r="J3" s="73">
        <f>H4-H3</f>
        <v>0</v>
      </c>
    </row>
    <row r="4" spans="1:19" x14ac:dyDescent="0.25">
      <c r="D4" s="364" t="s">
        <v>51</v>
      </c>
      <c r="E4" s="363"/>
      <c r="F4" s="363"/>
      <c r="G4" s="58" t="s">
        <v>0</v>
      </c>
      <c r="H4" s="354">
        <f>H3</f>
        <v>44368</v>
      </c>
      <c r="I4" s="58" t="s">
        <v>56</v>
      </c>
      <c r="J4" s="73">
        <f>H5-H4</f>
        <v>0</v>
      </c>
      <c r="M4" s="74"/>
      <c r="N4" t="s">
        <v>64</v>
      </c>
    </row>
    <row r="5" spans="1:19" x14ac:dyDescent="0.25">
      <c r="D5" s="364" t="s">
        <v>65</v>
      </c>
      <c r="E5" s="363"/>
      <c r="F5" s="363"/>
      <c r="G5" s="58" t="s">
        <v>0</v>
      </c>
      <c r="H5" s="354">
        <f>H4</f>
        <v>44368</v>
      </c>
      <c r="I5" s="58" t="s">
        <v>56</v>
      </c>
      <c r="J5" s="73">
        <f>VLOOKUP($I$1,TAB_DATE1_DAYNO,9)-VLOOKUP($H$5,TAB_DATE1_DAYNO,9)+1</f>
        <v>505</v>
      </c>
      <c r="M5" s="75"/>
      <c r="N5" t="s">
        <v>66</v>
      </c>
    </row>
    <row r="6" spans="1:19" ht="16.5" customHeight="1" thickBot="1" x14ac:dyDescent="0.3">
      <c r="D6" s="362" t="s">
        <v>67</v>
      </c>
      <c r="E6" s="363"/>
      <c r="F6" s="363"/>
      <c r="G6" s="76">
        <f>CF_ContractSum</f>
        <v>9119824.2599999998</v>
      </c>
      <c r="H6" s="77" t="s">
        <v>68</v>
      </c>
      <c r="I6" s="73">
        <f>CashFlow!J1</f>
        <v>25</v>
      </c>
      <c r="J6" s="72">
        <f>VLOOKUP(I6,CashFlow!$C$16:$D$40,2)</f>
        <v>45106.5</v>
      </c>
      <c r="K6">
        <f>VLOOKUP($J$6,$E$17:$Q$750,13)</f>
        <v>505</v>
      </c>
    </row>
    <row r="7" spans="1:19" x14ac:dyDescent="0.25">
      <c r="D7" s="362" t="s">
        <v>69</v>
      </c>
      <c r="E7" s="363"/>
      <c r="F7" s="363"/>
      <c r="G7" s="94"/>
      <c r="H7" s="61"/>
      <c r="I7" s="60" t="s">
        <v>70</v>
      </c>
      <c r="J7" s="62" t="s">
        <v>71</v>
      </c>
      <c r="L7" s="102" t="s">
        <v>114</v>
      </c>
      <c r="M7" s="103" t="s">
        <v>94</v>
      </c>
      <c r="N7" s="104" t="s">
        <v>95</v>
      </c>
    </row>
    <row r="8" spans="1:19" ht="15.75" thickBot="1" x14ac:dyDescent="0.3">
      <c r="D8" s="362" t="s">
        <v>72</v>
      </c>
      <c r="E8" s="363"/>
      <c r="F8" s="363"/>
      <c r="G8" s="76">
        <f>G6-G7</f>
        <v>9119824.2599999998</v>
      </c>
      <c r="H8" s="61"/>
      <c r="I8" s="98">
        <f>VLOOKUP($I$6,CashFlow!$C$16:$K$40,3)</f>
        <v>9119824.2599999998</v>
      </c>
      <c r="J8" s="98">
        <f>VLOOKUP($I$6,CashFlow!$C$16:$K$40,4)</f>
        <v>0</v>
      </c>
      <c r="L8" s="105">
        <f>$G6-VLOOKUP($I6,CashFlow!$C$16:$K$40,3)</f>
        <v>0</v>
      </c>
      <c r="M8" s="105">
        <f>$G6-VLOOKUP($I6,CashFlow!$C$16:$K$40,4)</f>
        <v>9119824.2599999998</v>
      </c>
      <c r="N8" s="106" t="e">
        <f>M8/L8</f>
        <v>#DIV/0!</v>
      </c>
    </row>
    <row r="9" spans="1:19" s="71" customFormat="1" x14ac:dyDescent="0.25">
      <c r="F9" s="59"/>
      <c r="G9" s="63"/>
      <c r="H9" s="77"/>
      <c r="I9" s="99" t="s">
        <v>73</v>
      </c>
      <c r="J9" s="100" t="s">
        <v>74</v>
      </c>
      <c r="L9" s="60" t="s">
        <v>115</v>
      </c>
      <c r="M9" s="99">
        <f>M8-L8</f>
        <v>9119824.2599999998</v>
      </c>
      <c r="P9" s="160"/>
      <c r="Q9" s="160"/>
      <c r="R9" s="108">
        <f>J6+1</f>
        <v>45107.5</v>
      </c>
      <c r="S9" s="165"/>
    </row>
    <row r="10" spans="1:19" s="71" customFormat="1" x14ac:dyDescent="0.25">
      <c r="F10" s="59"/>
      <c r="G10" s="63"/>
      <c r="H10" s="61"/>
      <c r="I10" s="98">
        <f>J8-I8</f>
        <v>-9119824.2599999998</v>
      </c>
      <c r="J10" s="101">
        <f>I10/(I1-J6)</f>
        <v>-372237.72489795915</v>
      </c>
      <c r="L10" s="361"/>
      <c r="M10" s="361"/>
      <c r="N10" s="108"/>
      <c r="P10" s="160"/>
      <c r="Q10" s="160"/>
      <c r="S10" s="165"/>
    </row>
    <row r="11" spans="1:19" s="71" customFormat="1" x14ac:dyDescent="0.25">
      <c r="D11" s="7" t="s">
        <v>48</v>
      </c>
      <c r="E11" s="39"/>
      <c r="F11" s="114">
        <f>CashFlowARA!$F$3</f>
        <v>9119824.2599999998</v>
      </c>
      <c r="G11" s="114">
        <f>MAX(CashFlow!$F$16:$F$40)</f>
        <v>0</v>
      </c>
      <c r="H11" s="115">
        <f>F11-G11</f>
        <v>9119824.2599999998</v>
      </c>
      <c r="I11" s="2"/>
      <c r="J11" s="61"/>
      <c r="L11" s="112"/>
      <c r="M11" s="112"/>
      <c r="N11" s="108"/>
      <c r="P11" s="160"/>
      <c r="Q11" s="160"/>
      <c r="S11" s="165"/>
    </row>
    <row r="12" spans="1:19" s="71" customFormat="1" x14ac:dyDescent="0.25">
      <c r="D12" s="8" t="s">
        <v>49</v>
      </c>
      <c r="E12" s="55"/>
      <c r="F12" s="114">
        <f>CashFlow!$F$3</f>
        <v>9119824.2599999998</v>
      </c>
      <c r="G12" s="114" t="e">
        <f>VLOOKUP(#REF!,CashFlow!C$16:G$40,3)</f>
        <v>#REF!</v>
      </c>
      <c r="H12" s="115" t="e">
        <f>F12-G12</f>
        <v>#REF!</v>
      </c>
      <c r="I12" s="8"/>
      <c r="J12" s="61"/>
      <c r="L12" s="112"/>
      <c r="M12" s="112"/>
      <c r="N12" s="108"/>
      <c r="P12" s="160"/>
      <c r="Q12" s="160"/>
      <c r="S12" s="165"/>
    </row>
    <row r="13" spans="1:19" s="71" customFormat="1" x14ac:dyDescent="0.25">
      <c r="D13" s="8" t="s">
        <v>50</v>
      </c>
      <c r="E13" s="55"/>
      <c r="F13" s="56"/>
      <c r="G13" s="55"/>
      <c r="H13" s="70"/>
      <c r="I13" s="8"/>
      <c r="J13" s="61"/>
      <c r="L13" s="112"/>
      <c r="M13" s="112"/>
      <c r="N13" s="108"/>
      <c r="P13" s="160"/>
      <c r="Q13" s="160"/>
      <c r="S13" s="165"/>
    </row>
    <row r="14" spans="1:19" s="71" customFormat="1" x14ac:dyDescent="0.25">
      <c r="D14" s="8"/>
      <c r="E14" s="55"/>
      <c r="F14" s="40" t="s">
        <v>61</v>
      </c>
      <c r="G14" s="40"/>
      <c r="H14" s="116" t="e">
        <f>H12-H11</f>
        <v>#REF!</v>
      </c>
      <c r="I14" s="8" t="e">
        <f>IF(H14&gt;0,"AHEAD","BEHIND")</f>
        <v>#REF!</v>
      </c>
      <c r="J14" s="61"/>
      <c r="L14" s="112"/>
      <c r="M14" s="112"/>
      <c r="N14" s="108"/>
      <c r="P14" s="160"/>
      <c r="Q14" s="160"/>
      <c r="S14" s="165"/>
    </row>
    <row r="15" spans="1:19" s="71" customFormat="1" x14ac:dyDescent="0.25">
      <c r="D15" s="8"/>
      <c r="E15" s="55"/>
      <c r="F15" s="40" t="s">
        <v>62</v>
      </c>
      <c r="G15" s="40"/>
      <c r="H15" s="117" t="e">
        <f>CashFlowARA!E6-CashFlowARA!J1</f>
        <v>#REF!</v>
      </c>
      <c r="I15" s="8"/>
      <c r="J15" s="61"/>
      <c r="L15" s="112"/>
      <c r="M15" s="112"/>
      <c r="N15" s="108"/>
      <c r="P15" s="160"/>
      <c r="Q15" s="160"/>
      <c r="S15" s="165"/>
    </row>
    <row r="16" spans="1:19" s="71" customFormat="1" ht="15.75" thickBot="1" x14ac:dyDescent="0.3">
      <c r="A16" s="148"/>
      <c r="B16" s="148"/>
      <c r="C16" s="148"/>
      <c r="D16" s="151" t="s">
        <v>75</v>
      </c>
      <c r="E16" s="151" t="s">
        <v>76</v>
      </c>
      <c r="F16" s="152" t="s">
        <v>77</v>
      </c>
      <c r="G16" s="153" t="s">
        <v>78</v>
      </c>
      <c r="H16" s="154" t="s">
        <v>79</v>
      </c>
      <c r="I16" s="153" t="s">
        <v>80</v>
      </c>
      <c r="J16" s="155" t="s">
        <v>81</v>
      </c>
      <c r="K16" s="151" t="s">
        <v>82</v>
      </c>
      <c r="L16" s="151" t="s">
        <v>83</v>
      </c>
      <c r="M16" s="151" t="s">
        <v>24</v>
      </c>
      <c r="N16" s="151" t="s">
        <v>25</v>
      </c>
      <c r="O16" s="151" t="s">
        <v>26</v>
      </c>
      <c r="P16" s="160"/>
      <c r="Q16" s="160"/>
      <c r="S16" s="165"/>
    </row>
    <row r="17" spans="1:19" ht="36.75" thickTop="1" x14ac:dyDescent="0.25">
      <c r="A17" s="78" t="s">
        <v>101</v>
      </c>
      <c r="B17" s="78" t="s">
        <v>102</v>
      </c>
      <c r="C17" s="78" t="s">
        <v>103</v>
      </c>
      <c r="D17" s="78" t="s">
        <v>84</v>
      </c>
      <c r="E17" s="79" t="s">
        <v>85</v>
      </c>
      <c r="F17" s="78" t="s">
        <v>86</v>
      </c>
      <c r="G17" s="118" t="s">
        <v>87</v>
      </c>
      <c r="H17" s="122" t="s">
        <v>17</v>
      </c>
      <c r="I17" s="123" t="s">
        <v>57</v>
      </c>
      <c r="J17" s="124" t="s">
        <v>88</v>
      </c>
      <c r="K17" s="134" t="s">
        <v>89</v>
      </c>
      <c r="L17" s="135" t="s">
        <v>112</v>
      </c>
      <c r="M17" s="136" t="s">
        <v>90</v>
      </c>
      <c r="N17" s="137" t="s">
        <v>61</v>
      </c>
      <c r="O17" s="138" t="s">
        <v>91</v>
      </c>
      <c r="P17" s="161" t="s">
        <v>111</v>
      </c>
      <c r="Q17" s="162" t="s">
        <v>117</v>
      </c>
      <c r="R17" s="156" t="s">
        <v>113</v>
      </c>
      <c r="S17" s="164" t="s">
        <v>116</v>
      </c>
    </row>
    <row r="18" spans="1:19" x14ac:dyDescent="0.25">
      <c r="A18" s="80" t="s">
        <v>104</v>
      </c>
      <c r="B18" s="147">
        <f>SUMIFS(CashFlow!$C$16:$C$40,CashFlow!$D$16:$D$40,CashFlowCalcs!$E18)</f>
        <v>0</v>
      </c>
      <c r="C18" s="147" t="str">
        <f>IF(LEFT(A18,1)="S","Y","N")</f>
        <v>N</v>
      </c>
      <c r="D18" s="80">
        <v>1</v>
      </c>
      <c r="E18" s="81">
        <f>H5</f>
        <v>44368</v>
      </c>
      <c r="F18" s="80">
        <v>-3</v>
      </c>
      <c r="G18" s="80">
        <f>NORMDIST(F18,0,1,0)</f>
        <v>4.4318484119380075E-3</v>
      </c>
      <c r="H18" s="125">
        <f>H5</f>
        <v>44368</v>
      </c>
      <c r="I18" s="82">
        <f t="shared" ref="I18:I81" si="0">G18/VLOOKUP($J$5,$D$18:$G$750,4)</f>
        <v>1.1109774479176038E-2</v>
      </c>
      <c r="J18" s="126">
        <f>(I18*$G$8)+$G$7</f>
        <v>101319.1908183185</v>
      </c>
      <c r="K18" s="139">
        <f t="shared" ref="K18:K81" si="1">N18*O18</f>
        <v>0</v>
      </c>
      <c r="L18" s="83">
        <f t="shared" ref="L18:L74" si="2">IF(AND(E18&gt;=$H$3,P18=0,E18&lt;=$I$1),J18+K18,0)</f>
        <v>101319.1908183185</v>
      </c>
      <c r="M18" s="80">
        <f>D18</f>
        <v>1</v>
      </c>
      <c r="N18" s="84">
        <f t="shared" ref="N18:N34" si="3">IF(E18&lt;$J$6,0,IF(E18&gt;=$I$1,0,1))*$I$10</f>
        <v>0</v>
      </c>
      <c r="O18" s="140">
        <f t="shared" ref="O18:O81" si="4">IF(E18&lt;$J$6,0,IF(E18&gt;=$I$1,0,($J$5-D18)/($J$5-VLOOKUP($J$6,$H$17:$M$750,6))))</f>
        <v>0</v>
      </c>
      <c r="P18" s="149">
        <v>0</v>
      </c>
      <c r="Q18" s="163">
        <f>D18</f>
        <v>1</v>
      </c>
      <c r="R18" s="150">
        <f t="shared" ref="R18:R81" si="5">IF(OR(E18&lt;$J$6+1,E18&gt;$I$1),0,1)</f>
        <v>0</v>
      </c>
      <c r="S18"/>
    </row>
    <row r="19" spans="1:19" x14ac:dyDescent="0.25">
      <c r="A19" s="80" t="s">
        <v>105</v>
      </c>
      <c r="B19" s="147">
        <f>IF(SUMIFS(CashFlow!$C$16:$C$40,CashFlow!$D$16:$D$40,CashFlowCalcs!$E19)&gt;0,SUMIFS(CashFlow!$C$16:$C$40,CashFlow!$D$16:$D$40,CashFlowCalcs!$E19),B18)</f>
        <v>0</v>
      </c>
      <c r="C19" s="147" t="str">
        <f t="shared" ref="C19:C82" si="6">IF(LEFT(A19,1)="S","Y","N")</f>
        <v>N</v>
      </c>
      <c r="D19" s="80">
        <f>IF($C19="N",$D18+1,$D18)</f>
        <v>2</v>
      </c>
      <c r="E19" s="81">
        <f>E18+1</f>
        <v>44369</v>
      </c>
      <c r="F19" s="80">
        <f>$F$18+((((D19)/($J$5+2)*3)))</f>
        <v>-2.9881656804733727</v>
      </c>
      <c r="G19" s="80">
        <f>NORMDIST(F19,0,1,0)</f>
        <v>4.5916970288283733E-3</v>
      </c>
      <c r="H19" s="125">
        <f>H18+1</f>
        <v>44369</v>
      </c>
      <c r="I19" s="82">
        <f t="shared" si="0"/>
        <v>1.1510483600832028E-2</v>
      </c>
      <c r="J19" s="126">
        <f t="shared" ref="J19:J82" si="7">(I19*$G$8)+$G$7</f>
        <v>104973.58758720009</v>
      </c>
      <c r="K19" s="139">
        <f t="shared" si="1"/>
        <v>0</v>
      </c>
      <c r="L19" s="83">
        <f t="shared" si="2"/>
        <v>104973.58758720009</v>
      </c>
      <c r="M19" s="80">
        <f t="shared" ref="M19:M82" si="8">D19</f>
        <v>2</v>
      </c>
      <c r="N19" s="84">
        <f t="shared" si="3"/>
        <v>0</v>
      </c>
      <c r="O19" s="140">
        <f t="shared" si="4"/>
        <v>0</v>
      </c>
      <c r="P19" s="149">
        <v>0</v>
      </c>
      <c r="Q19" s="163">
        <f t="shared" ref="Q19:Q82" si="9">D19</f>
        <v>2</v>
      </c>
      <c r="R19" s="150">
        <f t="shared" si="5"/>
        <v>0</v>
      </c>
      <c r="S19"/>
    </row>
    <row r="20" spans="1:19" x14ac:dyDescent="0.25">
      <c r="A20" s="80" t="s">
        <v>106</v>
      </c>
      <c r="B20" s="147">
        <f>IF(SUMIFS(CashFlow!$C$16:$C$40,CashFlow!$D$16:$D$40,CashFlowCalcs!$E20)&gt;0,SUMIFS(CashFlow!$C$16:$C$40,CashFlow!$D$16:$D$40,CashFlowCalcs!$E20),B19)</f>
        <v>0</v>
      </c>
      <c r="C20" s="147" t="str">
        <f t="shared" si="6"/>
        <v>N</v>
      </c>
      <c r="D20" s="80">
        <f t="shared" ref="D20:D83" si="10">IF($C20="N",$D19+1,$D19)</f>
        <v>3</v>
      </c>
      <c r="E20" s="81">
        <f t="shared" ref="E20:E35" si="11">E19+1</f>
        <v>44370</v>
      </c>
      <c r="F20" s="80">
        <f t="shared" ref="F20:F83" si="12">$F$18+((((D20)/($J$5+2)*3)))</f>
        <v>-2.9822485207100593</v>
      </c>
      <c r="G20" s="119">
        <f t="shared" ref="G20:G82" si="13">NORMDIST(F20,0,1,0)</f>
        <v>4.6735250990911775E-3</v>
      </c>
      <c r="H20" s="125">
        <f t="shared" ref="H20:H83" si="14">H19+1</f>
        <v>44370</v>
      </c>
      <c r="I20" s="82">
        <f t="shared" si="0"/>
        <v>1.1715610519035529E-2</v>
      </c>
      <c r="J20" s="126">
        <f t="shared" si="7"/>
        <v>106844.30903221141</v>
      </c>
      <c r="K20" s="139">
        <f t="shared" si="1"/>
        <v>0</v>
      </c>
      <c r="L20" s="83">
        <f t="shared" si="2"/>
        <v>106844.30903221141</v>
      </c>
      <c r="M20" s="80">
        <f t="shared" si="8"/>
        <v>3</v>
      </c>
      <c r="N20" s="84">
        <f t="shared" si="3"/>
        <v>0</v>
      </c>
      <c r="O20" s="140">
        <f t="shared" si="4"/>
        <v>0</v>
      </c>
      <c r="P20" s="149">
        <v>0</v>
      </c>
      <c r="Q20" s="163">
        <f t="shared" si="9"/>
        <v>3</v>
      </c>
      <c r="R20" s="150">
        <f t="shared" si="5"/>
        <v>0</v>
      </c>
      <c r="S20"/>
    </row>
    <row r="21" spans="1:19" x14ac:dyDescent="0.25">
      <c r="A21" s="80" t="s">
        <v>107</v>
      </c>
      <c r="B21" s="147">
        <f>IF(SUMIFS(CashFlow!$C$16:$C$40,CashFlow!$D$16:$D$40,CashFlowCalcs!$E21)&gt;0,SUMIFS(CashFlow!$C$16:$C$40,CashFlow!$D$16:$D$40,CashFlowCalcs!$E21),B20)</f>
        <v>0</v>
      </c>
      <c r="C21" s="147" t="str">
        <f t="shared" si="6"/>
        <v>N</v>
      </c>
      <c r="D21" s="80">
        <f t="shared" si="10"/>
        <v>4</v>
      </c>
      <c r="E21" s="81">
        <f t="shared" si="11"/>
        <v>44371</v>
      </c>
      <c r="F21" s="80">
        <f t="shared" si="12"/>
        <v>-2.9763313609467454</v>
      </c>
      <c r="G21" s="119">
        <f t="shared" si="13"/>
        <v>4.7566448710956921E-3</v>
      </c>
      <c r="H21" s="125">
        <f t="shared" si="14"/>
        <v>44371</v>
      </c>
      <c r="I21" s="82">
        <f t="shared" si="0"/>
        <v>1.1923975480085015E-2</v>
      </c>
      <c r="J21" s="126">
        <f t="shared" si="7"/>
        <v>108744.56085892447</v>
      </c>
      <c r="K21" s="139">
        <f t="shared" si="1"/>
        <v>0</v>
      </c>
      <c r="L21" s="83">
        <f t="shared" si="2"/>
        <v>108744.56085892447</v>
      </c>
      <c r="M21" s="80">
        <f t="shared" si="8"/>
        <v>4</v>
      </c>
      <c r="N21" s="84">
        <f t="shared" si="3"/>
        <v>0</v>
      </c>
      <c r="O21" s="140">
        <f t="shared" si="4"/>
        <v>0</v>
      </c>
      <c r="P21" s="149">
        <v>0</v>
      </c>
      <c r="Q21" s="163">
        <f t="shared" si="9"/>
        <v>4</v>
      </c>
      <c r="R21" s="150">
        <f t="shared" si="5"/>
        <v>0</v>
      </c>
      <c r="S21"/>
    </row>
    <row r="22" spans="1:19" x14ac:dyDescent="0.25">
      <c r="A22" s="80" t="s">
        <v>108</v>
      </c>
      <c r="B22" s="147">
        <f>IF(SUMIFS(CashFlow!$C$16:$C$40,CashFlow!$D$16:$D$40,CashFlowCalcs!$E22)&gt;0,SUMIFS(CashFlow!$C$16:$C$40,CashFlow!$D$16:$D$40,CashFlowCalcs!$E22),B21)</f>
        <v>0</v>
      </c>
      <c r="C22" s="147" t="str">
        <f t="shared" si="6"/>
        <v>N</v>
      </c>
      <c r="D22" s="80">
        <f t="shared" si="10"/>
        <v>5</v>
      </c>
      <c r="E22" s="81">
        <f t="shared" si="11"/>
        <v>44372</v>
      </c>
      <c r="F22" s="80">
        <f t="shared" si="12"/>
        <v>-2.970414201183432</v>
      </c>
      <c r="G22" s="119">
        <f t="shared" si="13"/>
        <v>4.8410734459038741E-3</v>
      </c>
      <c r="H22" s="125">
        <f t="shared" si="14"/>
        <v>44372</v>
      </c>
      <c r="I22" s="82">
        <f t="shared" si="0"/>
        <v>1.2135621352987734E-2</v>
      </c>
      <c r="J22" s="126">
        <f t="shared" si="7"/>
        <v>110674.73402515156</v>
      </c>
      <c r="K22" s="139">
        <f t="shared" si="1"/>
        <v>0</v>
      </c>
      <c r="L22" s="83">
        <f t="shared" si="2"/>
        <v>110674.73402515156</v>
      </c>
      <c r="M22" s="80">
        <f t="shared" si="8"/>
        <v>5</v>
      </c>
      <c r="N22" s="84">
        <f t="shared" si="3"/>
        <v>0</v>
      </c>
      <c r="O22" s="140">
        <f t="shared" si="4"/>
        <v>0</v>
      </c>
      <c r="P22" s="149">
        <v>0</v>
      </c>
      <c r="Q22" s="163">
        <f t="shared" si="9"/>
        <v>5</v>
      </c>
      <c r="R22" s="150">
        <f t="shared" si="5"/>
        <v>0</v>
      </c>
      <c r="S22"/>
    </row>
    <row r="23" spans="1:19" x14ac:dyDescent="0.25">
      <c r="A23" s="80" t="s">
        <v>109</v>
      </c>
      <c r="B23" s="147">
        <f>IF(SUMIFS(CashFlow!$C$16:$C$40,CashFlow!$D$16:$D$40,CashFlowCalcs!$E23)&gt;0,SUMIFS(CashFlow!$C$16:$C$40,CashFlow!$D$16:$D$40,CashFlowCalcs!$E23),B22)</f>
        <v>0</v>
      </c>
      <c r="C23" s="147" t="str">
        <f t="shared" si="6"/>
        <v>Y</v>
      </c>
      <c r="D23" s="80">
        <f t="shared" si="10"/>
        <v>5</v>
      </c>
      <c r="E23" s="81">
        <f t="shared" si="11"/>
        <v>44373</v>
      </c>
      <c r="F23" s="80">
        <f t="shared" si="12"/>
        <v>-2.970414201183432</v>
      </c>
      <c r="G23" s="119">
        <f t="shared" si="13"/>
        <v>4.8410734459038741E-3</v>
      </c>
      <c r="H23" s="125">
        <f t="shared" si="14"/>
        <v>44373</v>
      </c>
      <c r="I23" s="82">
        <f t="shared" si="0"/>
        <v>1.2135621352987734E-2</v>
      </c>
      <c r="J23" s="126">
        <f t="shared" si="7"/>
        <v>110674.73402515156</v>
      </c>
      <c r="K23" s="139">
        <f t="shared" si="1"/>
        <v>0</v>
      </c>
      <c r="L23" s="83">
        <f t="shared" si="2"/>
        <v>110674.73402515156</v>
      </c>
      <c r="M23" s="80">
        <f t="shared" si="8"/>
        <v>5</v>
      </c>
      <c r="N23" s="84">
        <f t="shared" si="3"/>
        <v>0</v>
      </c>
      <c r="O23" s="140">
        <f t="shared" si="4"/>
        <v>0</v>
      </c>
      <c r="P23" s="149">
        <v>0</v>
      </c>
      <c r="Q23" s="163">
        <f t="shared" si="9"/>
        <v>5</v>
      </c>
      <c r="R23" s="150">
        <f t="shared" si="5"/>
        <v>0</v>
      </c>
      <c r="S23"/>
    </row>
    <row r="24" spans="1:19" x14ac:dyDescent="0.25">
      <c r="A24" s="80" t="s">
        <v>110</v>
      </c>
      <c r="B24" s="147">
        <f>IF(SUMIFS(CashFlow!$C$16:$C$40,CashFlow!$D$16:$D$40,CashFlowCalcs!$E24)&gt;0,SUMIFS(CashFlow!$C$16:$C$40,CashFlow!$D$16:$D$40,CashFlowCalcs!$E24),B23)</f>
        <v>0</v>
      </c>
      <c r="C24" s="147" t="str">
        <f t="shared" si="6"/>
        <v>Y</v>
      </c>
      <c r="D24" s="80">
        <f t="shared" si="10"/>
        <v>5</v>
      </c>
      <c r="E24" s="81">
        <f t="shared" si="11"/>
        <v>44374</v>
      </c>
      <c r="F24" s="80">
        <f t="shared" si="12"/>
        <v>-2.970414201183432</v>
      </c>
      <c r="G24" s="119">
        <f t="shared" si="13"/>
        <v>4.8410734459038741E-3</v>
      </c>
      <c r="H24" s="125">
        <f t="shared" si="14"/>
        <v>44374</v>
      </c>
      <c r="I24" s="82">
        <f t="shared" si="0"/>
        <v>1.2135621352987734E-2</v>
      </c>
      <c r="J24" s="126">
        <f t="shared" si="7"/>
        <v>110674.73402515156</v>
      </c>
      <c r="K24" s="139">
        <f t="shared" si="1"/>
        <v>0</v>
      </c>
      <c r="L24" s="83">
        <f t="shared" si="2"/>
        <v>110674.73402515156</v>
      </c>
      <c r="M24" s="80">
        <f t="shared" si="8"/>
        <v>5</v>
      </c>
      <c r="N24" s="84">
        <f t="shared" si="3"/>
        <v>0</v>
      </c>
      <c r="O24" s="140">
        <f t="shared" si="4"/>
        <v>0</v>
      </c>
      <c r="P24" s="149">
        <v>0</v>
      </c>
      <c r="Q24" s="163">
        <f t="shared" si="9"/>
        <v>5</v>
      </c>
      <c r="R24" s="150">
        <f t="shared" si="5"/>
        <v>0</v>
      </c>
      <c r="S24"/>
    </row>
    <row r="25" spans="1:19" x14ac:dyDescent="0.25">
      <c r="A25" s="80" t="str">
        <f>A18</f>
        <v>Mon</v>
      </c>
      <c r="B25" s="147">
        <f>IF(SUMIFS(CashFlow!$C$16:$C$40,CashFlow!$D$16:$D$40,CashFlowCalcs!$E25)&gt;0,SUMIFS(CashFlow!$C$16:$C$40,CashFlow!$D$16:$D$40,CashFlowCalcs!$E25),B24)</f>
        <v>0</v>
      </c>
      <c r="C25" s="147" t="str">
        <f t="shared" si="6"/>
        <v>N</v>
      </c>
      <c r="D25" s="80">
        <f t="shared" si="10"/>
        <v>6</v>
      </c>
      <c r="E25" s="81">
        <f t="shared" si="11"/>
        <v>44375</v>
      </c>
      <c r="F25" s="80">
        <f t="shared" si="12"/>
        <v>-2.9644970414201182</v>
      </c>
      <c r="G25" s="119">
        <f t="shared" si="13"/>
        <v>4.9268280897275226E-3</v>
      </c>
      <c r="H25" s="125">
        <f t="shared" si="14"/>
        <v>44375</v>
      </c>
      <c r="I25" s="82">
        <f t="shared" si="0"/>
        <v>1.2350591420749187E-2</v>
      </c>
      <c r="J25" s="126">
        <f t="shared" si="7"/>
        <v>112635.22326429629</v>
      </c>
      <c r="K25" s="139">
        <f t="shared" si="1"/>
        <v>0</v>
      </c>
      <c r="L25" s="83">
        <f t="shared" si="2"/>
        <v>112635.22326429629</v>
      </c>
      <c r="M25" s="80">
        <f t="shared" si="8"/>
        <v>6</v>
      </c>
      <c r="N25" s="84">
        <f t="shared" si="3"/>
        <v>0</v>
      </c>
      <c r="O25" s="140">
        <f t="shared" si="4"/>
        <v>0</v>
      </c>
      <c r="P25" s="149">
        <v>0</v>
      </c>
      <c r="Q25" s="163">
        <f t="shared" si="9"/>
        <v>6</v>
      </c>
      <c r="R25" s="150">
        <f t="shared" si="5"/>
        <v>0</v>
      </c>
      <c r="S25"/>
    </row>
    <row r="26" spans="1:19" x14ac:dyDescent="0.25">
      <c r="A26" s="80" t="str">
        <f t="shared" ref="A26:A89" si="15">A19</f>
        <v>Tues</v>
      </c>
      <c r="B26" s="147">
        <f>IF(SUMIFS(CashFlow!$C$16:$C$40,CashFlow!$D$16:$D$40,CashFlowCalcs!$E26)&gt;0,SUMIFS(CashFlow!$C$16:$C$40,CashFlow!$D$16:$D$40,CashFlowCalcs!$E26),B25)</f>
        <v>0</v>
      </c>
      <c r="C26" s="147" t="str">
        <f t="shared" si="6"/>
        <v>N</v>
      </c>
      <c r="D26" s="80">
        <f t="shared" si="10"/>
        <v>7</v>
      </c>
      <c r="E26" s="81">
        <f t="shared" si="11"/>
        <v>44376</v>
      </c>
      <c r="F26" s="80">
        <f t="shared" si="12"/>
        <v>-2.9585798816568047</v>
      </c>
      <c r="G26" s="119">
        <f t="shared" si="13"/>
        <v>5.0139262344200217E-3</v>
      </c>
      <c r="H26" s="125">
        <f t="shared" si="14"/>
        <v>44376</v>
      </c>
      <c r="I26" s="82">
        <f t="shared" si="0"/>
        <v>1.2568929381605833E-2</v>
      </c>
      <c r="J26" s="126">
        <f t="shared" si="7"/>
        <v>114626.42709659567</v>
      </c>
      <c r="K26" s="139">
        <f t="shared" si="1"/>
        <v>0</v>
      </c>
      <c r="L26" s="83">
        <f t="shared" si="2"/>
        <v>114626.42709659567</v>
      </c>
      <c r="M26" s="80">
        <f t="shared" si="8"/>
        <v>7</v>
      </c>
      <c r="N26" s="84">
        <f t="shared" si="3"/>
        <v>0</v>
      </c>
      <c r="O26" s="140">
        <f t="shared" si="4"/>
        <v>0</v>
      </c>
      <c r="P26" s="149">
        <v>0</v>
      </c>
      <c r="Q26" s="163">
        <f t="shared" si="9"/>
        <v>7</v>
      </c>
      <c r="R26" s="150">
        <f t="shared" si="5"/>
        <v>0</v>
      </c>
      <c r="S26"/>
    </row>
    <row r="27" spans="1:19" x14ac:dyDescent="0.25">
      <c r="A27" s="80" t="str">
        <f t="shared" si="15"/>
        <v>Wed</v>
      </c>
      <c r="B27" s="147">
        <f>IF(SUMIFS(CashFlow!$C$16:$C$40,CashFlow!$D$16:$D$40,CashFlowCalcs!$E27)&gt;0,SUMIFS(CashFlow!$C$16:$C$40,CashFlow!$D$16:$D$40,CashFlowCalcs!$E27),B26)</f>
        <v>0</v>
      </c>
      <c r="C27" s="147" t="str">
        <f t="shared" si="6"/>
        <v>N</v>
      </c>
      <c r="D27" s="80">
        <f t="shared" si="10"/>
        <v>8</v>
      </c>
      <c r="E27" s="81">
        <f t="shared" si="11"/>
        <v>44377</v>
      </c>
      <c r="F27" s="80">
        <f t="shared" si="12"/>
        <v>-2.9526627218934913</v>
      </c>
      <c r="G27" s="119">
        <f t="shared" si="13"/>
        <v>5.102385477947711E-3</v>
      </c>
      <c r="H27" s="125">
        <f t="shared" si="14"/>
        <v>44377</v>
      </c>
      <c r="I27" s="82">
        <f t="shared" si="0"/>
        <v>1.2790679350206719E-2</v>
      </c>
      <c r="J27" s="126">
        <f t="shared" si="7"/>
        <v>116648.74783989627</v>
      </c>
      <c r="K27" s="139">
        <f t="shared" si="1"/>
        <v>0</v>
      </c>
      <c r="L27" s="83">
        <f t="shared" si="2"/>
        <v>116648.74783989627</v>
      </c>
      <c r="M27" s="80">
        <f t="shared" si="8"/>
        <v>8</v>
      </c>
      <c r="N27" s="84">
        <f t="shared" si="3"/>
        <v>0</v>
      </c>
      <c r="O27" s="140">
        <f t="shared" si="4"/>
        <v>0</v>
      </c>
      <c r="P27" s="149">
        <v>0</v>
      </c>
      <c r="Q27" s="163">
        <f t="shared" si="9"/>
        <v>8</v>
      </c>
      <c r="R27" s="150">
        <f t="shared" si="5"/>
        <v>0</v>
      </c>
      <c r="S27"/>
    </row>
    <row r="28" spans="1:19" x14ac:dyDescent="0.25">
      <c r="A28" s="80" t="str">
        <f t="shared" si="15"/>
        <v>Thu</v>
      </c>
      <c r="B28" s="147">
        <f>IF(SUMIFS(CashFlow!$C$16:$C$40,CashFlow!$D$16:$D$40,CashFlowCalcs!$E28)&gt;0,SUMIFS(CashFlow!$C$16:$C$40,CashFlow!$D$16:$D$40,CashFlowCalcs!$E28),B27)</f>
        <v>0</v>
      </c>
      <c r="C28" s="147" t="str">
        <f t="shared" si="6"/>
        <v>N</v>
      </c>
      <c r="D28" s="80">
        <f t="shared" si="10"/>
        <v>9</v>
      </c>
      <c r="E28" s="81">
        <f t="shared" si="11"/>
        <v>44378</v>
      </c>
      <c r="F28" s="80">
        <f t="shared" si="12"/>
        <v>-2.9467455621301775</v>
      </c>
      <c r="G28" s="119">
        <f t="shared" si="13"/>
        <v>5.1922235848401296E-3</v>
      </c>
      <c r="H28" s="125">
        <f t="shared" si="14"/>
        <v>44378</v>
      </c>
      <c r="I28" s="82">
        <f t="shared" si="0"/>
        <v>1.3015885858742157E-2</v>
      </c>
      <c r="J28" s="126">
        <f t="shared" si="7"/>
        <v>118702.59161994765</v>
      </c>
      <c r="K28" s="139">
        <f t="shared" si="1"/>
        <v>0</v>
      </c>
      <c r="L28" s="83">
        <f t="shared" si="2"/>
        <v>118702.59161994765</v>
      </c>
      <c r="M28" s="80">
        <f t="shared" si="8"/>
        <v>9</v>
      </c>
      <c r="N28" s="84">
        <f t="shared" si="3"/>
        <v>0</v>
      </c>
      <c r="O28" s="140">
        <f t="shared" si="4"/>
        <v>0</v>
      </c>
      <c r="P28" s="149">
        <v>0</v>
      </c>
      <c r="Q28" s="163">
        <f t="shared" si="9"/>
        <v>9</v>
      </c>
      <c r="R28" s="150">
        <f t="shared" si="5"/>
        <v>0</v>
      </c>
      <c r="S28"/>
    </row>
    <row r="29" spans="1:19" x14ac:dyDescent="0.25">
      <c r="A29" s="80" t="str">
        <f t="shared" si="15"/>
        <v>Fri</v>
      </c>
      <c r="B29" s="147">
        <f>IF(SUMIFS(CashFlow!$C$16:$C$40,CashFlow!$D$16:$D$40,CashFlowCalcs!$E29)&gt;0,SUMIFS(CashFlow!$C$16:$C$40,CashFlow!$D$16:$D$40,CashFlowCalcs!$E29),B28)</f>
        <v>0</v>
      </c>
      <c r="C29" s="147" t="str">
        <f t="shared" si="6"/>
        <v>N</v>
      </c>
      <c r="D29" s="80">
        <f t="shared" si="10"/>
        <v>10</v>
      </c>
      <c r="E29" s="81">
        <f t="shared" si="11"/>
        <v>44379</v>
      </c>
      <c r="F29" s="80">
        <f t="shared" si="12"/>
        <v>-2.940828402366864</v>
      </c>
      <c r="G29" s="119">
        <f t="shared" si="13"/>
        <v>5.2834584866188628E-3</v>
      </c>
      <c r="H29" s="125">
        <f t="shared" si="14"/>
        <v>44379</v>
      </c>
      <c r="I29" s="82">
        <f t="shared" si="0"/>
        <v>1.3244593858018752E-2</v>
      </c>
      <c r="J29" s="126">
        <f t="shared" si="7"/>
        <v>120788.3683802064</v>
      </c>
      <c r="K29" s="139">
        <f t="shared" si="1"/>
        <v>0</v>
      </c>
      <c r="L29" s="83">
        <f t="shared" si="2"/>
        <v>120788.3683802064</v>
      </c>
      <c r="M29" s="80">
        <f t="shared" si="8"/>
        <v>10</v>
      </c>
      <c r="N29" s="84">
        <f t="shared" si="3"/>
        <v>0</v>
      </c>
      <c r="O29" s="140">
        <f t="shared" si="4"/>
        <v>0</v>
      </c>
      <c r="P29" s="149">
        <v>0</v>
      </c>
      <c r="Q29" s="163">
        <f t="shared" si="9"/>
        <v>10</v>
      </c>
      <c r="R29" s="150">
        <f t="shared" si="5"/>
        <v>0</v>
      </c>
      <c r="S29"/>
    </row>
    <row r="30" spans="1:19" x14ac:dyDescent="0.25">
      <c r="A30" s="80" t="str">
        <f t="shared" si="15"/>
        <v>Sat</v>
      </c>
      <c r="B30" s="147">
        <f>IF(SUMIFS(CashFlow!$C$16:$C$40,CashFlow!$D$16:$D$40,CashFlowCalcs!$E30)&gt;0,SUMIFS(CashFlow!$C$16:$C$40,CashFlow!$D$16:$D$40,CashFlowCalcs!$E30),B29)</f>
        <v>0</v>
      </c>
      <c r="C30" s="147" t="str">
        <f t="shared" si="6"/>
        <v>Y</v>
      </c>
      <c r="D30" s="80">
        <f t="shared" si="10"/>
        <v>10</v>
      </c>
      <c r="E30" s="81">
        <f t="shared" si="11"/>
        <v>44380</v>
      </c>
      <c r="F30" s="80">
        <f t="shared" si="12"/>
        <v>-2.940828402366864</v>
      </c>
      <c r="G30" s="119">
        <f t="shared" si="13"/>
        <v>5.2834584866188628E-3</v>
      </c>
      <c r="H30" s="125">
        <f t="shared" si="14"/>
        <v>44380</v>
      </c>
      <c r="I30" s="82">
        <f t="shared" si="0"/>
        <v>1.3244593858018752E-2</v>
      </c>
      <c r="J30" s="126">
        <f t="shared" si="7"/>
        <v>120788.3683802064</v>
      </c>
      <c r="K30" s="139">
        <f t="shared" si="1"/>
        <v>0</v>
      </c>
      <c r="L30" s="83">
        <f t="shared" si="2"/>
        <v>120788.3683802064</v>
      </c>
      <c r="M30" s="80">
        <f t="shared" si="8"/>
        <v>10</v>
      </c>
      <c r="N30" s="84">
        <f t="shared" si="3"/>
        <v>0</v>
      </c>
      <c r="O30" s="140">
        <f t="shared" si="4"/>
        <v>0</v>
      </c>
      <c r="P30" s="149">
        <v>0</v>
      </c>
      <c r="Q30" s="163">
        <f t="shared" si="9"/>
        <v>10</v>
      </c>
      <c r="R30" s="150">
        <f t="shared" si="5"/>
        <v>0</v>
      </c>
      <c r="S30"/>
    </row>
    <row r="31" spans="1:19" x14ac:dyDescent="0.25">
      <c r="A31" s="80" t="str">
        <f t="shared" si="15"/>
        <v>Sun</v>
      </c>
      <c r="B31" s="147">
        <f>IF(SUMIFS(CashFlow!$C$16:$C$40,CashFlow!$D$16:$D$40,CashFlowCalcs!$E31)&gt;0,SUMIFS(CashFlow!$C$16:$C$40,CashFlow!$D$16:$D$40,CashFlowCalcs!$E31),B30)</f>
        <v>0</v>
      </c>
      <c r="C31" s="147" t="str">
        <f t="shared" si="6"/>
        <v>Y</v>
      </c>
      <c r="D31" s="80">
        <f t="shared" si="10"/>
        <v>10</v>
      </c>
      <c r="E31" s="81">
        <f t="shared" si="11"/>
        <v>44381</v>
      </c>
      <c r="F31" s="80">
        <f t="shared" si="12"/>
        <v>-2.940828402366864</v>
      </c>
      <c r="G31" s="119">
        <f t="shared" si="13"/>
        <v>5.2834584866188628E-3</v>
      </c>
      <c r="H31" s="125">
        <f t="shared" si="14"/>
        <v>44381</v>
      </c>
      <c r="I31" s="82">
        <f t="shared" si="0"/>
        <v>1.3244593858018752E-2</v>
      </c>
      <c r="J31" s="126">
        <f t="shared" si="7"/>
        <v>120788.3683802064</v>
      </c>
      <c r="K31" s="139">
        <f t="shared" si="1"/>
        <v>0</v>
      </c>
      <c r="L31" s="83">
        <f t="shared" si="2"/>
        <v>120788.3683802064</v>
      </c>
      <c r="M31" s="80">
        <f t="shared" si="8"/>
        <v>10</v>
      </c>
      <c r="N31" s="84">
        <f t="shared" si="3"/>
        <v>0</v>
      </c>
      <c r="O31" s="140">
        <f t="shared" si="4"/>
        <v>0</v>
      </c>
      <c r="P31" s="149">
        <v>0</v>
      </c>
      <c r="Q31" s="163">
        <f t="shared" si="9"/>
        <v>10</v>
      </c>
      <c r="R31" s="150">
        <f t="shared" si="5"/>
        <v>0</v>
      </c>
      <c r="S31"/>
    </row>
    <row r="32" spans="1:19" x14ac:dyDescent="0.25">
      <c r="A32" s="80" t="str">
        <f t="shared" si="15"/>
        <v>Mon</v>
      </c>
      <c r="B32" s="147">
        <f>IF(SUMIFS(CashFlow!$C$16:$C$40,CashFlow!$D$16:$D$40,CashFlowCalcs!$E32)&gt;0,SUMIFS(CashFlow!$C$16:$C$40,CashFlow!$D$16:$D$40,CashFlowCalcs!$E32),B31)</f>
        <v>0</v>
      </c>
      <c r="C32" s="147" t="str">
        <f t="shared" si="6"/>
        <v>N</v>
      </c>
      <c r="D32" s="80">
        <f t="shared" si="10"/>
        <v>11</v>
      </c>
      <c r="E32" s="81">
        <f t="shared" si="11"/>
        <v>44382</v>
      </c>
      <c r="F32" s="80">
        <f t="shared" si="12"/>
        <v>-2.9349112426035502</v>
      </c>
      <c r="G32" s="119">
        <f t="shared" si="13"/>
        <v>5.37610828220445E-3</v>
      </c>
      <c r="H32" s="125">
        <f t="shared" si="14"/>
        <v>44382</v>
      </c>
      <c r="I32" s="82">
        <f t="shared" si="0"/>
        <v>1.3476848718479451E-2</v>
      </c>
      <c r="J32" s="126">
        <f t="shared" si="7"/>
        <v>122906.49189113881</v>
      </c>
      <c r="K32" s="139">
        <f t="shared" si="1"/>
        <v>0</v>
      </c>
      <c r="L32" s="83">
        <f t="shared" si="2"/>
        <v>122906.49189113881</v>
      </c>
      <c r="M32" s="80">
        <f t="shared" si="8"/>
        <v>11</v>
      </c>
      <c r="N32" s="84">
        <f t="shared" si="3"/>
        <v>0</v>
      </c>
      <c r="O32" s="140">
        <f t="shared" si="4"/>
        <v>0</v>
      </c>
      <c r="P32" s="149">
        <v>0</v>
      </c>
      <c r="Q32" s="163">
        <f t="shared" si="9"/>
        <v>11</v>
      </c>
      <c r="R32" s="150">
        <f t="shared" si="5"/>
        <v>0</v>
      </c>
      <c r="S32"/>
    </row>
    <row r="33" spans="1:19" x14ac:dyDescent="0.25">
      <c r="A33" s="80" t="str">
        <f t="shared" si="15"/>
        <v>Tues</v>
      </c>
      <c r="B33" s="147">
        <f>IF(SUMIFS(CashFlow!$C$16:$C$40,CashFlow!$D$16:$D$40,CashFlowCalcs!$E33)&gt;0,SUMIFS(CashFlow!$C$16:$C$40,CashFlow!$D$16:$D$40,CashFlowCalcs!$E33),B32)</f>
        <v>0</v>
      </c>
      <c r="C33" s="147" t="str">
        <f t="shared" si="6"/>
        <v>N</v>
      </c>
      <c r="D33" s="80">
        <f t="shared" si="10"/>
        <v>12</v>
      </c>
      <c r="E33" s="81">
        <f t="shared" si="11"/>
        <v>44383</v>
      </c>
      <c r="F33" s="80">
        <f t="shared" si="12"/>
        <v>-2.9289940828402368</v>
      </c>
      <c r="G33" s="119">
        <f t="shared" si="13"/>
        <v>5.4701912383008635E-3</v>
      </c>
      <c r="H33" s="125">
        <f t="shared" si="14"/>
        <v>44383</v>
      </c>
      <c r="I33" s="82">
        <f t="shared" si="0"/>
        <v>1.3712696231167346E-2</v>
      </c>
      <c r="J33" s="126">
        <f t="shared" si="7"/>
        <v>125057.37975901052</v>
      </c>
      <c r="K33" s="139">
        <f t="shared" si="1"/>
        <v>0</v>
      </c>
      <c r="L33" s="83">
        <f t="shared" si="2"/>
        <v>125057.37975901052</v>
      </c>
      <c r="M33" s="80">
        <f t="shared" si="8"/>
        <v>12</v>
      </c>
      <c r="N33" s="84">
        <f t="shared" si="3"/>
        <v>0</v>
      </c>
      <c r="O33" s="140">
        <f t="shared" si="4"/>
        <v>0</v>
      </c>
      <c r="P33" s="149">
        <v>0</v>
      </c>
      <c r="Q33" s="163">
        <f t="shared" si="9"/>
        <v>12</v>
      </c>
      <c r="R33" s="150">
        <f t="shared" si="5"/>
        <v>0</v>
      </c>
      <c r="S33"/>
    </row>
    <row r="34" spans="1:19" x14ac:dyDescent="0.25">
      <c r="A34" s="80" t="str">
        <f t="shared" si="15"/>
        <v>Wed</v>
      </c>
      <c r="B34" s="147">
        <f>IF(SUMIFS(CashFlow!$C$16:$C$40,CashFlow!$D$16:$D$40,CashFlowCalcs!$E34)&gt;0,SUMIFS(CashFlow!$C$16:$C$40,CashFlow!$D$16:$D$40,CashFlowCalcs!$E34),B33)</f>
        <v>0</v>
      </c>
      <c r="C34" s="147" t="str">
        <f t="shared" si="6"/>
        <v>N</v>
      </c>
      <c r="D34" s="80">
        <f t="shared" si="10"/>
        <v>13</v>
      </c>
      <c r="E34" s="81">
        <f t="shared" si="11"/>
        <v>44384</v>
      </c>
      <c r="F34" s="80">
        <f t="shared" si="12"/>
        <v>-2.9230769230769229</v>
      </c>
      <c r="G34" s="119">
        <f t="shared" si="13"/>
        <v>5.565725789757156E-3</v>
      </c>
      <c r="H34" s="125">
        <f t="shared" si="14"/>
        <v>44384</v>
      </c>
      <c r="I34" s="82">
        <f t="shared" si="0"/>
        <v>1.3952182608632256E-2</v>
      </c>
      <c r="J34" s="126">
        <f t="shared" si="7"/>
        <v>127241.45343415454</v>
      </c>
      <c r="K34" s="139">
        <f t="shared" si="1"/>
        <v>0</v>
      </c>
      <c r="L34" s="83">
        <f t="shared" si="2"/>
        <v>127241.45343415454</v>
      </c>
      <c r="M34" s="80">
        <f t="shared" si="8"/>
        <v>13</v>
      </c>
      <c r="N34" s="84">
        <f t="shared" si="3"/>
        <v>0</v>
      </c>
      <c r="O34" s="140">
        <f t="shared" si="4"/>
        <v>0</v>
      </c>
      <c r="P34" s="149">
        <v>0</v>
      </c>
      <c r="Q34" s="163">
        <f t="shared" si="9"/>
        <v>13</v>
      </c>
      <c r="R34" s="150">
        <f t="shared" si="5"/>
        <v>0</v>
      </c>
      <c r="S34"/>
    </row>
    <row r="35" spans="1:19" s="71" customFormat="1" x14ac:dyDescent="0.25">
      <c r="A35" s="80" t="str">
        <f t="shared" si="15"/>
        <v>Thu</v>
      </c>
      <c r="B35" s="147">
        <f>IF(SUMIFS(CashFlow!$C$16:$C$40,CashFlow!$D$16:$D$40,CashFlowCalcs!$E35)&gt;0,SUMIFS(CashFlow!$C$16:$C$40,CashFlow!$D$16:$D$40,CashFlowCalcs!$E35),B34)</f>
        <v>0</v>
      </c>
      <c r="C35" s="147" t="str">
        <f t="shared" si="6"/>
        <v>N</v>
      </c>
      <c r="D35" s="80">
        <f t="shared" si="10"/>
        <v>14</v>
      </c>
      <c r="E35" s="95">
        <f t="shared" si="11"/>
        <v>44385</v>
      </c>
      <c r="F35" s="80">
        <f t="shared" si="12"/>
        <v>-2.9171597633136095</v>
      </c>
      <c r="G35" s="120">
        <f t="shared" si="13"/>
        <v>5.6627305399056674E-3</v>
      </c>
      <c r="H35" s="127">
        <f t="shared" si="14"/>
        <v>44385</v>
      </c>
      <c r="I35" s="96">
        <f t="shared" si="0"/>
        <v>1.419535448577855E-2</v>
      </c>
      <c r="J35" s="128">
        <f t="shared" si="7"/>
        <v>129459.13821870304</v>
      </c>
      <c r="K35" s="141">
        <f t="shared" si="1"/>
        <v>0</v>
      </c>
      <c r="L35" s="83">
        <f t="shared" si="2"/>
        <v>129459.13821870304</v>
      </c>
      <c r="M35" s="80">
        <f t="shared" si="8"/>
        <v>14</v>
      </c>
      <c r="N35" s="97">
        <f>IF(E35&lt;$J$6,0,IF(E35&gt;=$I$1,0,1))*$I$10</f>
        <v>0</v>
      </c>
      <c r="O35" s="142">
        <f t="shared" si="4"/>
        <v>0</v>
      </c>
      <c r="P35" s="149">
        <v>0</v>
      </c>
      <c r="Q35" s="163">
        <f t="shared" si="9"/>
        <v>14</v>
      </c>
      <c r="R35" s="150">
        <f t="shared" si="5"/>
        <v>0</v>
      </c>
    </row>
    <row r="36" spans="1:19" x14ac:dyDescent="0.25">
      <c r="A36" s="80" t="str">
        <f t="shared" si="15"/>
        <v>Fri</v>
      </c>
      <c r="B36" s="147">
        <f>IF(SUMIFS(CashFlow!$C$16:$C$40,CashFlow!$D$16:$D$40,CashFlowCalcs!$E36)&gt;0,SUMIFS(CashFlow!$C$16:$C$40,CashFlow!$D$16:$D$40,CashFlowCalcs!$E36),B35)</f>
        <v>0</v>
      </c>
      <c r="C36" s="147" t="str">
        <f t="shared" si="6"/>
        <v>N</v>
      </c>
      <c r="D36" s="80">
        <f t="shared" si="10"/>
        <v>15</v>
      </c>
      <c r="E36" s="81">
        <f t="shared" ref="E36:E51" si="16">E35+1</f>
        <v>44386</v>
      </c>
      <c r="F36" s="80">
        <f t="shared" si="12"/>
        <v>-2.9112426035502961</v>
      </c>
      <c r="G36" s="119">
        <f t="shared" si="13"/>
        <v>5.7612242608765128E-3</v>
      </c>
      <c r="H36" s="125">
        <f t="shared" si="14"/>
        <v>44386</v>
      </c>
      <c r="I36" s="82">
        <f t="shared" si="0"/>
        <v>1.4442258920653496E-2</v>
      </c>
      <c r="J36" s="126">
        <f t="shared" si="7"/>
        <v>131710.86327377715</v>
      </c>
      <c r="K36" s="139">
        <f t="shared" si="1"/>
        <v>0</v>
      </c>
      <c r="L36" s="83">
        <f t="shared" si="2"/>
        <v>131710.86327377715</v>
      </c>
      <c r="M36" s="80">
        <f t="shared" si="8"/>
        <v>15</v>
      </c>
      <c r="N36" s="84">
        <f t="shared" ref="N36:N99" si="17">IF(E36&lt;$J$6,0,IF(E36&gt;=$I$1,0,1))*$I$10</f>
        <v>0</v>
      </c>
      <c r="O36" s="140">
        <f t="shared" si="4"/>
        <v>0</v>
      </c>
      <c r="P36" s="149">
        <v>0</v>
      </c>
      <c r="Q36" s="163">
        <f t="shared" si="9"/>
        <v>15</v>
      </c>
      <c r="R36" s="150">
        <f t="shared" si="5"/>
        <v>0</v>
      </c>
      <c r="S36"/>
    </row>
    <row r="37" spans="1:19" x14ac:dyDescent="0.25">
      <c r="A37" s="80" t="str">
        <f t="shared" si="15"/>
        <v>Sat</v>
      </c>
      <c r="B37" s="147">
        <f>IF(SUMIFS(CashFlow!$C$16:$C$40,CashFlow!$D$16:$D$40,CashFlowCalcs!$E37)&gt;0,SUMIFS(CashFlow!$C$16:$C$40,CashFlow!$D$16:$D$40,CashFlowCalcs!$E37),B36)</f>
        <v>0</v>
      </c>
      <c r="C37" s="147" t="str">
        <f t="shared" si="6"/>
        <v>Y</v>
      </c>
      <c r="D37" s="80">
        <f t="shared" si="10"/>
        <v>15</v>
      </c>
      <c r="E37" s="81">
        <f t="shared" si="16"/>
        <v>44387</v>
      </c>
      <c r="F37" s="80">
        <f t="shared" si="12"/>
        <v>-2.9112426035502961</v>
      </c>
      <c r="G37" s="119">
        <f t="shared" si="13"/>
        <v>5.7612242608765128E-3</v>
      </c>
      <c r="H37" s="125">
        <f t="shared" si="14"/>
        <v>44387</v>
      </c>
      <c r="I37" s="82">
        <f t="shared" si="0"/>
        <v>1.4442258920653496E-2</v>
      </c>
      <c r="J37" s="126">
        <f t="shared" si="7"/>
        <v>131710.86327377715</v>
      </c>
      <c r="K37" s="139">
        <f t="shared" si="1"/>
        <v>0</v>
      </c>
      <c r="L37" s="83">
        <f t="shared" si="2"/>
        <v>131710.86327377715</v>
      </c>
      <c r="M37" s="80">
        <f t="shared" si="8"/>
        <v>15</v>
      </c>
      <c r="N37" s="84">
        <f t="shared" si="17"/>
        <v>0</v>
      </c>
      <c r="O37" s="140">
        <f t="shared" si="4"/>
        <v>0</v>
      </c>
      <c r="P37" s="149">
        <v>0</v>
      </c>
      <c r="Q37" s="163">
        <f t="shared" si="9"/>
        <v>15</v>
      </c>
      <c r="R37" s="150">
        <f t="shared" si="5"/>
        <v>0</v>
      </c>
      <c r="S37"/>
    </row>
    <row r="38" spans="1:19" x14ac:dyDescent="0.25">
      <c r="A38" s="80" t="str">
        <f t="shared" si="15"/>
        <v>Sun</v>
      </c>
      <c r="B38" s="147">
        <f>IF(SUMIFS(CashFlow!$C$16:$C$40,CashFlow!$D$16:$D$40,CashFlowCalcs!$E38)&gt;0,SUMIFS(CashFlow!$C$16:$C$40,CashFlow!$D$16:$D$40,CashFlowCalcs!$E38),B37)</f>
        <v>0</v>
      </c>
      <c r="C38" s="147" t="str">
        <f t="shared" si="6"/>
        <v>Y</v>
      </c>
      <c r="D38" s="80">
        <f t="shared" si="10"/>
        <v>15</v>
      </c>
      <c r="E38" s="81">
        <f t="shared" si="16"/>
        <v>44388</v>
      </c>
      <c r="F38" s="80">
        <f t="shared" si="12"/>
        <v>-2.9112426035502961</v>
      </c>
      <c r="G38" s="119">
        <f t="shared" si="13"/>
        <v>5.7612242608765128E-3</v>
      </c>
      <c r="H38" s="125">
        <f t="shared" si="14"/>
        <v>44388</v>
      </c>
      <c r="I38" s="82">
        <f t="shared" si="0"/>
        <v>1.4442258920653496E-2</v>
      </c>
      <c r="J38" s="126">
        <f t="shared" si="7"/>
        <v>131710.86327377715</v>
      </c>
      <c r="K38" s="139">
        <f t="shared" si="1"/>
        <v>0</v>
      </c>
      <c r="L38" s="83">
        <f t="shared" si="2"/>
        <v>131710.86327377715</v>
      </c>
      <c r="M38" s="80">
        <f t="shared" si="8"/>
        <v>15</v>
      </c>
      <c r="N38" s="84">
        <f t="shared" si="17"/>
        <v>0</v>
      </c>
      <c r="O38" s="140">
        <f t="shared" si="4"/>
        <v>0</v>
      </c>
      <c r="P38" s="149">
        <v>0</v>
      </c>
      <c r="Q38" s="163">
        <f t="shared" si="9"/>
        <v>15</v>
      </c>
      <c r="R38" s="150">
        <f t="shared" si="5"/>
        <v>0</v>
      </c>
      <c r="S38"/>
    </row>
    <row r="39" spans="1:19" x14ac:dyDescent="0.25">
      <c r="A39" s="80" t="str">
        <f t="shared" si="15"/>
        <v>Mon</v>
      </c>
      <c r="B39" s="147">
        <f>IF(SUMIFS(CashFlow!$C$16:$C$40,CashFlow!$D$16:$D$40,CashFlowCalcs!$E39)&gt;0,SUMIFS(CashFlow!$C$16:$C$40,CashFlow!$D$16:$D$40,CashFlowCalcs!$E39),B38)</f>
        <v>0</v>
      </c>
      <c r="C39" s="147" t="str">
        <f t="shared" si="6"/>
        <v>N</v>
      </c>
      <c r="D39" s="80">
        <f t="shared" si="10"/>
        <v>16</v>
      </c>
      <c r="E39" s="81">
        <f t="shared" si="16"/>
        <v>44389</v>
      </c>
      <c r="F39" s="80">
        <f t="shared" si="12"/>
        <v>-2.9053254437869822</v>
      </c>
      <c r="G39" s="119">
        <f t="shared" si="13"/>
        <v>5.8612258938876326E-3</v>
      </c>
      <c r="H39" s="125">
        <f t="shared" si="14"/>
        <v>44389</v>
      </c>
      <c r="I39" s="82">
        <f t="shared" si="0"/>
        <v>1.4692943395174374E-2</v>
      </c>
      <c r="J39" s="126">
        <f t="shared" si="7"/>
        <v>133997.06162611803</v>
      </c>
      <c r="K39" s="139">
        <f t="shared" si="1"/>
        <v>0</v>
      </c>
      <c r="L39" s="83">
        <f t="shared" si="2"/>
        <v>133997.06162611803</v>
      </c>
      <c r="M39" s="80">
        <f t="shared" si="8"/>
        <v>16</v>
      </c>
      <c r="N39" s="84">
        <f t="shared" si="17"/>
        <v>0</v>
      </c>
      <c r="O39" s="140">
        <f t="shared" si="4"/>
        <v>0</v>
      </c>
      <c r="P39" s="149">
        <v>0</v>
      </c>
      <c r="Q39" s="163">
        <f t="shared" si="9"/>
        <v>16</v>
      </c>
      <c r="R39" s="150">
        <f t="shared" si="5"/>
        <v>0</v>
      </c>
      <c r="S39"/>
    </row>
    <row r="40" spans="1:19" x14ac:dyDescent="0.25">
      <c r="A40" s="80" t="str">
        <f t="shared" si="15"/>
        <v>Tues</v>
      </c>
      <c r="B40" s="147">
        <f>IF(SUMIFS(CashFlow!$C$16:$C$40,CashFlow!$D$16:$D$40,CashFlowCalcs!$E40)&gt;0,SUMIFS(CashFlow!$C$16:$C$40,CashFlow!$D$16:$D$40,CashFlowCalcs!$E40),B39)</f>
        <v>0</v>
      </c>
      <c r="C40" s="147" t="str">
        <f t="shared" si="6"/>
        <v>N</v>
      </c>
      <c r="D40" s="80">
        <f t="shared" si="10"/>
        <v>17</v>
      </c>
      <c r="E40" s="81">
        <f t="shared" si="16"/>
        <v>44390</v>
      </c>
      <c r="F40" s="80">
        <f t="shared" si="12"/>
        <v>-2.8994082840236688</v>
      </c>
      <c r="G40" s="119">
        <f t="shared" si="13"/>
        <v>5.9627545495100848E-3</v>
      </c>
      <c r="H40" s="125">
        <f t="shared" si="14"/>
        <v>44390</v>
      </c>
      <c r="I40" s="82">
        <f t="shared" si="0"/>
        <v>1.4947455815793499E-2</v>
      </c>
      <c r="J40" s="126">
        <f t="shared" si="7"/>
        <v>136318.17017415163</v>
      </c>
      <c r="K40" s="139">
        <f t="shared" si="1"/>
        <v>0</v>
      </c>
      <c r="L40" s="83">
        <f t="shared" si="2"/>
        <v>136318.17017415163</v>
      </c>
      <c r="M40" s="80">
        <f t="shared" si="8"/>
        <v>17</v>
      </c>
      <c r="N40" s="84">
        <f t="shared" si="17"/>
        <v>0</v>
      </c>
      <c r="O40" s="140">
        <f t="shared" si="4"/>
        <v>0</v>
      </c>
      <c r="P40" s="149">
        <v>0</v>
      </c>
      <c r="Q40" s="163">
        <f t="shared" si="9"/>
        <v>17</v>
      </c>
      <c r="R40" s="150">
        <f t="shared" si="5"/>
        <v>0</v>
      </c>
      <c r="S40"/>
    </row>
    <row r="41" spans="1:19" x14ac:dyDescent="0.25">
      <c r="A41" s="80" t="str">
        <f t="shared" si="15"/>
        <v>Wed</v>
      </c>
      <c r="B41" s="147">
        <f>IF(SUMIFS(CashFlow!$C$16:$C$40,CashFlow!$D$16:$D$40,CashFlowCalcs!$E41)&gt;0,SUMIFS(CashFlow!$C$16:$C$40,CashFlow!$D$16:$D$40,CashFlowCalcs!$E41),B40)</f>
        <v>0</v>
      </c>
      <c r="C41" s="147" t="str">
        <f t="shared" si="6"/>
        <v>N</v>
      </c>
      <c r="D41" s="80">
        <f t="shared" si="10"/>
        <v>18</v>
      </c>
      <c r="E41" s="81">
        <f t="shared" si="16"/>
        <v>44391</v>
      </c>
      <c r="F41" s="80">
        <f t="shared" si="12"/>
        <v>-2.8934911242603549</v>
      </c>
      <c r="G41" s="119">
        <f t="shared" si="13"/>
        <v>6.0658295079080854E-3</v>
      </c>
      <c r="H41" s="125">
        <f t="shared" si="14"/>
        <v>44391</v>
      </c>
      <c r="I41" s="82">
        <f t="shared" si="0"/>
        <v>1.5205844514099965E-2</v>
      </c>
      <c r="J41" s="126">
        <f t="shared" si="7"/>
        <v>138674.62969347677</v>
      </c>
      <c r="K41" s="139">
        <f t="shared" si="1"/>
        <v>0</v>
      </c>
      <c r="L41" s="83">
        <f t="shared" si="2"/>
        <v>138674.62969347677</v>
      </c>
      <c r="M41" s="80">
        <f t="shared" si="8"/>
        <v>18</v>
      </c>
      <c r="N41" s="84">
        <f t="shared" si="17"/>
        <v>0</v>
      </c>
      <c r="O41" s="140">
        <f t="shared" si="4"/>
        <v>0</v>
      </c>
      <c r="P41" s="149">
        <v>0</v>
      </c>
      <c r="Q41" s="163">
        <f t="shared" si="9"/>
        <v>18</v>
      </c>
      <c r="R41" s="150">
        <f t="shared" si="5"/>
        <v>0</v>
      </c>
      <c r="S41"/>
    </row>
    <row r="42" spans="1:19" x14ac:dyDescent="0.25">
      <c r="A42" s="80" t="str">
        <f t="shared" si="15"/>
        <v>Thu</v>
      </c>
      <c r="B42" s="147">
        <f>IF(SUMIFS(CashFlow!$C$16:$C$40,CashFlow!$D$16:$D$40,CashFlowCalcs!$E42)&gt;0,SUMIFS(CashFlow!$C$16:$C$40,CashFlow!$D$16:$D$40,CashFlowCalcs!$E42),B41)</f>
        <v>0</v>
      </c>
      <c r="C42" s="147" t="str">
        <f t="shared" si="6"/>
        <v>N</v>
      </c>
      <c r="D42" s="80">
        <f t="shared" si="10"/>
        <v>19</v>
      </c>
      <c r="E42" s="81">
        <f t="shared" si="16"/>
        <v>44392</v>
      </c>
      <c r="F42" s="80">
        <f t="shared" si="12"/>
        <v>-2.8875739644970415</v>
      </c>
      <c r="G42" s="119">
        <f t="shared" si="13"/>
        <v>6.1704702190531653E-3</v>
      </c>
      <c r="H42" s="125">
        <f t="shared" si="14"/>
        <v>44392</v>
      </c>
      <c r="I42" s="82">
        <f t="shared" si="0"/>
        <v>1.5468158247356485E-2</v>
      </c>
      <c r="J42" s="126">
        <f t="shared" si="7"/>
        <v>141066.88484176074</v>
      </c>
      <c r="K42" s="139">
        <f t="shared" si="1"/>
        <v>0</v>
      </c>
      <c r="L42" s="83">
        <f t="shared" si="2"/>
        <v>141066.88484176074</v>
      </c>
      <c r="M42" s="80">
        <f t="shared" si="8"/>
        <v>19</v>
      </c>
      <c r="N42" s="84">
        <f t="shared" si="17"/>
        <v>0</v>
      </c>
      <c r="O42" s="140">
        <f t="shared" si="4"/>
        <v>0</v>
      </c>
      <c r="P42" s="149">
        <v>0</v>
      </c>
      <c r="Q42" s="163">
        <f t="shared" si="9"/>
        <v>19</v>
      </c>
      <c r="R42" s="150">
        <f t="shared" si="5"/>
        <v>0</v>
      </c>
      <c r="S42"/>
    </row>
    <row r="43" spans="1:19" x14ac:dyDescent="0.25">
      <c r="A43" s="80" t="str">
        <f t="shared" si="15"/>
        <v>Fri</v>
      </c>
      <c r="B43" s="147">
        <f>IF(SUMIFS(CashFlow!$C$16:$C$40,CashFlow!$D$16:$D$40,CashFlowCalcs!$E43)&gt;0,SUMIFS(CashFlow!$C$16:$C$40,CashFlow!$D$16:$D$40,CashFlowCalcs!$E43),B42)</f>
        <v>0</v>
      </c>
      <c r="C43" s="147" t="str">
        <f t="shared" si="6"/>
        <v>N</v>
      </c>
      <c r="D43" s="80">
        <f t="shared" si="10"/>
        <v>20</v>
      </c>
      <c r="E43" s="81">
        <f t="shared" si="16"/>
        <v>44393</v>
      </c>
      <c r="F43" s="80">
        <f t="shared" si="12"/>
        <v>-2.8816568047337277</v>
      </c>
      <c r="G43" s="119">
        <f t="shared" si="13"/>
        <v>6.2766963029121901E-3</v>
      </c>
      <c r="H43" s="125">
        <f t="shared" si="14"/>
        <v>44393</v>
      </c>
      <c r="I43" s="82">
        <f t="shared" si="0"/>
        <v>1.5734446198970728E-2</v>
      </c>
      <c r="J43" s="126">
        <f t="shared" si="7"/>
        <v>143495.38416303802</v>
      </c>
      <c r="K43" s="139">
        <f t="shared" si="1"/>
        <v>0</v>
      </c>
      <c r="L43" s="83">
        <f t="shared" si="2"/>
        <v>143495.38416303802</v>
      </c>
      <c r="M43" s="80">
        <f t="shared" si="8"/>
        <v>20</v>
      </c>
      <c r="N43" s="84">
        <f t="shared" si="17"/>
        <v>0</v>
      </c>
      <c r="O43" s="140">
        <f t="shared" si="4"/>
        <v>0</v>
      </c>
      <c r="P43" s="149">
        <v>0</v>
      </c>
      <c r="Q43" s="163">
        <f t="shared" si="9"/>
        <v>20</v>
      </c>
      <c r="R43" s="150">
        <f t="shared" si="5"/>
        <v>0</v>
      </c>
      <c r="S43"/>
    </row>
    <row r="44" spans="1:19" x14ac:dyDescent="0.25">
      <c r="A44" s="80" t="str">
        <f t="shared" si="15"/>
        <v>Sat</v>
      </c>
      <c r="B44" s="147">
        <f>IF(SUMIFS(CashFlow!$C$16:$C$40,CashFlow!$D$16:$D$40,CashFlowCalcs!$E44)&gt;0,SUMIFS(CashFlow!$C$16:$C$40,CashFlow!$D$16:$D$40,CashFlowCalcs!$E44),B43)</f>
        <v>0</v>
      </c>
      <c r="C44" s="147" t="str">
        <f t="shared" si="6"/>
        <v>Y</v>
      </c>
      <c r="D44" s="80">
        <f t="shared" si="10"/>
        <v>20</v>
      </c>
      <c r="E44" s="81">
        <f t="shared" si="16"/>
        <v>44394</v>
      </c>
      <c r="F44" s="80">
        <f t="shared" si="12"/>
        <v>-2.8816568047337277</v>
      </c>
      <c r="G44" s="119">
        <f t="shared" si="13"/>
        <v>6.2766963029121901E-3</v>
      </c>
      <c r="H44" s="125">
        <f t="shared" si="14"/>
        <v>44394</v>
      </c>
      <c r="I44" s="82">
        <f t="shared" si="0"/>
        <v>1.5734446198970728E-2</v>
      </c>
      <c r="J44" s="126">
        <f t="shared" si="7"/>
        <v>143495.38416303802</v>
      </c>
      <c r="K44" s="139">
        <f t="shared" si="1"/>
        <v>0</v>
      </c>
      <c r="L44" s="83">
        <f t="shared" si="2"/>
        <v>143495.38416303802</v>
      </c>
      <c r="M44" s="80">
        <f t="shared" si="8"/>
        <v>20</v>
      </c>
      <c r="N44" s="84">
        <f t="shared" si="17"/>
        <v>0</v>
      </c>
      <c r="O44" s="140">
        <f t="shared" si="4"/>
        <v>0</v>
      </c>
      <c r="P44" s="149">
        <v>0</v>
      </c>
      <c r="Q44" s="163">
        <f t="shared" si="9"/>
        <v>20</v>
      </c>
      <c r="R44" s="150">
        <f t="shared" si="5"/>
        <v>0</v>
      </c>
      <c r="S44"/>
    </row>
    <row r="45" spans="1:19" x14ac:dyDescent="0.25">
      <c r="A45" s="80" t="str">
        <f t="shared" si="15"/>
        <v>Sun</v>
      </c>
      <c r="B45" s="147">
        <f>IF(SUMIFS(CashFlow!$C$16:$C$40,CashFlow!$D$16:$D$40,CashFlowCalcs!$E45)&gt;0,SUMIFS(CashFlow!$C$16:$C$40,CashFlow!$D$16:$D$40,CashFlowCalcs!$E45),B44)</f>
        <v>0</v>
      </c>
      <c r="C45" s="147" t="str">
        <f t="shared" si="6"/>
        <v>Y</v>
      </c>
      <c r="D45" s="80">
        <f t="shared" si="10"/>
        <v>20</v>
      </c>
      <c r="E45" s="81">
        <f t="shared" si="16"/>
        <v>44395</v>
      </c>
      <c r="F45" s="80">
        <f t="shared" si="12"/>
        <v>-2.8816568047337277</v>
      </c>
      <c r="G45" s="119">
        <f t="shared" si="13"/>
        <v>6.2766963029121901E-3</v>
      </c>
      <c r="H45" s="125">
        <f t="shared" si="14"/>
        <v>44395</v>
      </c>
      <c r="I45" s="82">
        <f t="shared" si="0"/>
        <v>1.5734446198970728E-2</v>
      </c>
      <c r="J45" s="126">
        <f t="shared" si="7"/>
        <v>143495.38416303802</v>
      </c>
      <c r="K45" s="139">
        <f t="shared" si="1"/>
        <v>0</v>
      </c>
      <c r="L45" s="83">
        <f t="shared" si="2"/>
        <v>143495.38416303802</v>
      </c>
      <c r="M45" s="80">
        <f t="shared" si="8"/>
        <v>20</v>
      </c>
      <c r="N45" s="84">
        <f t="shared" si="17"/>
        <v>0</v>
      </c>
      <c r="O45" s="140">
        <f t="shared" si="4"/>
        <v>0</v>
      </c>
      <c r="P45" s="149">
        <v>0</v>
      </c>
      <c r="Q45" s="163">
        <f t="shared" si="9"/>
        <v>20</v>
      </c>
      <c r="R45" s="150">
        <f t="shared" si="5"/>
        <v>0</v>
      </c>
      <c r="S45"/>
    </row>
    <row r="46" spans="1:19" x14ac:dyDescent="0.25">
      <c r="A46" s="80" t="str">
        <f t="shared" si="15"/>
        <v>Mon</v>
      </c>
      <c r="B46" s="147">
        <f>IF(SUMIFS(CashFlow!$C$16:$C$40,CashFlow!$D$16:$D$40,CashFlowCalcs!$E46)&gt;0,SUMIFS(CashFlow!$C$16:$C$40,CashFlow!$D$16:$D$40,CashFlowCalcs!$E46),B45)</f>
        <v>0</v>
      </c>
      <c r="C46" s="147" t="str">
        <f t="shared" si="6"/>
        <v>N</v>
      </c>
      <c r="D46" s="80">
        <f t="shared" si="10"/>
        <v>21</v>
      </c>
      <c r="E46" s="81">
        <f t="shared" si="16"/>
        <v>44396</v>
      </c>
      <c r="F46" s="80">
        <f t="shared" si="12"/>
        <v>-2.8757396449704142</v>
      </c>
      <c r="G46" s="119">
        <f t="shared" si="13"/>
        <v>6.3845275496084274E-3</v>
      </c>
      <c r="H46" s="125">
        <f t="shared" si="14"/>
        <v>44396</v>
      </c>
      <c r="I46" s="82">
        <f t="shared" si="0"/>
        <v>1.6004757978899078E-2</v>
      </c>
      <c r="J46" s="126">
        <f t="shared" si="7"/>
        <v>145960.58009139239</v>
      </c>
      <c r="K46" s="139">
        <f t="shared" si="1"/>
        <v>0</v>
      </c>
      <c r="L46" s="83">
        <f t="shared" si="2"/>
        <v>145960.58009139239</v>
      </c>
      <c r="M46" s="80">
        <f t="shared" si="8"/>
        <v>21</v>
      </c>
      <c r="N46" s="84">
        <f t="shared" si="17"/>
        <v>0</v>
      </c>
      <c r="O46" s="140">
        <f t="shared" si="4"/>
        <v>0</v>
      </c>
      <c r="P46" s="149">
        <v>0</v>
      </c>
      <c r="Q46" s="163">
        <f t="shared" si="9"/>
        <v>21</v>
      </c>
      <c r="R46" s="150">
        <f t="shared" si="5"/>
        <v>0</v>
      </c>
      <c r="S46"/>
    </row>
    <row r="47" spans="1:19" x14ac:dyDescent="0.25">
      <c r="A47" s="80" t="str">
        <f t="shared" si="15"/>
        <v>Tues</v>
      </c>
      <c r="B47" s="147">
        <f>IF(SUMIFS(CashFlow!$C$16:$C$40,CashFlow!$D$16:$D$40,CashFlowCalcs!$E47)&gt;0,SUMIFS(CashFlow!$C$16:$C$40,CashFlow!$D$16:$D$40,CashFlowCalcs!$E47),B46)</f>
        <v>0</v>
      </c>
      <c r="C47" s="147" t="str">
        <f t="shared" si="6"/>
        <v>N</v>
      </c>
      <c r="D47" s="80">
        <f t="shared" si="10"/>
        <v>22</v>
      </c>
      <c r="E47" s="81">
        <f t="shared" si="16"/>
        <v>44397</v>
      </c>
      <c r="F47" s="80">
        <f t="shared" si="12"/>
        <v>-2.8698224852071004</v>
      </c>
      <c r="G47" s="119">
        <f t="shared" si="13"/>
        <v>6.4939839195555576E-3</v>
      </c>
      <c r="H47" s="125">
        <f t="shared" si="14"/>
        <v>44397</v>
      </c>
      <c r="I47" s="82">
        <f t="shared" si="0"/>
        <v>1.6279143623982573E-2</v>
      </c>
      <c r="J47" s="126">
        <f t="shared" si="7"/>
        <v>148462.92895402058</v>
      </c>
      <c r="K47" s="139">
        <f t="shared" si="1"/>
        <v>0</v>
      </c>
      <c r="L47" s="83">
        <f t="shared" si="2"/>
        <v>148462.92895402058</v>
      </c>
      <c r="M47" s="80">
        <f t="shared" si="8"/>
        <v>22</v>
      </c>
      <c r="N47" s="84">
        <f t="shared" si="17"/>
        <v>0</v>
      </c>
      <c r="O47" s="140">
        <f t="shared" si="4"/>
        <v>0</v>
      </c>
      <c r="P47" s="149">
        <v>0</v>
      </c>
      <c r="Q47" s="163">
        <f t="shared" si="9"/>
        <v>22</v>
      </c>
      <c r="R47" s="150">
        <f t="shared" si="5"/>
        <v>0</v>
      </c>
      <c r="S47"/>
    </row>
    <row r="48" spans="1:19" x14ac:dyDescent="0.25">
      <c r="A48" s="80" t="str">
        <f t="shared" si="15"/>
        <v>Wed</v>
      </c>
      <c r="B48" s="147">
        <f>IF(SUMIFS(CashFlow!$C$16:$C$40,CashFlow!$D$16:$D$40,CashFlowCalcs!$E48)&gt;0,SUMIFS(CashFlow!$C$16:$C$40,CashFlow!$D$16:$D$40,CashFlowCalcs!$E48),B47)</f>
        <v>0</v>
      </c>
      <c r="C48" s="147" t="str">
        <f t="shared" si="6"/>
        <v>N</v>
      </c>
      <c r="D48" s="80">
        <f t="shared" si="10"/>
        <v>23</v>
      </c>
      <c r="E48" s="81">
        <f t="shared" si="16"/>
        <v>44398</v>
      </c>
      <c r="F48" s="80">
        <f t="shared" si="12"/>
        <v>-2.863905325443787</v>
      </c>
      <c r="G48" s="119">
        <f t="shared" si="13"/>
        <v>6.6050855435637254E-3</v>
      </c>
      <c r="H48" s="125">
        <f t="shared" si="14"/>
        <v>44398</v>
      </c>
      <c r="I48" s="82">
        <f t="shared" si="0"/>
        <v>1.6557653598212763E-2</v>
      </c>
      <c r="J48" s="126">
        <f t="shared" si="7"/>
        <v>151002.89097365705</v>
      </c>
      <c r="K48" s="139">
        <f t="shared" si="1"/>
        <v>0</v>
      </c>
      <c r="L48" s="83">
        <f t="shared" si="2"/>
        <v>151002.89097365705</v>
      </c>
      <c r="M48" s="80">
        <f t="shared" si="8"/>
        <v>23</v>
      </c>
      <c r="N48" s="84">
        <f t="shared" si="17"/>
        <v>0</v>
      </c>
      <c r="O48" s="140">
        <f t="shared" si="4"/>
        <v>0</v>
      </c>
      <c r="P48" s="149">
        <v>0</v>
      </c>
      <c r="Q48" s="163">
        <f t="shared" si="9"/>
        <v>23</v>
      </c>
      <c r="R48" s="150">
        <f t="shared" si="5"/>
        <v>0</v>
      </c>
      <c r="S48"/>
    </row>
    <row r="49" spans="1:19" x14ac:dyDescent="0.25">
      <c r="A49" s="80" t="str">
        <f t="shared" si="15"/>
        <v>Thu</v>
      </c>
      <c r="B49" s="147">
        <f>IF(SUMIFS(CashFlow!$C$16:$C$40,CashFlow!$D$16:$D$40,CashFlowCalcs!$E49)&gt;0,SUMIFS(CashFlow!$C$16:$C$40,CashFlow!$D$16:$D$40,CashFlowCalcs!$E49),B48)</f>
        <v>0</v>
      </c>
      <c r="C49" s="147" t="str">
        <f t="shared" si="6"/>
        <v>N</v>
      </c>
      <c r="D49" s="80">
        <f t="shared" si="10"/>
        <v>24</v>
      </c>
      <c r="E49" s="81">
        <f t="shared" si="16"/>
        <v>44399</v>
      </c>
      <c r="F49" s="80">
        <f t="shared" si="12"/>
        <v>-2.8579881656804735</v>
      </c>
      <c r="G49" s="119">
        <f t="shared" si="13"/>
        <v>6.7178527229174766E-3</v>
      </c>
      <c r="H49" s="125">
        <f t="shared" si="14"/>
        <v>44399</v>
      </c>
      <c r="I49" s="82">
        <f t="shared" si="0"/>
        <v>1.6840338792927068E-2</v>
      </c>
      <c r="J49" s="126">
        <f t="shared" si="7"/>
        <v>153580.93027035537</v>
      </c>
      <c r="K49" s="139">
        <f t="shared" si="1"/>
        <v>0</v>
      </c>
      <c r="L49" s="83">
        <f t="shared" si="2"/>
        <v>153580.93027035537</v>
      </c>
      <c r="M49" s="80">
        <f t="shared" si="8"/>
        <v>24</v>
      </c>
      <c r="N49" s="84">
        <f t="shared" si="17"/>
        <v>0</v>
      </c>
      <c r="O49" s="140">
        <f t="shared" si="4"/>
        <v>0</v>
      </c>
      <c r="P49" s="149">
        <v>0</v>
      </c>
      <c r="Q49" s="163">
        <f t="shared" si="9"/>
        <v>24</v>
      </c>
      <c r="R49" s="150">
        <f t="shared" si="5"/>
        <v>0</v>
      </c>
      <c r="S49"/>
    </row>
    <row r="50" spans="1:19" x14ac:dyDescent="0.25">
      <c r="A50" s="80" t="str">
        <f t="shared" si="15"/>
        <v>Fri</v>
      </c>
      <c r="B50" s="147">
        <f>IF(SUMIFS(CashFlow!$C$16:$C$40,CashFlow!$D$16:$D$40,CashFlowCalcs!$E50)&gt;0,SUMIFS(CashFlow!$C$16:$C$40,CashFlow!$D$16:$D$40,CashFlowCalcs!$E50),B49)</f>
        <v>0</v>
      </c>
      <c r="C50" s="147" t="str">
        <f t="shared" si="6"/>
        <v>N</v>
      </c>
      <c r="D50" s="80">
        <f t="shared" si="10"/>
        <v>25</v>
      </c>
      <c r="E50" s="81">
        <f t="shared" si="16"/>
        <v>44400</v>
      </c>
      <c r="F50" s="80">
        <f t="shared" si="12"/>
        <v>-2.8520710059171597</v>
      </c>
      <c r="G50" s="119">
        <f t="shared" si="13"/>
        <v>6.8323059294248568E-3</v>
      </c>
      <c r="H50" s="125">
        <f t="shared" si="14"/>
        <v>44400</v>
      </c>
      <c r="I50" s="82">
        <f t="shared" si="0"/>
        <v>1.7127250526931866E-2</v>
      </c>
      <c r="J50" s="126">
        <f t="shared" si="7"/>
        <v>156197.51486261102</v>
      </c>
      <c r="K50" s="139">
        <f t="shared" si="1"/>
        <v>0</v>
      </c>
      <c r="L50" s="83">
        <f t="shared" si="2"/>
        <v>156197.51486261102</v>
      </c>
      <c r="M50" s="80">
        <f t="shared" si="8"/>
        <v>25</v>
      </c>
      <c r="N50" s="84">
        <f t="shared" si="17"/>
        <v>0</v>
      </c>
      <c r="O50" s="140">
        <f t="shared" si="4"/>
        <v>0</v>
      </c>
      <c r="P50" s="149">
        <v>0</v>
      </c>
      <c r="Q50" s="163">
        <f t="shared" si="9"/>
        <v>25</v>
      </c>
      <c r="R50" s="150">
        <f t="shared" si="5"/>
        <v>0</v>
      </c>
      <c r="S50"/>
    </row>
    <row r="51" spans="1:19" x14ac:dyDescent="0.25">
      <c r="A51" s="80" t="str">
        <f t="shared" si="15"/>
        <v>Sat</v>
      </c>
      <c r="B51" s="147">
        <f>IF(SUMIFS(CashFlow!$C$16:$C$40,CashFlow!$D$16:$D$40,CashFlowCalcs!$E51)&gt;0,SUMIFS(CashFlow!$C$16:$C$40,CashFlow!$D$16:$D$40,CashFlowCalcs!$E51),B50)</f>
        <v>0</v>
      </c>
      <c r="C51" s="147" t="str">
        <f t="shared" si="6"/>
        <v>Y</v>
      </c>
      <c r="D51" s="80">
        <f t="shared" si="10"/>
        <v>25</v>
      </c>
      <c r="E51" s="81">
        <f t="shared" si="16"/>
        <v>44401</v>
      </c>
      <c r="F51" s="80">
        <f t="shared" si="12"/>
        <v>-2.8520710059171597</v>
      </c>
      <c r="G51" s="119">
        <f t="shared" si="13"/>
        <v>6.8323059294248568E-3</v>
      </c>
      <c r="H51" s="125">
        <f t="shared" si="14"/>
        <v>44401</v>
      </c>
      <c r="I51" s="82">
        <f t="shared" si="0"/>
        <v>1.7127250526931866E-2</v>
      </c>
      <c r="J51" s="126">
        <f t="shared" si="7"/>
        <v>156197.51486261102</v>
      </c>
      <c r="K51" s="139">
        <f t="shared" si="1"/>
        <v>0</v>
      </c>
      <c r="L51" s="83">
        <f t="shared" si="2"/>
        <v>156197.51486261102</v>
      </c>
      <c r="M51" s="80">
        <f t="shared" si="8"/>
        <v>25</v>
      </c>
      <c r="N51" s="84">
        <f t="shared" si="17"/>
        <v>0</v>
      </c>
      <c r="O51" s="140">
        <f t="shared" si="4"/>
        <v>0</v>
      </c>
      <c r="P51" s="149">
        <v>0</v>
      </c>
      <c r="Q51" s="163">
        <f t="shared" si="9"/>
        <v>25</v>
      </c>
      <c r="R51" s="150">
        <f t="shared" si="5"/>
        <v>0</v>
      </c>
      <c r="S51"/>
    </row>
    <row r="52" spans="1:19" x14ac:dyDescent="0.25">
      <c r="A52" s="80" t="str">
        <f t="shared" si="15"/>
        <v>Sun</v>
      </c>
      <c r="B52" s="147">
        <f>IF(SUMIFS(CashFlow!$C$16:$C$40,CashFlow!$D$16:$D$40,CashFlowCalcs!$E52)&gt;0,SUMIFS(CashFlow!$C$16:$C$40,CashFlow!$D$16:$D$40,CashFlowCalcs!$E52),B51)</f>
        <v>0</v>
      </c>
      <c r="C52" s="147" t="str">
        <f t="shared" si="6"/>
        <v>Y</v>
      </c>
      <c r="D52" s="80">
        <f t="shared" si="10"/>
        <v>25</v>
      </c>
      <c r="E52" s="81">
        <f t="shared" ref="E52:E67" si="18">E51+1</f>
        <v>44402</v>
      </c>
      <c r="F52" s="80">
        <f t="shared" si="12"/>
        <v>-2.8520710059171597</v>
      </c>
      <c r="G52" s="119">
        <f t="shared" si="13"/>
        <v>6.8323059294248568E-3</v>
      </c>
      <c r="H52" s="125">
        <f t="shared" si="14"/>
        <v>44402</v>
      </c>
      <c r="I52" s="82">
        <f t="shared" si="0"/>
        <v>1.7127250526931866E-2</v>
      </c>
      <c r="J52" s="126">
        <f t="shared" si="7"/>
        <v>156197.51486261102</v>
      </c>
      <c r="K52" s="139">
        <f t="shared" si="1"/>
        <v>0</v>
      </c>
      <c r="L52" s="83">
        <f t="shared" si="2"/>
        <v>156197.51486261102</v>
      </c>
      <c r="M52" s="80">
        <f t="shared" si="8"/>
        <v>25</v>
      </c>
      <c r="N52" s="84">
        <f t="shared" si="17"/>
        <v>0</v>
      </c>
      <c r="O52" s="140">
        <f t="shared" si="4"/>
        <v>0</v>
      </c>
      <c r="P52" s="149">
        <v>0</v>
      </c>
      <c r="Q52" s="163">
        <f t="shared" si="9"/>
        <v>25</v>
      </c>
      <c r="R52" s="150">
        <f t="shared" si="5"/>
        <v>0</v>
      </c>
      <c r="S52"/>
    </row>
    <row r="53" spans="1:19" x14ac:dyDescent="0.25">
      <c r="A53" s="80" t="str">
        <f t="shared" si="15"/>
        <v>Mon</v>
      </c>
      <c r="B53" s="147">
        <f>IF(SUMIFS(CashFlow!$C$16:$C$40,CashFlow!$D$16:$D$40,CashFlowCalcs!$E53)&gt;0,SUMIFS(CashFlow!$C$16:$C$40,CashFlow!$D$16:$D$40,CashFlowCalcs!$E53),B52)</f>
        <v>0</v>
      </c>
      <c r="C53" s="147" t="str">
        <f t="shared" si="6"/>
        <v>N</v>
      </c>
      <c r="D53" s="80">
        <f t="shared" si="10"/>
        <v>26</v>
      </c>
      <c r="E53" s="81">
        <f t="shared" si="18"/>
        <v>44403</v>
      </c>
      <c r="F53" s="80">
        <f t="shared" si="12"/>
        <v>-2.8461538461538463</v>
      </c>
      <c r="G53" s="119">
        <f t="shared" si="13"/>
        <v>6.948465805437223E-3</v>
      </c>
      <c r="H53" s="125">
        <f t="shared" si="14"/>
        <v>44403</v>
      </c>
      <c r="I53" s="82">
        <f t="shared" si="0"/>
        <v>1.7418440546552172E-2</v>
      </c>
      <c r="J53" s="126">
        <f t="shared" si="7"/>
        <v>158853.11666781415</v>
      </c>
      <c r="K53" s="139">
        <f t="shared" si="1"/>
        <v>0</v>
      </c>
      <c r="L53" s="83">
        <f t="shared" si="2"/>
        <v>158853.11666781415</v>
      </c>
      <c r="M53" s="80">
        <f t="shared" si="8"/>
        <v>26</v>
      </c>
      <c r="N53" s="84">
        <f t="shared" si="17"/>
        <v>0</v>
      </c>
      <c r="O53" s="140">
        <f t="shared" si="4"/>
        <v>0</v>
      </c>
      <c r="P53" s="149">
        <v>0</v>
      </c>
      <c r="Q53" s="163">
        <f t="shared" si="9"/>
        <v>26</v>
      </c>
      <c r="R53" s="150">
        <f t="shared" si="5"/>
        <v>0</v>
      </c>
      <c r="S53"/>
    </row>
    <row r="54" spans="1:19" x14ac:dyDescent="0.25">
      <c r="A54" s="80" t="str">
        <f t="shared" si="15"/>
        <v>Tues</v>
      </c>
      <c r="B54" s="147">
        <f>IF(SUMIFS(CashFlow!$C$16:$C$40,CashFlow!$D$16:$D$40,CashFlowCalcs!$E54)&gt;0,SUMIFS(CashFlow!$C$16:$C$40,CashFlow!$D$16:$D$40,CashFlowCalcs!$E54),B53)</f>
        <v>0</v>
      </c>
      <c r="C54" s="147" t="str">
        <f t="shared" si="6"/>
        <v>N</v>
      </c>
      <c r="D54" s="80">
        <f t="shared" si="10"/>
        <v>27</v>
      </c>
      <c r="E54" s="81">
        <f t="shared" si="18"/>
        <v>44404</v>
      </c>
      <c r="F54" s="80">
        <f t="shared" si="12"/>
        <v>-2.8402366863905324</v>
      </c>
      <c r="G54" s="119">
        <f t="shared" si="13"/>
        <v>7.0663531638393839E-3</v>
      </c>
      <c r="H54" s="125">
        <f t="shared" si="14"/>
        <v>44404</v>
      </c>
      <c r="I54" s="82">
        <f t="shared" si="0"/>
        <v>1.7713961025606888E-2</v>
      </c>
      <c r="J54" s="126">
        <f t="shared" si="7"/>
        <v>161548.21150202418</v>
      </c>
      <c r="K54" s="139">
        <f t="shared" si="1"/>
        <v>0</v>
      </c>
      <c r="L54" s="83">
        <f t="shared" si="2"/>
        <v>161548.21150202418</v>
      </c>
      <c r="M54" s="80">
        <f t="shared" si="8"/>
        <v>27</v>
      </c>
      <c r="N54" s="84">
        <f t="shared" si="17"/>
        <v>0</v>
      </c>
      <c r="O54" s="140">
        <f t="shared" si="4"/>
        <v>0</v>
      </c>
      <c r="P54" s="149">
        <v>0</v>
      </c>
      <c r="Q54" s="163">
        <f t="shared" si="9"/>
        <v>27</v>
      </c>
      <c r="R54" s="150">
        <f t="shared" si="5"/>
        <v>0</v>
      </c>
      <c r="S54"/>
    </row>
    <row r="55" spans="1:19" x14ac:dyDescent="0.25">
      <c r="A55" s="80" t="str">
        <f t="shared" si="15"/>
        <v>Wed</v>
      </c>
      <c r="B55" s="147">
        <f>IF(SUMIFS(CashFlow!$C$16:$C$40,CashFlow!$D$16:$D$40,CashFlowCalcs!$E55)&gt;0,SUMIFS(CashFlow!$C$16:$C$40,CashFlow!$D$16:$D$40,CashFlowCalcs!$E55),B54)</f>
        <v>0</v>
      </c>
      <c r="C55" s="147" t="str">
        <f t="shared" si="6"/>
        <v>N</v>
      </c>
      <c r="D55" s="80">
        <f t="shared" si="10"/>
        <v>28</v>
      </c>
      <c r="E55" s="81">
        <f t="shared" si="18"/>
        <v>44405</v>
      </c>
      <c r="F55" s="80">
        <f t="shared" si="12"/>
        <v>-2.834319526627219</v>
      </c>
      <c r="G55" s="119">
        <f t="shared" si="13"/>
        <v>7.1859889880093331E-3</v>
      </c>
      <c r="H55" s="125">
        <f t="shared" si="14"/>
        <v>44405</v>
      </c>
      <c r="I55" s="82">
        <f t="shared" si="0"/>
        <v>1.8013864565307895E-2</v>
      </c>
      <c r="J55" s="126">
        <f t="shared" si="7"/>
        <v>164283.2790790493</v>
      </c>
      <c r="K55" s="139">
        <f t="shared" si="1"/>
        <v>0</v>
      </c>
      <c r="L55" s="83">
        <f t="shared" si="2"/>
        <v>164283.2790790493</v>
      </c>
      <c r="M55" s="80">
        <f t="shared" si="8"/>
        <v>28</v>
      </c>
      <c r="N55" s="84">
        <f t="shared" si="17"/>
        <v>0</v>
      </c>
      <c r="O55" s="140">
        <f t="shared" si="4"/>
        <v>0</v>
      </c>
      <c r="P55" s="149">
        <v>0</v>
      </c>
      <c r="Q55" s="163">
        <f t="shared" si="9"/>
        <v>28</v>
      </c>
      <c r="R55" s="150">
        <f t="shared" si="5"/>
        <v>0</v>
      </c>
      <c r="S55"/>
    </row>
    <row r="56" spans="1:19" x14ac:dyDescent="0.25">
      <c r="A56" s="80" t="str">
        <f t="shared" si="15"/>
        <v>Thu</v>
      </c>
      <c r="B56" s="147">
        <f>IF(SUMIFS(CashFlow!$C$16:$C$40,CashFlow!$D$16:$D$40,CashFlowCalcs!$E56)&gt;0,SUMIFS(CashFlow!$C$16:$C$40,CashFlow!$D$16:$D$40,CashFlowCalcs!$E56),B55)</f>
        <v>0</v>
      </c>
      <c r="C56" s="147" t="str">
        <f t="shared" si="6"/>
        <v>N</v>
      </c>
      <c r="D56" s="80">
        <f t="shared" si="10"/>
        <v>29</v>
      </c>
      <c r="E56" s="81">
        <f t="shared" si="18"/>
        <v>44406</v>
      </c>
      <c r="F56" s="80">
        <f t="shared" si="12"/>
        <v>-2.8284023668639051</v>
      </c>
      <c r="G56" s="119">
        <f t="shared" si="13"/>
        <v>7.307394431747328E-3</v>
      </c>
      <c r="H56" s="125">
        <f t="shared" si="14"/>
        <v>44406</v>
      </c>
      <c r="I56" s="82">
        <f t="shared" si="0"/>
        <v>1.8318204194082248E-2</v>
      </c>
      <c r="J56" s="126">
        <f t="shared" si="7"/>
        <v>167058.80300882502</v>
      </c>
      <c r="K56" s="139">
        <f t="shared" si="1"/>
        <v>0</v>
      </c>
      <c r="L56" s="83">
        <f t="shared" si="2"/>
        <v>167058.80300882502</v>
      </c>
      <c r="M56" s="80">
        <f t="shared" si="8"/>
        <v>29</v>
      </c>
      <c r="N56" s="84">
        <f t="shared" si="17"/>
        <v>0</v>
      </c>
      <c r="O56" s="140">
        <f t="shared" si="4"/>
        <v>0</v>
      </c>
      <c r="P56" s="149">
        <v>0</v>
      </c>
      <c r="Q56" s="163">
        <f t="shared" si="9"/>
        <v>29</v>
      </c>
      <c r="R56" s="150">
        <f t="shared" si="5"/>
        <v>0</v>
      </c>
      <c r="S56"/>
    </row>
    <row r="57" spans="1:19" s="74" customFormat="1" x14ac:dyDescent="0.25">
      <c r="A57" s="80" t="str">
        <f t="shared" si="15"/>
        <v>Fri</v>
      </c>
      <c r="B57" s="147">
        <f>IF(SUMIFS(CashFlow!$C$16:$C$40,CashFlow!$D$16:$D$40,CashFlowCalcs!$E57)&gt;0,SUMIFS(CashFlow!$C$16:$C$40,CashFlow!$D$16:$D$40,CashFlowCalcs!$E57),B56)</f>
        <v>0</v>
      </c>
      <c r="C57" s="147" t="str">
        <f t="shared" si="6"/>
        <v>N</v>
      </c>
      <c r="D57" s="80">
        <f t="shared" si="10"/>
        <v>30</v>
      </c>
      <c r="E57" s="85">
        <f t="shared" si="18"/>
        <v>44407</v>
      </c>
      <c r="F57" s="80">
        <f t="shared" si="12"/>
        <v>-2.8224852071005917</v>
      </c>
      <c r="G57" s="121">
        <f t="shared" si="13"/>
        <v>7.430590819173577E-3</v>
      </c>
      <c r="H57" s="129">
        <f t="shared" si="14"/>
        <v>44407</v>
      </c>
      <c r="I57" s="86">
        <f t="shared" si="0"/>
        <v>1.8627033367315703E-2</v>
      </c>
      <c r="J57" s="130">
        <f t="shared" si="7"/>
        <v>169875.27079507525</v>
      </c>
      <c r="K57" s="143">
        <f t="shared" si="1"/>
        <v>0</v>
      </c>
      <c r="L57" s="83">
        <f t="shared" si="2"/>
        <v>169875.27079507525</v>
      </c>
      <c r="M57" s="80">
        <f t="shared" si="8"/>
        <v>30</v>
      </c>
      <c r="N57" s="87">
        <f t="shared" si="17"/>
        <v>0</v>
      </c>
      <c r="O57" s="144">
        <f t="shared" si="4"/>
        <v>0</v>
      </c>
      <c r="P57" s="149">
        <v>0</v>
      </c>
      <c r="Q57" s="163">
        <f t="shared" si="9"/>
        <v>30</v>
      </c>
      <c r="R57" s="150">
        <f t="shared" si="5"/>
        <v>0</v>
      </c>
    </row>
    <row r="58" spans="1:19" x14ac:dyDescent="0.25">
      <c r="A58" s="80" t="str">
        <f t="shared" si="15"/>
        <v>Sat</v>
      </c>
      <c r="B58" s="147">
        <f>IF(SUMIFS(CashFlow!$C$16:$C$40,CashFlow!$D$16:$D$40,CashFlowCalcs!$E58)&gt;0,SUMIFS(CashFlow!$C$16:$C$40,CashFlow!$D$16:$D$40,CashFlowCalcs!$E58),B57)</f>
        <v>0</v>
      </c>
      <c r="C58" s="147" t="str">
        <f t="shared" si="6"/>
        <v>Y</v>
      </c>
      <c r="D58" s="80">
        <f t="shared" si="10"/>
        <v>30</v>
      </c>
      <c r="E58" s="81">
        <f t="shared" si="18"/>
        <v>44408</v>
      </c>
      <c r="F58" s="80">
        <f t="shared" si="12"/>
        <v>-2.8224852071005917</v>
      </c>
      <c r="G58" s="119">
        <f t="shared" si="13"/>
        <v>7.430590819173577E-3</v>
      </c>
      <c r="H58" s="125">
        <f t="shared" si="14"/>
        <v>44408</v>
      </c>
      <c r="I58" s="82">
        <f t="shared" si="0"/>
        <v>1.8627033367315703E-2</v>
      </c>
      <c r="J58" s="126">
        <f t="shared" si="7"/>
        <v>169875.27079507525</v>
      </c>
      <c r="K58" s="139">
        <f t="shared" si="1"/>
        <v>0</v>
      </c>
      <c r="L58" s="83">
        <f t="shared" si="2"/>
        <v>169875.27079507525</v>
      </c>
      <c r="M58" s="80">
        <f t="shared" si="8"/>
        <v>30</v>
      </c>
      <c r="N58" s="84">
        <f t="shared" si="17"/>
        <v>0</v>
      </c>
      <c r="O58" s="140">
        <f t="shared" si="4"/>
        <v>0</v>
      </c>
      <c r="P58" s="149">
        <v>0</v>
      </c>
      <c r="Q58" s="163">
        <f t="shared" si="9"/>
        <v>30</v>
      </c>
      <c r="R58" s="150">
        <f t="shared" si="5"/>
        <v>0</v>
      </c>
      <c r="S58"/>
    </row>
    <row r="59" spans="1:19" x14ac:dyDescent="0.25">
      <c r="A59" s="80" t="str">
        <f t="shared" si="15"/>
        <v>Sun</v>
      </c>
      <c r="B59" s="147">
        <f>IF(SUMIFS(CashFlow!$C$16:$C$40,CashFlow!$D$16:$D$40,CashFlowCalcs!$E59)&gt;0,SUMIFS(CashFlow!$C$16:$C$40,CashFlow!$D$16:$D$40,CashFlowCalcs!$E59),B58)</f>
        <v>0</v>
      </c>
      <c r="C59" s="147" t="str">
        <f t="shared" si="6"/>
        <v>Y</v>
      </c>
      <c r="D59" s="80">
        <f t="shared" si="10"/>
        <v>30</v>
      </c>
      <c r="E59" s="81">
        <f t="shared" si="18"/>
        <v>44409</v>
      </c>
      <c r="F59" s="80">
        <f t="shared" si="12"/>
        <v>-2.8224852071005917</v>
      </c>
      <c r="G59" s="119">
        <f t="shared" si="13"/>
        <v>7.430590819173577E-3</v>
      </c>
      <c r="H59" s="125">
        <f t="shared" si="14"/>
        <v>44409</v>
      </c>
      <c r="I59" s="82">
        <f t="shared" si="0"/>
        <v>1.8627033367315703E-2</v>
      </c>
      <c r="J59" s="126">
        <f t="shared" si="7"/>
        <v>169875.27079507525</v>
      </c>
      <c r="K59" s="139">
        <f t="shared" si="1"/>
        <v>0</v>
      </c>
      <c r="L59" s="83">
        <f t="shared" si="2"/>
        <v>169875.27079507525</v>
      </c>
      <c r="M59" s="80">
        <f t="shared" si="8"/>
        <v>30</v>
      </c>
      <c r="N59" s="84">
        <f t="shared" si="17"/>
        <v>0</v>
      </c>
      <c r="O59" s="140">
        <f t="shared" si="4"/>
        <v>0</v>
      </c>
      <c r="P59" s="149">
        <v>0</v>
      </c>
      <c r="Q59" s="163">
        <f t="shared" si="9"/>
        <v>30</v>
      </c>
      <c r="R59" s="150">
        <f t="shared" si="5"/>
        <v>0</v>
      </c>
      <c r="S59"/>
    </row>
    <row r="60" spans="1:19" x14ac:dyDescent="0.25">
      <c r="A60" s="80" t="str">
        <f t="shared" si="15"/>
        <v>Mon</v>
      </c>
      <c r="B60" s="147">
        <f>IF(SUMIFS(CashFlow!$C$16:$C$40,CashFlow!$D$16:$D$40,CashFlowCalcs!$E60)&gt;0,SUMIFS(CashFlow!$C$16:$C$40,CashFlow!$D$16:$D$40,CashFlowCalcs!$E60),B59)</f>
        <v>0</v>
      </c>
      <c r="C60" s="147" t="str">
        <f t="shared" si="6"/>
        <v>N</v>
      </c>
      <c r="D60" s="80">
        <f t="shared" si="10"/>
        <v>31</v>
      </c>
      <c r="E60" s="81">
        <f t="shared" si="18"/>
        <v>44410</v>
      </c>
      <c r="F60" s="80">
        <f t="shared" si="12"/>
        <v>-2.8165680473372783</v>
      </c>
      <c r="G60" s="119">
        <f t="shared" si="13"/>
        <v>7.555599644594198E-3</v>
      </c>
      <c r="H60" s="125">
        <f t="shared" si="14"/>
        <v>44410</v>
      </c>
      <c r="I60" s="82">
        <f t="shared" si="0"/>
        <v>1.894040596701671E-2</v>
      </c>
      <c r="J60" s="126">
        <f t="shared" si="7"/>
        <v>172733.17383224776</v>
      </c>
      <c r="K60" s="139">
        <f t="shared" si="1"/>
        <v>0</v>
      </c>
      <c r="L60" s="83">
        <f t="shared" si="2"/>
        <v>172733.17383224776</v>
      </c>
      <c r="M60" s="80">
        <f t="shared" si="8"/>
        <v>31</v>
      </c>
      <c r="N60" s="84">
        <f t="shared" si="17"/>
        <v>0</v>
      </c>
      <c r="O60" s="140">
        <f t="shared" si="4"/>
        <v>0</v>
      </c>
      <c r="P60" s="149">
        <v>0</v>
      </c>
      <c r="Q60" s="163">
        <f t="shared" si="9"/>
        <v>31</v>
      </c>
      <c r="R60" s="150">
        <f t="shared" si="5"/>
        <v>0</v>
      </c>
      <c r="S60"/>
    </row>
    <row r="61" spans="1:19" x14ac:dyDescent="0.25">
      <c r="A61" s="80" t="str">
        <f t="shared" si="15"/>
        <v>Tues</v>
      </c>
      <c r="B61" s="147">
        <f>IF(SUMIFS(CashFlow!$C$16:$C$40,CashFlow!$D$16:$D$40,CashFlowCalcs!$E61)&gt;0,SUMIFS(CashFlow!$C$16:$C$40,CashFlow!$D$16:$D$40,CashFlowCalcs!$E61),B60)</f>
        <v>0</v>
      </c>
      <c r="C61" s="147" t="str">
        <f t="shared" si="6"/>
        <v>N</v>
      </c>
      <c r="D61" s="80">
        <f t="shared" si="10"/>
        <v>32</v>
      </c>
      <c r="E61" s="81">
        <f t="shared" si="18"/>
        <v>44411</v>
      </c>
      <c r="F61" s="80">
        <f t="shared" si="12"/>
        <v>-2.8106508875739644</v>
      </c>
      <c r="G61" s="119">
        <f t="shared" si="13"/>
        <v>7.6824425723348525E-3</v>
      </c>
      <c r="H61" s="125">
        <f t="shared" si="14"/>
        <v>44411</v>
      </c>
      <c r="I61" s="82">
        <f t="shared" si="0"/>
        <v>1.9258376301399347E-2</v>
      </c>
      <c r="J61" s="126">
        <f t="shared" si="7"/>
        <v>175633.00740171084</v>
      </c>
      <c r="K61" s="139">
        <f t="shared" si="1"/>
        <v>0</v>
      </c>
      <c r="L61" s="83">
        <f t="shared" si="2"/>
        <v>175633.00740171084</v>
      </c>
      <c r="M61" s="80">
        <f t="shared" si="8"/>
        <v>32</v>
      </c>
      <c r="N61" s="84">
        <f t="shared" si="17"/>
        <v>0</v>
      </c>
      <c r="O61" s="140">
        <f t="shared" si="4"/>
        <v>0</v>
      </c>
      <c r="P61" s="149">
        <v>0</v>
      </c>
      <c r="Q61" s="163">
        <f t="shared" si="9"/>
        <v>32</v>
      </c>
      <c r="R61" s="150">
        <f t="shared" si="5"/>
        <v>0</v>
      </c>
      <c r="S61"/>
    </row>
    <row r="62" spans="1:19" x14ac:dyDescent="0.25">
      <c r="A62" s="80" t="str">
        <f t="shared" si="15"/>
        <v>Wed</v>
      </c>
      <c r="B62" s="147">
        <f>IF(SUMIFS(CashFlow!$C$16:$C$40,CashFlow!$D$16:$D$40,CashFlowCalcs!$E62)&gt;0,SUMIFS(CashFlow!$C$16:$C$40,CashFlow!$D$16:$D$40,CashFlowCalcs!$E62),B61)</f>
        <v>0</v>
      </c>
      <c r="C62" s="147" t="str">
        <f t="shared" si="6"/>
        <v>N</v>
      </c>
      <c r="D62" s="80">
        <f t="shared" si="10"/>
        <v>33</v>
      </c>
      <c r="E62" s="81">
        <f t="shared" si="18"/>
        <v>44412</v>
      </c>
      <c r="F62" s="80">
        <f t="shared" si="12"/>
        <v>-2.804733727810651</v>
      </c>
      <c r="G62" s="119">
        <f t="shared" si="13"/>
        <v>7.8111414365415058E-3</v>
      </c>
      <c r="H62" s="125">
        <f t="shared" si="14"/>
        <v>44412</v>
      </c>
      <c r="I62" s="82">
        <f t="shared" si="0"/>
        <v>1.9580999104383889E-2</v>
      </c>
      <c r="J62" s="126">
        <f t="shared" si="7"/>
        <v>178575.27066719846</v>
      </c>
      <c r="K62" s="139">
        <f t="shared" si="1"/>
        <v>0</v>
      </c>
      <c r="L62" s="83">
        <f t="shared" si="2"/>
        <v>178575.27066719846</v>
      </c>
      <c r="M62" s="80">
        <f t="shared" si="8"/>
        <v>33</v>
      </c>
      <c r="N62" s="84">
        <f t="shared" si="17"/>
        <v>0</v>
      </c>
      <c r="O62" s="140">
        <f t="shared" si="4"/>
        <v>0</v>
      </c>
      <c r="P62" s="149">
        <v>0</v>
      </c>
      <c r="Q62" s="163">
        <f t="shared" si="9"/>
        <v>33</v>
      </c>
      <c r="R62" s="150">
        <f t="shared" si="5"/>
        <v>0</v>
      </c>
      <c r="S62"/>
    </row>
    <row r="63" spans="1:19" s="71" customFormat="1" x14ac:dyDescent="0.25">
      <c r="A63" s="80" t="str">
        <f t="shared" si="15"/>
        <v>Thu</v>
      </c>
      <c r="B63" s="147">
        <f>IF(SUMIFS(CashFlow!$C$16:$C$40,CashFlow!$D$16:$D$40,CashFlowCalcs!$E63)&gt;0,SUMIFS(CashFlow!$C$16:$C$40,CashFlow!$D$16:$D$40,CashFlowCalcs!$E63),B62)</f>
        <v>0</v>
      </c>
      <c r="C63" s="147" t="str">
        <f t="shared" si="6"/>
        <v>N</v>
      </c>
      <c r="D63" s="80">
        <f t="shared" si="10"/>
        <v>34</v>
      </c>
      <c r="E63" s="95">
        <f t="shared" si="18"/>
        <v>44413</v>
      </c>
      <c r="F63" s="80">
        <f t="shared" si="12"/>
        <v>-2.7988165680473371</v>
      </c>
      <c r="G63" s="120">
        <f t="shared" si="13"/>
        <v>7.9417182409479963E-3</v>
      </c>
      <c r="H63" s="127">
        <f t="shared" si="14"/>
        <v>44413</v>
      </c>
      <c r="I63" s="96">
        <f t="shared" si="0"/>
        <v>1.9908329535014122E-2</v>
      </c>
      <c r="J63" s="128">
        <f t="shared" si="7"/>
        <v>181560.46666949629</v>
      </c>
      <c r="K63" s="141">
        <f t="shared" si="1"/>
        <v>0</v>
      </c>
      <c r="L63" s="83">
        <f t="shared" si="2"/>
        <v>181560.46666949629</v>
      </c>
      <c r="M63" s="80">
        <f t="shared" si="8"/>
        <v>34</v>
      </c>
      <c r="N63" s="97">
        <f t="shared" si="17"/>
        <v>0</v>
      </c>
      <c r="O63" s="142">
        <f t="shared" si="4"/>
        <v>0</v>
      </c>
      <c r="P63" s="149">
        <v>0</v>
      </c>
      <c r="Q63" s="163">
        <f t="shared" si="9"/>
        <v>34</v>
      </c>
      <c r="R63" s="150">
        <f t="shared" si="5"/>
        <v>0</v>
      </c>
    </row>
    <row r="64" spans="1:19" x14ac:dyDescent="0.25">
      <c r="A64" s="80" t="str">
        <f t="shared" si="15"/>
        <v>Fri</v>
      </c>
      <c r="B64" s="147">
        <f>IF(SUMIFS(CashFlow!$C$16:$C$40,CashFlow!$D$16:$D$40,CashFlowCalcs!$E64)&gt;0,SUMIFS(CashFlow!$C$16:$C$40,CashFlow!$D$16:$D$40,CashFlowCalcs!$E64),B63)</f>
        <v>0</v>
      </c>
      <c r="C64" s="147" t="str">
        <f t="shared" si="6"/>
        <v>N</v>
      </c>
      <c r="D64" s="80">
        <f t="shared" si="10"/>
        <v>35</v>
      </c>
      <c r="E64" s="81">
        <f t="shared" si="18"/>
        <v>44414</v>
      </c>
      <c r="F64" s="80">
        <f t="shared" si="12"/>
        <v>-2.7928994082840237</v>
      </c>
      <c r="G64" s="119">
        <f t="shared" si="13"/>
        <v>8.0741951586096056E-3</v>
      </c>
      <c r="H64" s="125">
        <f t="shared" si="14"/>
        <v>44414</v>
      </c>
      <c r="I64" s="82">
        <f t="shared" si="0"/>
        <v>2.0240423176789486E-2</v>
      </c>
      <c r="J64" s="126">
        <f t="shared" si="7"/>
        <v>184589.10232035103</v>
      </c>
      <c r="K64" s="139">
        <f t="shared" si="1"/>
        <v>0</v>
      </c>
      <c r="L64" s="83">
        <f t="shared" si="2"/>
        <v>184589.10232035103</v>
      </c>
      <c r="M64" s="80">
        <f t="shared" si="8"/>
        <v>35</v>
      </c>
      <c r="N64" s="84">
        <f t="shared" si="17"/>
        <v>0</v>
      </c>
      <c r="O64" s="140">
        <f t="shared" si="4"/>
        <v>0</v>
      </c>
      <c r="P64" s="149">
        <v>0</v>
      </c>
      <c r="Q64" s="163">
        <f t="shared" si="9"/>
        <v>35</v>
      </c>
      <c r="R64" s="150">
        <f t="shared" si="5"/>
        <v>0</v>
      </c>
      <c r="S64"/>
    </row>
    <row r="65" spans="1:19" x14ac:dyDescent="0.25">
      <c r="A65" s="80" t="str">
        <f t="shared" si="15"/>
        <v>Sat</v>
      </c>
      <c r="B65" s="147">
        <f>IF(SUMIFS(CashFlow!$C$16:$C$40,CashFlow!$D$16:$D$40,CashFlowCalcs!$E65)&gt;0,SUMIFS(CashFlow!$C$16:$C$40,CashFlow!$D$16:$D$40,CashFlowCalcs!$E65),B64)</f>
        <v>0</v>
      </c>
      <c r="C65" s="147" t="str">
        <f t="shared" si="6"/>
        <v>Y</v>
      </c>
      <c r="D65" s="80">
        <f t="shared" si="10"/>
        <v>35</v>
      </c>
      <c r="E65" s="81">
        <f t="shared" si="18"/>
        <v>44415</v>
      </c>
      <c r="F65" s="80">
        <f t="shared" si="12"/>
        <v>-2.7928994082840237</v>
      </c>
      <c r="G65" s="119">
        <f t="shared" si="13"/>
        <v>8.0741951586096056E-3</v>
      </c>
      <c r="H65" s="125">
        <f t="shared" si="14"/>
        <v>44415</v>
      </c>
      <c r="I65" s="82">
        <f t="shared" si="0"/>
        <v>2.0240423176789486E-2</v>
      </c>
      <c r="J65" s="126">
        <f t="shared" si="7"/>
        <v>184589.10232035103</v>
      </c>
      <c r="K65" s="139">
        <f t="shared" si="1"/>
        <v>0</v>
      </c>
      <c r="L65" s="83">
        <f t="shared" si="2"/>
        <v>184589.10232035103</v>
      </c>
      <c r="M65" s="80">
        <f t="shared" si="8"/>
        <v>35</v>
      </c>
      <c r="N65" s="84">
        <f t="shared" si="17"/>
        <v>0</v>
      </c>
      <c r="O65" s="140">
        <f t="shared" si="4"/>
        <v>0</v>
      </c>
      <c r="P65" s="149">
        <v>0</v>
      </c>
      <c r="Q65" s="163">
        <f t="shared" si="9"/>
        <v>35</v>
      </c>
      <c r="R65" s="150">
        <f t="shared" si="5"/>
        <v>0</v>
      </c>
      <c r="S65"/>
    </row>
    <row r="66" spans="1:19" x14ac:dyDescent="0.25">
      <c r="A66" s="80" t="str">
        <f t="shared" si="15"/>
        <v>Sun</v>
      </c>
      <c r="B66" s="147">
        <f>IF(SUMIFS(CashFlow!$C$16:$C$40,CashFlow!$D$16:$D$40,CashFlowCalcs!$E66)&gt;0,SUMIFS(CashFlow!$C$16:$C$40,CashFlow!$D$16:$D$40,CashFlowCalcs!$E66),B65)</f>
        <v>0</v>
      </c>
      <c r="C66" s="147" t="str">
        <f t="shared" si="6"/>
        <v>Y</v>
      </c>
      <c r="D66" s="80">
        <f t="shared" si="10"/>
        <v>35</v>
      </c>
      <c r="E66" s="81">
        <f t="shared" si="18"/>
        <v>44416</v>
      </c>
      <c r="F66" s="80">
        <f t="shared" si="12"/>
        <v>-2.7928994082840237</v>
      </c>
      <c r="G66" s="119">
        <f t="shared" si="13"/>
        <v>8.0741951586096056E-3</v>
      </c>
      <c r="H66" s="125">
        <f t="shared" si="14"/>
        <v>44416</v>
      </c>
      <c r="I66" s="82">
        <f t="shared" si="0"/>
        <v>2.0240423176789486E-2</v>
      </c>
      <c r="J66" s="126">
        <f t="shared" si="7"/>
        <v>184589.10232035103</v>
      </c>
      <c r="K66" s="139">
        <f t="shared" si="1"/>
        <v>0</v>
      </c>
      <c r="L66" s="83">
        <f t="shared" si="2"/>
        <v>184589.10232035103</v>
      </c>
      <c r="M66" s="80">
        <f t="shared" si="8"/>
        <v>35</v>
      </c>
      <c r="N66" s="84">
        <f t="shared" si="17"/>
        <v>0</v>
      </c>
      <c r="O66" s="140">
        <f t="shared" si="4"/>
        <v>0</v>
      </c>
      <c r="P66" s="149">
        <v>0</v>
      </c>
      <c r="Q66" s="163">
        <f t="shared" si="9"/>
        <v>35</v>
      </c>
      <c r="R66" s="150">
        <f t="shared" si="5"/>
        <v>0</v>
      </c>
      <c r="S66"/>
    </row>
    <row r="67" spans="1:19" x14ac:dyDescent="0.25">
      <c r="A67" s="80" t="str">
        <f t="shared" si="15"/>
        <v>Mon</v>
      </c>
      <c r="B67" s="147">
        <f>IF(SUMIFS(CashFlow!$C$16:$C$40,CashFlow!$D$16:$D$40,CashFlowCalcs!$E67)&gt;0,SUMIFS(CashFlow!$C$16:$C$40,CashFlow!$D$16:$D$40,CashFlowCalcs!$E67),B66)</f>
        <v>0</v>
      </c>
      <c r="C67" s="147" t="str">
        <f t="shared" si="6"/>
        <v>N</v>
      </c>
      <c r="D67" s="80">
        <f t="shared" si="10"/>
        <v>36</v>
      </c>
      <c r="E67" s="81">
        <f t="shared" si="18"/>
        <v>44417</v>
      </c>
      <c r="F67" s="80">
        <f t="shared" si="12"/>
        <v>-2.7869822485207099</v>
      </c>
      <c r="G67" s="119">
        <f t="shared" si="13"/>
        <v>8.2085945316024388E-3</v>
      </c>
      <c r="H67" s="125">
        <f t="shared" si="14"/>
        <v>44417</v>
      </c>
      <c r="I67" s="82">
        <f t="shared" si="0"/>
        <v>2.0577336036911455E-2</v>
      </c>
      <c r="J67" s="126">
        <f t="shared" si="7"/>
        <v>187661.68839559733</v>
      </c>
      <c r="K67" s="139">
        <f t="shared" si="1"/>
        <v>0</v>
      </c>
      <c r="L67" s="83">
        <f t="shared" si="2"/>
        <v>187661.68839559733</v>
      </c>
      <c r="M67" s="80">
        <f t="shared" si="8"/>
        <v>36</v>
      </c>
      <c r="N67" s="84">
        <f t="shared" si="17"/>
        <v>0</v>
      </c>
      <c r="O67" s="140">
        <f t="shared" si="4"/>
        <v>0</v>
      </c>
      <c r="P67" s="149">
        <v>0</v>
      </c>
      <c r="Q67" s="163">
        <f t="shared" si="9"/>
        <v>36</v>
      </c>
      <c r="R67" s="150">
        <f t="shared" si="5"/>
        <v>0</v>
      </c>
      <c r="S67"/>
    </row>
    <row r="68" spans="1:19" x14ac:dyDescent="0.25">
      <c r="A68" s="80" t="str">
        <f t="shared" si="15"/>
        <v>Tues</v>
      </c>
      <c r="B68" s="147">
        <f>IF(SUMIFS(CashFlow!$C$16:$C$40,CashFlow!$D$16:$D$40,CashFlowCalcs!$E68)&gt;0,SUMIFS(CashFlow!$C$16:$C$40,CashFlow!$D$16:$D$40,CashFlowCalcs!$E68),B67)</f>
        <v>0</v>
      </c>
      <c r="C68" s="147" t="str">
        <f t="shared" si="6"/>
        <v>N</v>
      </c>
      <c r="D68" s="80">
        <f t="shared" si="10"/>
        <v>37</v>
      </c>
      <c r="E68" s="81">
        <f t="shared" ref="E68:E83" si="19">E67+1</f>
        <v>44418</v>
      </c>
      <c r="F68" s="80">
        <f t="shared" si="12"/>
        <v>-2.7810650887573964</v>
      </c>
      <c r="G68" s="119">
        <f t="shared" si="13"/>
        <v>8.344938870687801E-3</v>
      </c>
      <c r="H68" s="125">
        <f t="shared" si="14"/>
        <v>44418</v>
      </c>
      <c r="I68" s="82">
        <f t="shared" si="0"/>
        <v>2.091912454544221E-2</v>
      </c>
      <c r="J68" s="126">
        <f t="shared" si="7"/>
        <v>190778.73952748533</v>
      </c>
      <c r="K68" s="139">
        <f t="shared" si="1"/>
        <v>0</v>
      </c>
      <c r="L68" s="83">
        <f t="shared" si="2"/>
        <v>190778.73952748533</v>
      </c>
      <c r="M68" s="80">
        <f t="shared" si="8"/>
        <v>37</v>
      </c>
      <c r="N68" s="84">
        <f t="shared" si="17"/>
        <v>0</v>
      </c>
      <c r="O68" s="140">
        <f t="shared" si="4"/>
        <v>0</v>
      </c>
      <c r="P68" s="149">
        <v>0</v>
      </c>
      <c r="Q68" s="163">
        <f t="shared" si="9"/>
        <v>37</v>
      </c>
      <c r="R68" s="150">
        <f t="shared" si="5"/>
        <v>0</v>
      </c>
      <c r="S68"/>
    </row>
    <row r="69" spans="1:19" x14ac:dyDescent="0.25">
      <c r="A69" s="80" t="str">
        <f t="shared" si="15"/>
        <v>Wed</v>
      </c>
      <c r="B69" s="147">
        <f>IF(SUMIFS(CashFlow!$C$16:$C$40,CashFlow!$D$16:$D$40,CashFlowCalcs!$E69)&gt;0,SUMIFS(CashFlow!$C$16:$C$40,CashFlow!$D$16:$D$40,CashFlowCalcs!$E69),B68)</f>
        <v>0</v>
      </c>
      <c r="C69" s="147" t="str">
        <f t="shared" si="6"/>
        <v>N</v>
      </c>
      <c r="D69" s="80">
        <f t="shared" si="10"/>
        <v>38</v>
      </c>
      <c r="E69" s="81">
        <f t="shared" si="19"/>
        <v>44419</v>
      </c>
      <c r="F69" s="80">
        <f t="shared" si="12"/>
        <v>-2.775147928994083</v>
      </c>
      <c r="G69" s="119">
        <f t="shared" si="13"/>
        <v>8.483250854941362E-3</v>
      </c>
      <c r="H69" s="125">
        <f t="shared" si="14"/>
        <v>44419</v>
      </c>
      <c r="I69" s="82">
        <f t="shared" si="0"/>
        <v>2.1265845554375017E-2</v>
      </c>
      <c r="J69" s="126">
        <f t="shared" si="7"/>
        <v>193940.77419620243</v>
      </c>
      <c r="K69" s="139">
        <f t="shared" si="1"/>
        <v>0</v>
      </c>
      <c r="L69" s="83">
        <f t="shared" si="2"/>
        <v>193940.77419620243</v>
      </c>
      <c r="M69" s="80">
        <f t="shared" si="8"/>
        <v>38</v>
      </c>
      <c r="N69" s="84">
        <f t="shared" si="17"/>
        <v>0</v>
      </c>
      <c r="O69" s="140">
        <f t="shared" si="4"/>
        <v>0</v>
      </c>
      <c r="P69" s="149">
        <v>0</v>
      </c>
      <c r="Q69" s="163">
        <f t="shared" si="9"/>
        <v>38</v>
      </c>
      <c r="R69" s="150">
        <f t="shared" si="5"/>
        <v>0</v>
      </c>
      <c r="S69"/>
    </row>
    <row r="70" spans="1:19" x14ac:dyDescent="0.25">
      <c r="A70" s="80" t="str">
        <f t="shared" si="15"/>
        <v>Thu</v>
      </c>
      <c r="B70" s="147">
        <f>IF(SUMIFS(CashFlow!$C$16:$C$40,CashFlow!$D$16:$D$40,CashFlowCalcs!$E70)&gt;0,SUMIFS(CashFlow!$C$16:$C$40,CashFlow!$D$16:$D$40,CashFlowCalcs!$E70),B69)</f>
        <v>0</v>
      </c>
      <c r="C70" s="147" t="str">
        <f t="shared" si="6"/>
        <v>N</v>
      </c>
      <c r="D70" s="80">
        <f t="shared" si="10"/>
        <v>39</v>
      </c>
      <c r="E70" s="81">
        <f t="shared" si="19"/>
        <v>44420</v>
      </c>
      <c r="F70" s="80">
        <f t="shared" si="12"/>
        <v>-2.7692307692307692</v>
      </c>
      <c r="G70" s="119">
        <f t="shared" si="13"/>
        <v>8.6235533313463088E-3</v>
      </c>
      <c r="H70" s="125">
        <f t="shared" si="14"/>
        <v>44420</v>
      </c>
      <c r="I70" s="82">
        <f t="shared" si="0"/>
        <v>2.1617556336614354E-2</v>
      </c>
      <c r="J70" s="126">
        <f t="shared" si="7"/>
        <v>197148.31472057232</v>
      </c>
      <c r="K70" s="139">
        <f t="shared" si="1"/>
        <v>0</v>
      </c>
      <c r="L70" s="83">
        <f t="shared" si="2"/>
        <v>197148.31472057232</v>
      </c>
      <c r="M70" s="80">
        <f t="shared" si="8"/>
        <v>39</v>
      </c>
      <c r="N70" s="84">
        <f t="shared" si="17"/>
        <v>0</v>
      </c>
      <c r="O70" s="140">
        <f t="shared" si="4"/>
        <v>0</v>
      </c>
      <c r="P70" s="149">
        <v>0</v>
      </c>
      <c r="Q70" s="163">
        <f t="shared" si="9"/>
        <v>39</v>
      </c>
      <c r="R70" s="150">
        <f t="shared" si="5"/>
        <v>0</v>
      </c>
      <c r="S70"/>
    </row>
    <row r="71" spans="1:19" x14ac:dyDescent="0.25">
      <c r="A71" s="80" t="str">
        <f t="shared" si="15"/>
        <v>Fri</v>
      </c>
      <c r="B71" s="147">
        <f>IF(SUMIFS(CashFlow!$C$16:$C$40,CashFlow!$D$16:$D$40,CashFlowCalcs!$E71)&gt;0,SUMIFS(CashFlow!$C$16:$C$40,CashFlow!$D$16:$D$40,CashFlowCalcs!$E71),B70)</f>
        <v>0</v>
      </c>
      <c r="C71" s="147" t="str">
        <f t="shared" si="6"/>
        <v>N</v>
      </c>
      <c r="D71" s="80">
        <f t="shared" si="10"/>
        <v>40</v>
      </c>
      <c r="E71" s="81">
        <f t="shared" si="19"/>
        <v>44421</v>
      </c>
      <c r="F71" s="80">
        <f t="shared" si="12"/>
        <v>-2.7633136094674557</v>
      </c>
      <c r="G71" s="119">
        <f t="shared" si="13"/>
        <v>8.7658693143501595E-3</v>
      </c>
      <c r="H71" s="125">
        <f t="shared" si="14"/>
        <v>44421</v>
      </c>
      <c r="I71" s="82">
        <f t="shared" si="0"/>
        <v>2.1974314584864912E-2</v>
      </c>
      <c r="J71" s="126">
        <f t="shared" si="7"/>
        <v>200401.88724792286</v>
      </c>
      <c r="K71" s="139">
        <f t="shared" si="1"/>
        <v>0</v>
      </c>
      <c r="L71" s="83">
        <f t="shared" si="2"/>
        <v>200401.88724792286</v>
      </c>
      <c r="M71" s="80">
        <f t="shared" si="8"/>
        <v>40</v>
      </c>
      <c r="N71" s="84">
        <f t="shared" si="17"/>
        <v>0</v>
      </c>
      <c r="O71" s="140">
        <f t="shared" si="4"/>
        <v>0</v>
      </c>
      <c r="P71" s="149">
        <v>0</v>
      </c>
      <c r="Q71" s="163">
        <f t="shared" si="9"/>
        <v>40</v>
      </c>
      <c r="R71" s="150">
        <f t="shared" si="5"/>
        <v>0</v>
      </c>
      <c r="S71"/>
    </row>
    <row r="72" spans="1:19" x14ac:dyDescent="0.25">
      <c r="A72" s="80" t="str">
        <f t="shared" si="15"/>
        <v>Sat</v>
      </c>
      <c r="B72" s="147">
        <f>IF(SUMIFS(CashFlow!$C$16:$C$40,CashFlow!$D$16:$D$40,CashFlowCalcs!$E72)&gt;0,SUMIFS(CashFlow!$C$16:$C$40,CashFlow!$D$16:$D$40,CashFlowCalcs!$E72),B71)</f>
        <v>0</v>
      </c>
      <c r="C72" s="147" t="str">
        <f t="shared" si="6"/>
        <v>Y</v>
      </c>
      <c r="D72" s="80">
        <f t="shared" si="10"/>
        <v>40</v>
      </c>
      <c r="E72" s="81">
        <f t="shared" si="19"/>
        <v>44422</v>
      </c>
      <c r="F72" s="80">
        <f t="shared" si="12"/>
        <v>-2.7633136094674557</v>
      </c>
      <c r="G72" s="119">
        <f t="shared" si="13"/>
        <v>8.7658693143501595E-3</v>
      </c>
      <c r="H72" s="125">
        <f t="shared" si="14"/>
        <v>44422</v>
      </c>
      <c r="I72" s="82">
        <f t="shared" si="0"/>
        <v>2.1974314584864912E-2</v>
      </c>
      <c r="J72" s="126">
        <f t="shared" si="7"/>
        <v>200401.88724792286</v>
      </c>
      <c r="K72" s="139">
        <f t="shared" si="1"/>
        <v>0</v>
      </c>
      <c r="L72" s="83">
        <f t="shared" si="2"/>
        <v>200401.88724792286</v>
      </c>
      <c r="M72" s="80">
        <f t="shared" si="8"/>
        <v>40</v>
      </c>
      <c r="N72" s="84">
        <f t="shared" si="17"/>
        <v>0</v>
      </c>
      <c r="O72" s="140">
        <f t="shared" si="4"/>
        <v>0</v>
      </c>
      <c r="P72" s="149">
        <v>0</v>
      </c>
      <c r="Q72" s="163">
        <f t="shared" si="9"/>
        <v>40</v>
      </c>
      <c r="R72" s="150">
        <f t="shared" si="5"/>
        <v>0</v>
      </c>
      <c r="S72"/>
    </row>
    <row r="73" spans="1:19" x14ac:dyDescent="0.25">
      <c r="A73" s="80" t="str">
        <f t="shared" si="15"/>
        <v>Sun</v>
      </c>
      <c r="B73" s="147">
        <f>IF(SUMIFS(CashFlow!$C$16:$C$40,CashFlow!$D$16:$D$40,CashFlowCalcs!$E73)&gt;0,SUMIFS(CashFlow!$C$16:$C$40,CashFlow!$D$16:$D$40,CashFlowCalcs!$E73),B72)</f>
        <v>0</v>
      </c>
      <c r="C73" s="147" t="str">
        <f t="shared" si="6"/>
        <v>Y</v>
      </c>
      <c r="D73" s="80">
        <f t="shared" si="10"/>
        <v>40</v>
      </c>
      <c r="E73" s="81">
        <f t="shared" si="19"/>
        <v>44423</v>
      </c>
      <c r="F73" s="80">
        <f t="shared" si="12"/>
        <v>-2.7633136094674557</v>
      </c>
      <c r="G73" s="119">
        <f t="shared" si="13"/>
        <v>8.7658693143501595E-3</v>
      </c>
      <c r="H73" s="125">
        <f t="shared" si="14"/>
        <v>44423</v>
      </c>
      <c r="I73" s="82">
        <f t="shared" si="0"/>
        <v>2.1974314584864912E-2</v>
      </c>
      <c r="J73" s="126">
        <f t="shared" si="7"/>
        <v>200401.88724792286</v>
      </c>
      <c r="K73" s="139">
        <f t="shared" si="1"/>
        <v>0</v>
      </c>
      <c r="L73" s="83">
        <f t="shared" si="2"/>
        <v>200401.88724792286</v>
      </c>
      <c r="M73" s="80">
        <f t="shared" si="8"/>
        <v>40</v>
      </c>
      <c r="N73" s="84">
        <f t="shared" si="17"/>
        <v>0</v>
      </c>
      <c r="O73" s="140">
        <f t="shared" si="4"/>
        <v>0</v>
      </c>
      <c r="P73" s="149">
        <v>0</v>
      </c>
      <c r="Q73" s="163">
        <f t="shared" si="9"/>
        <v>40</v>
      </c>
      <c r="R73" s="150">
        <f t="shared" si="5"/>
        <v>0</v>
      </c>
      <c r="S73"/>
    </row>
    <row r="74" spans="1:19" x14ac:dyDescent="0.25">
      <c r="A74" s="80" t="str">
        <f t="shared" si="15"/>
        <v>Mon</v>
      </c>
      <c r="B74" s="147">
        <f>IF(SUMIFS(CashFlow!$C$16:$C$40,CashFlow!$D$16:$D$40,CashFlowCalcs!$E74)&gt;0,SUMIFS(CashFlow!$C$16:$C$40,CashFlow!$D$16:$D$40,CashFlowCalcs!$E74),B73)</f>
        <v>0</v>
      </c>
      <c r="C74" s="147" t="str">
        <f t="shared" si="6"/>
        <v>N</v>
      </c>
      <c r="D74" s="80">
        <f t="shared" si="10"/>
        <v>41</v>
      </c>
      <c r="E74" s="81">
        <f t="shared" si="19"/>
        <v>44424</v>
      </c>
      <c r="F74" s="80">
        <f t="shared" si="12"/>
        <v>-2.7573964497041419</v>
      </c>
      <c r="G74" s="119">
        <f t="shared" si="13"/>
        <v>8.9102219853847558E-3</v>
      </c>
      <c r="H74" s="125">
        <f t="shared" si="14"/>
        <v>44424</v>
      </c>
      <c r="I74" s="82">
        <f t="shared" si="0"/>
        <v>2.2336178410428332E-2</v>
      </c>
      <c r="J74" s="126">
        <f t="shared" si="7"/>
        <v>203702.02174311253</v>
      </c>
      <c r="K74" s="139">
        <f t="shared" si="1"/>
        <v>0</v>
      </c>
      <c r="L74" s="83">
        <f t="shared" si="2"/>
        <v>203702.02174311253</v>
      </c>
      <c r="M74" s="80">
        <f t="shared" si="8"/>
        <v>41</v>
      </c>
      <c r="N74" s="84">
        <f t="shared" si="17"/>
        <v>0</v>
      </c>
      <c r="O74" s="140">
        <f t="shared" si="4"/>
        <v>0</v>
      </c>
      <c r="P74" s="149">
        <v>0</v>
      </c>
      <c r="Q74" s="163">
        <f t="shared" si="9"/>
        <v>41</v>
      </c>
      <c r="R74" s="150">
        <f t="shared" si="5"/>
        <v>0</v>
      </c>
      <c r="S74"/>
    </row>
    <row r="75" spans="1:19" x14ac:dyDescent="0.25">
      <c r="A75" s="80" t="str">
        <f t="shared" si="15"/>
        <v>Tues</v>
      </c>
      <c r="B75" s="147">
        <f>IF(SUMIFS(CashFlow!$C$16:$C$40,CashFlow!$D$16:$D$40,CashFlowCalcs!$E75)&gt;0,SUMIFS(CashFlow!$C$16:$C$40,CashFlow!$D$16:$D$40,CashFlowCalcs!$E75),B74)</f>
        <v>0</v>
      </c>
      <c r="C75" s="147" t="str">
        <f t="shared" si="6"/>
        <v>N</v>
      </c>
      <c r="D75" s="80">
        <f t="shared" si="10"/>
        <v>42</v>
      </c>
      <c r="E75" s="81">
        <f t="shared" si="19"/>
        <v>44425</v>
      </c>
      <c r="F75" s="80">
        <f t="shared" si="12"/>
        <v>-2.7514792899408285</v>
      </c>
      <c r="G75" s="119">
        <f t="shared" si="13"/>
        <v>9.056634692348688E-3</v>
      </c>
      <c r="H75" s="125">
        <f t="shared" si="14"/>
        <v>44425</v>
      </c>
      <c r="I75" s="82">
        <f t="shared" si="0"/>
        <v>2.2703206341905726E-2</v>
      </c>
      <c r="J75" s="126">
        <f t="shared" si="7"/>
        <v>207049.25197669768</v>
      </c>
      <c r="K75" s="139">
        <f t="shared" si="1"/>
        <v>0</v>
      </c>
      <c r="L75" s="83">
        <f>IF(AND(E75&gt;=$H$3,P75=0,E75&lt;=$I$1),J75+K75,0)</f>
        <v>207049.25197669768</v>
      </c>
      <c r="M75" s="80">
        <f t="shared" si="8"/>
        <v>42</v>
      </c>
      <c r="N75" s="84">
        <f t="shared" si="17"/>
        <v>0</v>
      </c>
      <c r="O75" s="140">
        <f t="shared" si="4"/>
        <v>0</v>
      </c>
      <c r="P75" s="149">
        <v>0</v>
      </c>
      <c r="Q75" s="163">
        <f t="shared" si="9"/>
        <v>42</v>
      </c>
      <c r="R75" s="150">
        <f t="shared" si="5"/>
        <v>0</v>
      </c>
      <c r="S75"/>
    </row>
    <row r="76" spans="1:19" x14ac:dyDescent="0.25">
      <c r="A76" s="80" t="str">
        <f t="shared" si="15"/>
        <v>Wed</v>
      </c>
      <c r="B76" s="147">
        <f>IF(SUMIFS(CashFlow!$C$16:$C$40,CashFlow!$D$16:$D$40,CashFlowCalcs!$E76)&gt;0,SUMIFS(CashFlow!$C$16:$C$40,CashFlow!$D$16:$D$40,CashFlowCalcs!$E76),B75)</f>
        <v>0</v>
      </c>
      <c r="C76" s="147" t="str">
        <f t="shared" si="6"/>
        <v>N</v>
      </c>
      <c r="D76" s="80">
        <f t="shared" si="10"/>
        <v>43</v>
      </c>
      <c r="E76" s="81">
        <f t="shared" si="19"/>
        <v>44426</v>
      </c>
      <c r="F76" s="80">
        <f t="shared" si="12"/>
        <v>-2.7455621301775146</v>
      </c>
      <c r="G76" s="119">
        <f t="shared" si="13"/>
        <v>9.2051309490520164E-3</v>
      </c>
      <c r="H76" s="125">
        <f t="shared" si="14"/>
        <v>44426</v>
      </c>
      <c r="I76" s="82">
        <f t="shared" si="0"/>
        <v>2.3075457323805709E-2</v>
      </c>
      <c r="J76" s="126">
        <f t="shared" si="7"/>
        <v>210444.11551223797</v>
      </c>
      <c r="K76" s="139">
        <f t="shared" si="1"/>
        <v>0</v>
      </c>
      <c r="L76" s="83">
        <f t="shared" ref="L76:L139" si="20">IF(AND(E76&gt;=$H$3,P76=0,E76&lt;=$I$1),J76+K76,0)</f>
        <v>210444.11551223797</v>
      </c>
      <c r="M76" s="80">
        <f t="shared" si="8"/>
        <v>43</v>
      </c>
      <c r="N76" s="84">
        <f t="shared" si="17"/>
        <v>0</v>
      </c>
      <c r="O76" s="140">
        <f t="shared" si="4"/>
        <v>0</v>
      </c>
      <c r="P76" s="149">
        <v>0</v>
      </c>
      <c r="Q76" s="163">
        <f t="shared" si="9"/>
        <v>43</v>
      </c>
      <c r="R76" s="150">
        <f t="shared" si="5"/>
        <v>0</v>
      </c>
      <c r="S76"/>
    </row>
    <row r="77" spans="1:19" x14ac:dyDescent="0.25">
      <c r="A77" s="80" t="str">
        <f t="shared" si="15"/>
        <v>Thu</v>
      </c>
      <c r="B77" s="147">
        <f>IF(SUMIFS(CashFlow!$C$16:$C$40,CashFlow!$D$16:$D$40,CashFlowCalcs!$E77)&gt;0,SUMIFS(CashFlow!$C$16:$C$40,CashFlow!$D$16:$D$40,CashFlowCalcs!$E77),B76)</f>
        <v>0</v>
      </c>
      <c r="C77" s="147" t="str">
        <f t="shared" si="6"/>
        <v>N</v>
      </c>
      <c r="D77" s="80">
        <f t="shared" si="10"/>
        <v>44</v>
      </c>
      <c r="E77" s="81">
        <f t="shared" si="19"/>
        <v>44427</v>
      </c>
      <c r="F77" s="80">
        <f t="shared" si="12"/>
        <v>-2.7396449704142012</v>
      </c>
      <c r="G77" s="119">
        <f t="shared" si="13"/>
        <v>9.355734434622346E-3</v>
      </c>
      <c r="H77" s="125">
        <f t="shared" si="14"/>
        <v>44427</v>
      </c>
      <c r="I77" s="82">
        <f t="shared" si="0"/>
        <v>2.3452990715055556E-2</v>
      </c>
      <c r="J77" s="126">
        <f t="shared" si="7"/>
        <v>213887.15369271839</v>
      </c>
      <c r="K77" s="139">
        <f t="shared" si="1"/>
        <v>0</v>
      </c>
      <c r="L77" s="83">
        <f t="shared" si="20"/>
        <v>213887.15369271839</v>
      </c>
      <c r="M77" s="80">
        <f t="shared" si="8"/>
        <v>44</v>
      </c>
      <c r="N77" s="84">
        <f t="shared" si="17"/>
        <v>0</v>
      </c>
      <c r="O77" s="140">
        <f t="shared" si="4"/>
        <v>0</v>
      </c>
      <c r="P77" s="149">
        <v>0</v>
      </c>
      <c r="Q77" s="163">
        <f t="shared" si="9"/>
        <v>44</v>
      </c>
      <c r="R77" s="150">
        <f t="shared" si="5"/>
        <v>0</v>
      </c>
      <c r="S77"/>
    </row>
    <row r="78" spans="1:19" x14ac:dyDescent="0.25">
      <c r="A78" s="80" t="str">
        <f t="shared" si="15"/>
        <v>Fri</v>
      </c>
      <c r="B78" s="147">
        <f>IF(SUMIFS(CashFlow!$C$16:$C$40,CashFlow!$D$16:$D$40,CashFlowCalcs!$E78)&gt;0,SUMIFS(CashFlow!$C$16:$C$40,CashFlow!$D$16:$D$40,CashFlowCalcs!$E78),B77)</f>
        <v>0</v>
      </c>
      <c r="C78" s="147" t="str">
        <f t="shared" si="6"/>
        <v>N</v>
      </c>
      <c r="D78" s="80">
        <f t="shared" si="10"/>
        <v>45</v>
      </c>
      <c r="E78" s="81">
        <f t="shared" si="19"/>
        <v>44428</v>
      </c>
      <c r="F78" s="80">
        <f t="shared" si="12"/>
        <v>-2.7337278106508878</v>
      </c>
      <c r="G78" s="119">
        <f t="shared" si="13"/>
        <v>9.5084689928722071E-3</v>
      </c>
      <c r="H78" s="125">
        <f t="shared" si="14"/>
        <v>44428</v>
      </c>
      <c r="I78" s="82">
        <f t="shared" si="0"/>
        <v>2.3835866287415332E-2</v>
      </c>
      <c r="J78" s="126">
        <f t="shared" si="7"/>
        <v>217378.91162608648</v>
      </c>
      <c r="K78" s="139">
        <f t="shared" si="1"/>
        <v>0</v>
      </c>
      <c r="L78" s="83">
        <f t="shared" si="20"/>
        <v>217378.91162608648</v>
      </c>
      <c r="M78" s="80">
        <f t="shared" si="8"/>
        <v>45</v>
      </c>
      <c r="N78" s="84">
        <f t="shared" si="17"/>
        <v>0</v>
      </c>
      <c r="O78" s="140">
        <f t="shared" si="4"/>
        <v>0</v>
      </c>
      <c r="P78" s="149">
        <v>0</v>
      </c>
      <c r="Q78" s="163">
        <f t="shared" si="9"/>
        <v>45</v>
      </c>
      <c r="R78" s="150">
        <f t="shared" si="5"/>
        <v>0</v>
      </c>
      <c r="S78"/>
    </row>
    <row r="79" spans="1:19" x14ac:dyDescent="0.25">
      <c r="A79" s="80" t="str">
        <f t="shared" si="15"/>
        <v>Sat</v>
      </c>
      <c r="B79" s="147">
        <f>IF(SUMIFS(CashFlow!$C$16:$C$40,CashFlow!$D$16:$D$40,CashFlowCalcs!$E79)&gt;0,SUMIFS(CashFlow!$C$16:$C$40,CashFlow!$D$16:$D$40,CashFlowCalcs!$E79),B78)</f>
        <v>0</v>
      </c>
      <c r="C79" s="147" t="str">
        <f t="shared" si="6"/>
        <v>Y</v>
      </c>
      <c r="D79" s="80">
        <f t="shared" si="10"/>
        <v>45</v>
      </c>
      <c r="E79" s="81">
        <f t="shared" si="19"/>
        <v>44429</v>
      </c>
      <c r="F79" s="80">
        <f t="shared" si="12"/>
        <v>-2.7337278106508878</v>
      </c>
      <c r="G79" s="119">
        <f t="shared" si="13"/>
        <v>9.5084689928722071E-3</v>
      </c>
      <c r="H79" s="125">
        <f t="shared" si="14"/>
        <v>44429</v>
      </c>
      <c r="I79" s="82">
        <f t="shared" si="0"/>
        <v>2.3835866287415332E-2</v>
      </c>
      <c r="J79" s="126">
        <f t="shared" si="7"/>
        <v>217378.91162608648</v>
      </c>
      <c r="K79" s="139">
        <f t="shared" si="1"/>
        <v>0</v>
      </c>
      <c r="L79" s="83">
        <f t="shared" si="20"/>
        <v>217378.91162608648</v>
      </c>
      <c r="M79" s="80">
        <f t="shared" si="8"/>
        <v>45</v>
      </c>
      <c r="N79" s="84">
        <f t="shared" si="17"/>
        <v>0</v>
      </c>
      <c r="O79" s="140">
        <f t="shared" si="4"/>
        <v>0</v>
      </c>
      <c r="P79" s="149">
        <v>0</v>
      </c>
      <c r="Q79" s="163">
        <f t="shared" si="9"/>
        <v>45</v>
      </c>
      <c r="R79" s="150">
        <f t="shared" si="5"/>
        <v>0</v>
      </c>
      <c r="S79"/>
    </row>
    <row r="80" spans="1:19" x14ac:dyDescent="0.25">
      <c r="A80" s="80" t="str">
        <f t="shared" si="15"/>
        <v>Sun</v>
      </c>
      <c r="B80" s="147">
        <f>IF(SUMIFS(CashFlow!$C$16:$C$40,CashFlow!$D$16:$D$40,CashFlowCalcs!$E80)&gt;0,SUMIFS(CashFlow!$C$16:$C$40,CashFlow!$D$16:$D$40,CashFlowCalcs!$E80),B79)</f>
        <v>0</v>
      </c>
      <c r="C80" s="147" t="str">
        <f t="shared" si="6"/>
        <v>Y</v>
      </c>
      <c r="D80" s="80">
        <f t="shared" si="10"/>
        <v>45</v>
      </c>
      <c r="E80" s="81">
        <f t="shared" si="19"/>
        <v>44430</v>
      </c>
      <c r="F80" s="80">
        <f t="shared" si="12"/>
        <v>-2.7337278106508878</v>
      </c>
      <c r="G80" s="119">
        <f t="shared" si="13"/>
        <v>9.5084689928722071E-3</v>
      </c>
      <c r="H80" s="125">
        <f t="shared" si="14"/>
        <v>44430</v>
      </c>
      <c r="I80" s="82">
        <f t="shared" si="0"/>
        <v>2.3835866287415332E-2</v>
      </c>
      <c r="J80" s="126">
        <f t="shared" si="7"/>
        <v>217378.91162608648</v>
      </c>
      <c r="K80" s="139">
        <f t="shared" si="1"/>
        <v>0</v>
      </c>
      <c r="L80" s="83">
        <f t="shared" si="20"/>
        <v>217378.91162608648</v>
      </c>
      <c r="M80" s="80">
        <f t="shared" si="8"/>
        <v>45</v>
      </c>
      <c r="N80" s="84">
        <f t="shared" si="17"/>
        <v>0</v>
      </c>
      <c r="O80" s="140">
        <f t="shared" si="4"/>
        <v>0</v>
      </c>
      <c r="P80" s="149">
        <v>0</v>
      </c>
      <c r="Q80" s="163">
        <f t="shared" si="9"/>
        <v>45</v>
      </c>
      <c r="R80" s="150">
        <f t="shared" si="5"/>
        <v>0</v>
      </c>
      <c r="S80"/>
    </row>
    <row r="81" spans="1:19" x14ac:dyDescent="0.25">
      <c r="A81" s="80" t="str">
        <f t="shared" si="15"/>
        <v>Mon</v>
      </c>
      <c r="B81" s="147">
        <f>IF(SUMIFS(CashFlow!$C$16:$C$40,CashFlow!$D$16:$D$40,CashFlowCalcs!$E81)&gt;0,SUMIFS(CashFlow!$C$16:$C$40,CashFlow!$D$16:$D$40,CashFlowCalcs!$E81),B80)</f>
        <v>2</v>
      </c>
      <c r="C81" s="147" t="str">
        <f t="shared" si="6"/>
        <v>N</v>
      </c>
      <c r="D81" s="80">
        <f t="shared" si="10"/>
        <v>46</v>
      </c>
      <c r="E81" s="81">
        <f t="shared" si="19"/>
        <v>44431</v>
      </c>
      <c r="F81" s="80">
        <f t="shared" si="12"/>
        <v>-2.7278106508875739</v>
      </c>
      <c r="G81" s="119">
        <f t="shared" si="13"/>
        <v>9.6633586316268293E-3</v>
      </c>
      <c r="H81" s="125">
        <f t="shared" si="14"/>
        <v>44431</v>
      </c>
      <c r="I81" s="82">
        <f t="shared" si="0"/>
        <v>2.4224144223792769E-2</v>
      </c>
      <c r="J81" s="126">
        <f t="shared" si="7"/>
        <v>220919.93816988415</v>
      </c>
      <c r="K81" s="139">
        <f t="shared" si="1"/>
        <v>0</v>
      </c>
      <c r="L81" s="83">
        <f t="shared" si="20"/>
        <v>220919.93816988415</v>
      </c>
      <c r="M81" s="80">
        <f t="shared" si="8"/>
        <v>46</v>
      </c>
      <c r="N81" s="84">
        <f t="shared" si="17"/>
        <v>0</v>
      </c>
      <c r="O81" s="140">
        <f t="shared" si="4"/>
        <v>0</v>
      </c>
      <c r="P81" s="149">
        <v>0</v>
      </c>
      <c r="Q81" s="163">
        <f t="shared" si="9"/>
        <v>46</v>
      </c>
      <c r="R81" s="150">
        <f t="shared" si="5"/>
        <v>0</v>
      </c>
      <c r="S81"/>
    </row>
    <row r="82" spans="1:19" x14ac:dyDescent="0.25">
      <c r="A82" s="80" t="str">
        <f t="shared" si="15"/>
        <v>Tues</v>
      </c>
      <c r="B82" s="147">
        <f>IF(SUMIFS(CashFlow!$C$16:$C$40,CashFlow!$D$16:$D$40,CashFlowCalcs!$E82)&gt;0,SUMIFS(CashFlow!$C$16:$C$40,CashFlow!$D$16:$D$40,CashFlowCalcs!$E82),B81)</f>
        <v>2</v>
      </c>
      <c r="C82" s="147" t="str">
        <f t="shared" si="6"/>
        <v>N</v>
      </c>
      <c r="D82" s="80">
        <f t="shared" si="10"/>
        <v>47</v>
      </c>
      <c r="E82" s="81">
        <f t="shared" si="19"/>
        <v>44432</v>
      </c>
      <c r="F82" s="80">
        <f t="shared" si="12"/>
        <v>-2.7218934911242605</v>
      </c>
      <c r="G82" s="119">
        <f t="shared" si="13"/>
        <v>9.8204275220120391E-3</v>
      </c>
      <c r="H82" s="125">
        <f t="shared" si="14"/>
        <v>44432</v>
      </c>
      <c r="I82" s="82">
        <f t="shared" ref="I82:I145" si="21">G82/VLOOKUP($J$5,$D$18:$G$750,4)</f>
        <v>2.4617885116458144E-2</v>
      </c>
      <c r="J82" s="126">
        <f t="shared" si="7"/>
        <v>224510.78591496791</v>
      </c>
      <c r="K82" s="139">
        <f t="shared" ref="K82:K145" si="22">N82*O82</f>
        <v>0</v>
      </c>
      <c r="L82" s="83">
        <f t="shared" si="20"/>
        <v>224510.78591496791</v>
      </c>
      <c r="M82" s="80">
        <f t="shared" si="8"/>
        <v>47</v>
      </c>
      <c r="N82" s="84">
        <f t="shared" si="17"/>
        <v>0</v>
      </c>
      <c r="O82" s="140">
        <f t="shared" ref="O82:O145" si="23">IF(E82&lt;$J$6,0,IF(E82&gt;=$I$1,0,($J$5-D82)/($J$5-VLOOKUP($J$6,$H$17:$M$750,6))))</f>
        <v>0</v>
      </c>
      <c r="P82" s="149">
        <v>0</v>
      </c>
      <c r="Q82" s="163">
        <f t="shared" si="9"/>
        <v>47</v>
      </c>
      <c r="R82" s="150">
        <f t="shared" ref="R82:R145" si="24">IF(OR(E82&lt;$J$6+1,E82&gt;$I$1),0,1)</f>
        <v>0</v>
      </c>
      <c r="S82"/>
    </row>
    <row r="83" spans="1:19" x14ac:dyDescent="0.25">
      <c r="A83" s="80" t="str">
        <f t="shared" si="15"/>
        <v>Wed</v>
      </c>
      <c r="B83" s="147">
        <f>IF(SUMIFS(CashFlow!$C$16:$C$40,CashFlow!$D$16:$D$40,CashFlowCalcs!$E83)&gt;0,SUMIFS(CashFlow!$C$16:$C$40,CashFlow!$D$16:$D$40,CashFlowCalcs!$E83),B82)</f>
        <v>2</v>
      </c>
      <c r="C83" s="147" t="str">
        <f t="shared" ref="C83:C146" si="25">IF(LEFT(A83,1)="S","Y","N")</f>
        <v>N</v>
      </c>
      <c r="D83" s="80">
        <f t="shared" si="10"/>
        <v>48</v>
      </c>
      <c r="E83" s="81">
        <f t="shared" si="19"/>
        <v>44433</v>
      </c>
      <c r="F83" s="80">
        <f t="shared" si="12"/>
        <v>-2.7159763313609466</v>
      </c>
      <c r="G83" s="119">
        <f t="shared" ref="G83:G146" si="26">NORMDIST(F83,0,1,0)</f>
        <v>9.9796999977018082E-3</v>
      </c>
      <c r="H83" s="125">
        <f t="shared" si="14"/>
        <v>44433</v>
      </c>
      <c r="I83" s="82">
        <f t="shared" si="21"/>
        <v>2.5017149965158057E-2</v>
      </c>
      <c r="J83" s="126">
        <f t="shared" ref="J83:J146" si="27">(I83*$G$8)+$G$7</f>
        <v>228152.01116830661</v>
      </c>
      <c r="K83" s="139">
        <f t="shared" si="22"/>
        <v>0</v>
      </c>
      <c r="L83" s="83">
        <f t="shared" si="20"/>
        <v>228152.01116830661</v>
      </c>
      <c r="M83" s="80">
        <f t="shared" ref="M83:M146" si="28">D83</f>
        <v>48</v>
      </c>
      <c r="N83" s="84">
        <f t="shared" si="17"/>
        <v>0</v>
      </c>
      <c r="O83" s="140">
        <f t="shared" si="23"/>
        <v>0</v>
      </c>
      <c r="P83" s="149">
        <v>0</v>
      </c>
      <c r="Q83" s="163">
        <f t="shared" ref="Q83:Q146" si="29">D83</f>
        <v>48</v>
      </c>
      <c r="R83" s="150">
        <f t="shared" si="24"/>
        <v>0</v>
      </c>
      <c r="S83"/>
    </row>
    <row r="84" spans="1:19" x14ac:dyDescent="0.25">
      <c r="A84" s="80" t="str">
        <f t="shared" si="15"/>
        <v>Thu</v>
      </c>
      <c r="B84" s="147">
        <f>IF(SUMIFS(CashFlow!$C$16:$C$40,CashFlow!$D$16:$D$40,CashFlowCalcs!$E84)&gt;0,SUMIFS(CashFlow!$C$16:$C$40,CashFlow!$D$16:$D$40,CashFlowCalcs!$E84),B83)</f>
        <v>2</v>
      </c>
      <c r="C84" s="147" t="str">
        <f t="shared" si="25"/>
        <v>N</v>
      </c>
      <c r="D84" s="80">
        <f t="shared" ref="D84:D147" si="30">IF($C84="N",$D83+1,$D83)</f>
        <v>49</v>
      </c>
      <c r="E84" s="81">
        <f t="shared" ref="E84:E99" si="31">E83+1</f>
        <v>44434</v>
      </c>
      <c r="F84" s="80">
        <f t="shared" ref="F84:F147" si="32">$F$18+((((D84)/($J$5+2)*3)))</f>
        <v>-2.7100591715976332</v>
      </c>
      <c r="G84" s="119">
        <f t="shared" si="26"/>
        <v>1.0141200554124709E-2</v>
      </c>
      <c r="H84" s="125">
        <f t="shared" ref="H84:H147" si="33">H83+1</f>
        <v>44434</v>
      </c>
      <c r="I84" s="82">
        <f t="shared" si="21"/>
        <v>2.5422000175126153E-2</v>
      </c>
      <c r="J84" s="126">
        <f t="shared" si="27"/>
        <v>231844.17393483972</v>
      </c>
      <c r="K84" s="139">
        <f t="shared" si="22"/>
        <v>0</v>
      </c>
      <c r="L84" s="83">
        <f t="shared" si="20"/>
        <v>231844.17393483972</v>
      </c>
      <c r="M84" s="80">
        <f t="shared" si="28"/>
        <v>49</v>
      </c>
      <c r="N84" s="84">
        <f t="shared" si="17"/>
        <v>0</v>
      </c>
      <c r="O84" s="140">
        <f t="shared" si="23"/>
        <v>0</v>
      </c>
      <c r="P84" s="149">
        <v>0</v>
      </c>
      <c r="Q84" s="163">
        <f t="shared" si="29"/>
        <v>49</v>
      </c>
      <c r="R84" s="150">
        <f t="shared" si="24"/>
        <v>0</v>
      </c>
      <c r="S84"/>
    </row>
    <row r="85" spans="1:19" x14ac:dyDescent="0.25">
      <c r="A85" s="80" t="str">
        <f t="shared" si="15"/>
        <v>Fri</v>
      </c>
      <c r="B85" s="147">
        <f>IF(SUMIFS(CashFlow!$C$16:$C$40,CashFlow!$D$16:$D$40,CashFlowCalcs!$E85)&gt;0,SUMIFS(CashFlow!$C$16:$C$40,CashFlow!$D$16:$D$40,CashFlowCalcs!$E85),B84)</f>
        <v>2</v>
      </c>
      <c r="C85" s="147" t="str">
        <f t="shared" si="25"/>
        <v>N</v>
      </c>
      <c r="D85" s="80">
        <f t="shared" si="30"/>
        <v>50</v>
      </c>
      <c r="E85" s="81">
        <f t="shared" si="31"/>
        <v>44435</v>
      </c>
      <c r="F85" s="80">
        <f t="shared" si="32"/>
        <v>-2.7041420118343193</v>
      </c>
      <c r="G85" s="119">
        <f t="shared" si="26"/>
        <v>1.0304953847629136E-2</v>
      </c>
      <c r="H85" s="125">
        <f t="shared" si="33"/>
        <v>44435</v>
      </c>
      <c r="I85" s="82">
        <f t="shared" si="21"/>
        <v>2.5832497554990497E-2</v>
      </c>
      <c r="J85" s="126">
        <f t="shared" si="27"/>
        <v>235587.83789839302</v>
      </c>
      <c r="K85" s="139">
        <f t="shared" si="22"/>
        <v>0</v>
      </c>
      <c r="L85" s="83">
        <f t="shared" si="20"/>
        <v>235587.83789839302</v>
      </c>
      <c r="M85" s="80">
        <f t="shared" si="28"/>
        <v>50</v>
      </c>
      <c r="N85" s="84">
        <f t="shared" si="17"/>
        <v>0</v>
      </c>
      <c r="O85" s="140">
        <f t="shared" si="23"/>
        <v>0</v>
      </c>
      <c r="P85" s="149">
        <v>0</v>
      </c>
      <c r="Q85" s="163">
        <f t="shared" si="29"/>
        <v>50</v>
      </c>
      <c r="R85" s="150">
        <f t="shared" si="24"/>
        <v>0</v>
      </c>
      <c r="S85"/>
    </row>
    <row r="86" spans="1:19" x14ac:dyDescent="0.25">
      <c r="A86" s="80" t="str">
        <f t="shared" si="15"/>
        <v>Sat</v>
      </c>
      <c r="B86" s="147">
        <f>IF(SUMIFS(CashFlow!$C$16:$C$40,CashFlow!$D$16:$D$40,CashFlowCalcs!$E86)&gt;0,SUMIFS(CashFlow!$C$16:$C$40,CashFlow!$D$16:$D$40,CashFlowCalcs!$E86),B85)</f>
        <v>2</v>
      </c>
      <c r="C86" s="147" t="str">
        <f t="shared" si="25"/>
        <v>Y</v>
      </c>
      <c r="D86" s="80">
        <f t="shared" si="30"/>
        <v>50</v>
      </c>
      <c r="E86" s="81">
        <f t="shared" si="31"/>
        <v>44436</v>
      </c>
      <c r="F86" s="80">
        <f t="shared" si="32"/>
        <v>-2.7041420118343193</v>
      </c>
      <c r="G86" s="119">
        <f t="shared" si="26"/>
        <v>1.0304953847629136E-2</v>
      </c>
      <c r="H86" s="125">
        <f t="shared" si="33"/>
        <v>44436</v>
      </c>
      <c r="I86" s="82">
        <f t="shared" si="21"/>
        <v>2.5832497554990497E-2</v>
      </c>
      <c r="J86" s="126">
        <f t="shared" si="27"/>
        <v>235587.83789839302</v>
      </c>
      <c r="K86" s="139">
        <f t="shared" si="22"/>
        <v>0</v>
      </c>
      <c r="L86" s="83">
        <f t="shared" si="20"/>
        <v>235587.83789839302</v>
      </c>
      <c r="M86" s="80">
        <f t="shared" si="28"/>
        <v>50</v>
      </c>
      <c r="N86" s="84">
        <f t="shared" si="17"/>
        <v>0</v>
      </c>
      <c r="O86" s="140">
        <f t="shared" si="23"/>
        <v>0</v>
      </c>
      <c r="P86" s="149">
        <v>0</v>
      </c>
      <c r="Q86" s="163">
        <f t="shared" si="29"/>
        <v>50</v>
      </c>
      <c r="R86" s="150">
        <f t="shared" si="24"/>
        <v>0</v>
      </c>
      <c r="S86"/>
    </row>
    <row r="87" spans="1:19" x14ac:dyDescent="0.25">
      <c r="A87" s="80" t="str">
        <f t="shared" si="15"/>
        <v>Sun</v>
      </c>
      <c r="B87" s="147">
        <f>IF(SUMIFS(CashFlow!$C$16:$C$40,CashFlow!$D$16:$D$40,CashFlowCalcs!$E87)&gt;0,SUMIFS(CashFlow!$C$16:$C$40,CashFlow!$D$16:$D$40,CashFlowCalcs!$E87),B86)</f>
        <v>2</v>
      </c>
      <c r="C87" s="147" t="str">
        <f t="shared" si="25"/>
        <v>Y</v>
      </c>
      <c r="D87" s="80">
        <f t="shared" si="30"/>
        <v>50</v>
      </c>
      <c r="E87" s="81">
        <f t="shared" si="31"/>
        <v>44437</v>
      </c>
      <c r="F87" s="80">
        <f t="shared" si="32"/>
        <v>-2.7041420118343193</v>
      </c>
      <c r="G87" s="119">
        <f t="shared" si="26"/>
        <v>1.0304953847629136E-2</v>
      </c>
      <c r="H87" s="125">
        <f t="shared" si="33"/>
        <v>44437</v>
      </c>
      <c r="I87" s="82">
        <f t="shared" si="21"/>
        <v>2.5832497554990497E-2</v>
      </c>
      <c r="J87" s="126">
        <f t="shared" si="27"/>
        <v>235587.83789839302</v>
      </c>
      <c r="K87" s="139">
        <f t="shared" si="22"/>
        <v>0</v>
      </c>
      <c r="L87" s="83">
        <f t="shared" si="20"/>
        <v>235587.83789839302</v>
      </c>
      <c r="M87" s="80">
        <f t="shared" si="28"/>
        <v>50</v>
      </c>
      <c r="N87" s="84">
        <f t="shared" si="17"/>
        <v>0</v>
      </c>
      <c r="O87" s="140">
        <f t="shared" si="23"/>
        <v>0</v>
      </c>
      <c r="P87" s="149">
        <v>0</v>
      </c>
      <c r="Q87" s="163">
        <f t="shared" si="29"/>
        <v>50</v>
      </c>
      <c r="R87" s="150">
        <f t="shared" si="24"/>
        <v>0</v>
      </c>
      <c r="S87"/>
    </row>
    <row r="88" spans="1:19" x14ac:dyDescent="0.25">
      <c r="A88" s="80" t="str">
        <f t="shared" si="15"/>
        <v>Mon</v>
      </c>
      <c r="B88" s="147">
        <f>IF(SUMIFS(CashFlow!$C$16:$C$40,CashFlow!$D$16:$D$40,CashFlowCalcs!$E88)&gt;0,SUMIFS(CashFlow!$C$16:$C$40,CashFlow!$D$16:$D$40,CashFlowCalcs!$E88),B87)</f>
        <v>2</v>
      </c>
      <c r="C88" s="147" t="str">
        <f t="shared" si="25"/>
        <v>N</v>
      </c>
      <c r="D88" s="80">
        <f t="shared" si="30"/>
        <v>51</v>
      </c>
      <c r="E88" s="81">
        <f t="shared" si="31"/>
        <v>44438</v>
      </c>
      <c r="F88" s="80">
        <f t="shared" si="32"/>
        <v>-2.6982248520710059</v>
      </c>
      <c r="G88" s="119">
        <f t="shared" si="26"/>
        <v>1.0470984694606384E-2</v>
      </c>
      <c r="H88" s="125">
        <f t="shared" si="33"/>
        <v>44438</v>
      </c>
      <c r="I88" s="82">
        <f t="shared" si="21"/>
        <v>2.6248704314575308E-2</v>
      </c>
      <c r="J88" s="126">
        <f t="shared" si="27"/>
        <v>239383.57040163057</v>
      </c>
      <c r="K88" s="139">
        <f t="shared" si="22"/>
        <v>0</v>
      </c>
      <c r="L88" s="83">
        <f t="shared" si="20"/>
        <v>239383.57040163057</v>
      </c>
      <c r="M88" s="80">
        <f t="shared" si="28"/>
        <v>51</v>
      </c>
      <c r="N88" s="84">
        <f t="shared" si="17"/>
        <v>0</v>
      </c>
      <c r="O88" s="140">
        <f t="shared" si="23"/>
        <v>0</v>
      </c>
      <c r="P88" s="149">
        <v>0</v>
      </c>
      <c r="Q88" s="163">
        <f t="shared" si="29"/>
        <v>51</v>
      </c>
      <c r="R88" s="150">
        <f t="shared" si="24"/>
        <v>0</v>
      </c>
      <c r="S88"/>
    </row>
    <row r="89" spans="1:19" x14ac:dyDescent="0.25">
      <c r="A89" s="80" t="str">
        <f t="shared" si="15"/>
        <v>Tues</v>
      </c>
      <c r="B89" s="147">
        <f>IF(SUMIFS(CashFlow!$C$16:$C$40,CashFlow!$D$16:$D$40,CashFlowCalcs!$E89)&gt;0,SUMIFS(CashFlow!$C$16:$C$40,CashFlow!$D$16:$D$40,CashFlowCalcs!$E89),B88)</f>
        <v>2</v>
      </c>
      <c r="C89" s="147" t="str">
        <f t="shared" si="25"/>
        <v>N</v>
      </c>
      <c r="D89" s="80">
        <f t="shared" si="30"/>
        <v>52</v>
      </c>
      <c r="E89" s="81">
        <f t="shared" si="31"/>
        <v>44439</v>
      </c>
      <c r="F89" s="80">
        <f t="shared" si="32"/>
        <v>-2.6923076923076925</v>
      </c>
      <c r="G89" s="119">
        <f t="shared" si="26"/>
        <v>1.0639318070571543E-2</v>
      </c>
      <c r="H89" s="125">
        <f t="shared" si="33"/>
        <v>44439</v>
      </c>
      <c r="I89" s="82">
        <f t="shared" si="21"/>
        <v>2.6670683062596946E-2</v>
      </c>
      <c r="J89" s="126">
        <f t="shared" si="27"/>
        <v>243231.94242504271</v>
      </c>
      <c r="K89" s="139">
        <f t="shared" si="22"/>
        <v>0</v>
      </c>
      <c r="L89" s="83">
        <f t="shared" si="20"/>
        <v>243231.94242504271</v>
      </c>
      <c r="M89" s="80">
        <f t="shared" si="28"/>
        <v>52</v>
      </c>
      <c r="N89" s="84">
        <f t="shared" si="17"/>
        <v>0</v>
      </c>
      <c r="O89" s="140">
        <f t="shared" si="23"/>
        <v>0</v>
      </c>
      <c r="P89" s="149">
        <v>0</v>
      </c>
      <c r="Q89" s="163">
        <f t="shared" si="29"/>
        <v>52</v>
      </c>
      <c r="R89" s="150">
        <f t="shared" si="24"/>
        <v>0</v>
      </c>
      <c r="S89"/>
    </row>
    <row r="90" spans="1:19" s="74" customFormat="1" x14ac:dyDescent="0.25">
      <c r="A90" s="80" t="str">
        <f t="shared" ref="A90:A153" si="34">A83</f>
        <v>Wed</v>
      </c>
      <c r="B90" s="147">
        <f>IF(SUMIFS(CashFlow!$C$16:$C$40,CashFlow!$D$16:$D$40,CashFlowCalcs!$E90)&gt;0,SUMIFS(CashFlow!$C$16:$C$40,CashFlow!$D$16:$D$40,CashFlowCalcs!$E90),B89)</f>
        <v>2</v>
      </c>
      <c r="C90" s="147" t="str">
        <f t="shared" si="25"/>
        <v>N</v>
      </c>
      <c r="D90" s="80">
        <f t="shared" si="30"/>
        <v>53</v>
      </c>
      <c r="E90" s="85">
        <f t="shared" si="31"/>
        <v>44440</v>
      </c>
      <c r="F90" s="80">
        <f t="shared" si="32"/>
        <v>-2.6863905325443787</v>
      </c>
      <c r="G90" s="121">
        <f t="shared" si="26"/>
        <v>1.0809979109201302E-2</v>
      </c>
      <c r="H90" s="129">
        <f t="shared" si="33"/>
        <v>44440</v>
      </c>
      <c r="I90" s="86">
        <f t="shared" si="21"/>
        <v>2.7098496804251852E-2</v>
      </c>
      <c r="J90" s="130">
        <f t="shared" si="27"/>
        <v>247133.5285649485</v>
      </c>
      <c r="K90" s="143">
        <f t="shared" si="22"/>
        <v>0</v>
      </c>
      <c r="L90" s="83">
        <f t="shared" si="20"/>
        <v>247133.5285649485</v>
      </c>
      <c r="M90" s="80">
        <f t="shared" si="28"/>
        <v>53</v>
      </c>
      <c r="N90" s="87">
        <f t="shared" si="17"/>
        <v>0</v>
      </c>
      <c r="O90" s="144">
        <f t="shared" si="23"/>
        <v>0</v>
      </c>
      <c r="P90" s="149">
        <v>0</v>
      </c>
      <c r="Q90" s="163">
        <f t="shared" si="29"/>
        <v>53</v>
      </c>
      <c r="R90" s="150">
        <f t="shared" si="24"/>
        <v>0</v>
      </c>
    </row>
    <row r="91" spans="1:19" s="71" customFormat="1" x14ac:dyDescent="0.25">
      <c r="A91" s="80" t="str">
        <f t="shared" si="34"/>
        <v>Thu</v>
      </c>
      <c r="B91" s="147">
        <f>IF(SUMIFS(CashFlow!$C$16:$C$40,CashFlow!$D$16:$D$40,CashFlowCalcs!$E91)&gt;0,SUMIFS(CashFlow!$C$16:$C$40,CashFlow!$D$16:$D$40,CashFlowCalcs!$E91),B90)</f>
        <v>2</v>
      </c>
      <c r="C91" s="147" t="str">
        <f t="shared" si="25"/>
        <v>N</v>
      </c>
      <c r="D91" s="80">
        <f t="shared" si="30"/>
        <v>54</v>
      </c>
      <c r="E91" s="95">
        <f t="shared" si="31"/>
        <v>44441</v>
      </c>
      <c r="F91" s="80">
        <f t="shared" si="32"/>
        <v>-2.6804733727810652</v>
      </c>
      <c r="G91" s="120">
        <f t="shared" si="26"/>
        <v>1.0982993101328418E-2</v>
      </c>
      <c r="H91" s="127">
        <f t="shared" si="33"/>
        <v>44441</v>
      </c>
      <c r="I91" s="96">
        <f t="shared" si="21"/>
        <v>2.7532208938695926E-2</v>
      </c>
      <c r="J91" s="128">
        <f t="shared" si="27"/>
        <v>251088.90701050794</v>
      </c>
      <c r="K91" s="141">
        <f t="shared" si="22"/>
        <v>0</v>
      </c>
      <c r="L91" s="83">
        <f t="shared" si="20"/>
        <v>251088.90701050794</v>
      </c>
      <c r="M91" s="80">
        <f t="shared" si="28"/>
        <v>54</v>
      </c>
      <c r="N91" s="97">
        <f t="shared" si="17"/>
        <v>0</v>
      </c>
      <c r="O91" s="142">
        <f t="shared" si="23"/>
        <v>0</v>
      </c>
      <c r="P91" s="149">
        <v>0</v>
      </c>
      <c r="Q91" s="163">
        <f t="shared" si="29"/>
        <v>54</v>
      </c>
      <c r="R91" s="150">
        <f t="shared" si="24"/>
        <v>0</v>
      </c>
    </row>
    <row r="92" spans="1:19" x14ac:dyDescent="0.25">
      <c r="A92" s="80" t="str">
        <f t="shared" si="34"/>
        <v>Fri</v>
      </c>
      <c r="B92" s="147">
        <f>IF(SUMIFS(CashFlow!$C$16:$C$40,CashFlow!$D$16:$D$40,CashFlowCalcs!$E92)&gt;0,SUMIFS(CashFlow!$C$16:$C$40,CashFlow!$D$16:$D$40,CashFlowCalcs!$E92),B91)</f>
        <v>2</v>
      </c>
      <c r="C92" s="147" t="str">
        <f t="shared" si="25"/>
        <v>N</v>
      </c>
      <c r="D92" s="80">
        <f t="shared" si="30"/>
        <v>55</v>
      </c>
      <c r="E92" s="81">
        <f t="shared" si="31"/>
        <v>44442</v>
      </c>
      <c r="F92" s="80">
        <f t="shared" si="32"/>
        <v>-2.6745562130177514</v>
      </c>
      <c r="G92" s="119">
        <f t="shared" si="26"/>
        <v>1.115838549389239E-2</v>
      </c>
      <c r="H92" s="125">
        <f t="shared" si="33"/>
        <v>44442</v>
      </c>
      <c r="I92" s="82">
        <f t="shared" si="21"/>
        <v>2.7971883256414014E-2</v>
      </c>
      <c r="J92" s="126">
        <f t="shared" si="27"/>
        <v>255098.65951973232</v>
      </c>
      <c r="K92" s="139">
        <f t="shared" si="22"/>
        <v>0</v>
      </c>
      <c r="L92" s="83">
        <f t="shared" si="20"/>
        <v>255098.65951973232</v>
      </c>
      <c r="M92" s="80">
        <f t="shared" si="28"/>
        <v>55</v>
      </c>
      <c r="N92" s="84">
        <f t="shared" si="17"/>
        <v>0</v>
      </c>
      <c r="O92" s="140">
        <f t="shared" si="23"/>
        <v>0</v>
      </c>
      <c r="P92" s="149">
        <v>0</v>
      </c>
      <c r="Q92" s="163">
        <f t="shared" si="29"/>
        <v>55</v>
      </c>
      <c r="R92" s="150">
        <f t="shared" si="24"/>
        <v>0</v>
      </c>
      <c r="S92"/>
    </row>
    <row r="93" spans="1:19" x14ac:dyDescent="0.25">
      <c r="A93" s="80" t="str">
        <f t="shared" si="34"/>
        <v>Sat</v>
      </c>
      <c r="B93" s="147">
        <f>IF(SUMIFS(CashFlow!$C$16:$C$40,CashFlow!$D$16:$D$40,CashFlowCalcs!$E93)&gt;0,SUMIFS(CashFlow!$C$16:$C$40,CashFlow!$D$16:$D$40,CashFlowCalcs!$E93),B92)</f>
        <v>2</v>
      </c>
      <c r="C93" s="147" t="str">
        <f t="shared" si="25"/>
        <v>Y</v>
      </c>
      <c r="D93" s="80">
        <f t="shared" si="30"/>
        <v>55</v>
      </c>
      <c r="E93" s="81">
        <f t="shared" si="31"/>
        <v>44443</v>
      </c>
      <c r="F93" s="80">
        <f t="shared" si="32"/>
        <v>-2.6745562130177514</v>
      </c>
      <c r="G93" s="119">
        <f t="shared" si="26"/>
        <v>1.115838549389239E-2</v>
      </c>
      <c r="H93" s="125">
        <f t="shared" si="33"/>
        <v>44443</v>
      </c>
      <c r="I93" s="82">
        <f t="shared" si="21"/>
        <v>2.7971883256414014E-2</v>
      </c>
      <c r="J93" s="126">
        <f t="shared" si="27"/>
        <v>255098.65951973232</v>
      </c>
      <c r="K93" s="139">
        <f t="shared" si="22"/>
        <v>0</v>
      </c>
      <c r="L93" s="83">
        <f t="shared" si="20"/>
        <v>255098.65951973232</v>
      </c>
      <c r="M93" s="80">
        <f t="shared" si="28"/>
        <v>55</v>
      </c>
      <c r="N93" s="84">
        <f t="shared" si="17"/>
        <v>0</v>
      </c>
      <c r="O93" s="140">
        <f t="shared" si="23"/>
        <v>0</v>
      </c>
      <c r="P93" s="149">
        <v>0</v>
      </c>
      <c r="Q93" s="163">
        <f t="shared" si="29"/>
        <v>55</v>
      </c>
      <c r="R93" s="150">
        <f t="shared" si="24"/>
        <v>0</v>
      </c>
      <c r="S93"/>
    </row>
    <row r="94" spans="1:19" x14ac:dyDescent="0.25">
      <c r="A94" s="80" t="str">
        <f t="shared" si="34"/>
        <v>Sun</v>
      </c>
      <c r="B94" s="147">
        <f>IF(SUMIFS(CashFlow!$C$16:$C$40,CashFlow!$D$16:$D$40,CashFlowCalcs!$E94)&gt;0,SUMIFS(CashFlow!$C$16:$C$40,CashFlow!$D$16:$D$40,CashFlowCalcs!$E94),B93)</f>
        <v>2</v>
      </c>
      <c r="C94" s="147" t="str">
        <f t="shared" si="25"/>
        <v>Y</v>
      </c>
      <c r="D94" s="80">
        <f t="shared" si="30"/>
        <v>55</v>
      </c>
      <c r="E94" s="81">
        <f t="shared" si="31"/>
        <v>44444</v>
      </c>
      <c r="F94" s="80">
        <f t="shared" si="32"/>
        <v>-2.6745562130177514</v>
      </c>
      <c r="G94" s="119">
        <f t="shared" si="26"/>
        <v>1.115838549389239E-2</v>
      </c>
      <c r="H94" s="125">
        <f t="shared" si="33"/>
        <v>44444</v>
      </c>
      <c r="I94" s="82">
        <f t="shared" si="21"/>
        <v>2.7971883256414014E-2</v>
      </c>
      <c r="J94" s="126">
        <f t="shared" si="27"/>
        <v>255098.65951973232</v>
      </c>
      <c r="K94" s="139">
        <f t="shared" si="22"/>
        <v>0</v>
      </c>
      <c r="L94" s="83">
        <f t="shared" si="20"/>
        <v>255098.65951973232</v>
      </c>
      <c r="M94" s="80">
        <f t="shared" si="28"/>
        <v>55</v>
      </c>
      <c r="N94" s="84">
        <f t="shared" si="17"/>
        <v>0</v>
      </c>
      <c r="O94" s="140">
        <f t="shared" si="23"/>
        <v>0</v>
      </c>
      <c r="P94" s="149">
        <v>0</v>
      </c>
      <c r="Q94" s="163">
        <f t="shared" si="29"/>
        <v>55</v>
      </c>
      <c r="R94" s="150">
        <f t="shared" si="24"/>
        <v>0</v>
      </c>
      <c r="S94"/>
    </row>
    <row r="95" spans="1:19" x14ac:dyDescent="0.25">
      <c r="A95" s="80" t="str">
        <f t="shared" si="34"/>
        <v>Mon</v>
      </c>
      <c r="B95" s="147">
        <f>IF(SUMIFS(CashFlow!$C$16:$C$40,CashFlow!$D$16:$D$40,CashFlowCalcs!$E95)&gt;0,SUMIFS(CashFlow!$C$16:$C$40,CashFlow!$D$16:$D$40,CashFlowCalcs!$E95),B94)</f>
        <v>2</v>
      </c>
      <c r="C95" s="147" t="str">
        <f t="shared" si="25"/>
        <v>N</v>
      </c>
      <c r="D95" s="80">
        <f t="shared" si="30"/>
        <v>56</v>
      </c>
      <c r="E95" s="81">
        <f t="shared" si="31"/>
        <v>44445</v>
      </c>
      <c r="F95" s="80">
        <f t="shared" si="32"/>
        <v>-2.668639053254438</v>
      </c>
      <c r="G95" s="119">
        <f t="shared" si="26"/>
        <v>1.1336181888845593E-2</v>
      </c>
      <c r="H95" s="125">
        <f t="shared" si="33"/>
        <v>44445</v>
      </c>
      <c r="I95" s="82">
        <f t="shared" si="21"/>
        <v>2.841758393647785E-2</v>
      </c>
      <c r="J95" s="126">
        <f t="shared" si="27"/>
        <v>259163.371394477</v>
      </c>
      <c r="K95" s="139">
        <f t="shared" si="22"/>
        <v>0</v>
      </c>
      <c r="L95" s="83">
        <f t="shared" si="20"/>
        <v>259163.371394477</v>
      </c>
      <c r="M95" s="80">
        <f t="shared" si="28"/>
        <v>56</v>
      </c>
      <c r="N95" s="84">
        <f t="shared" si="17"/>
        <v>0</v>
      </c>
      <c r="O95" s="140">
        <f t="shared" si="23"/>
        <v>0</v>
      </c>
      <c r="P95" s="149">
        <v>0</v>
      </c>
      <c r="Q95" s="163">
        <f t="shared" si="29"/>
        <v>56</v>
      </c>
      <c r="R95" s="150">
        <f t="shared" si="24"/>
        <v>0</v>
      </c>
      <c r="S95"/>
    </row>
    <row r="96" spans="1:19" x14ac:dyDescent="0.25">
      <c r="A96" s="80" t="str">
        <f t="shared" si="34"/>
        <v>Tues</v>
      </c>
      <c r="B96" s="147">
        <f>IF(SUMIFS(CashFlow!$C$16:$C$40,CashFlow!$D$16:$D$40,CashFlowCalcs!$E96)&gt;0,SUMIFS(CashFlow!$C$16:$C$40,CashFlow!$D$16:$D$40,CashFlowCalcs!$E96),B95)</f>
        <v>2</v>
      </c>
      <c r="C96" s="147" t="str">
        <f t="shared" si="25"/>
        <v>N</v>
      </c>
      <c r="D96" s="80">
        <f t="shared" si="30"/>
        <v>57</v>
      </c>
      <c r="E96" s="81">
        <f t="shared" si="31"/>
        <v>44446</v>
      </c>
      <c r="F96" s="80">
        <f t="shared" si="32"/>
        <v>-2.6627218934911241</v>
      </c>
      <c r="G96" s="119">
        <f t="shared" si="26"/>
        <v>1.1516408042014802E-2</v>
      </c>
      <c r="H96" s="125">
        <f t="shared" si="33"/>
        <v>44446</v>
      </c>
      <c r="I96" s="82">
        <f t="shared" si="21"/>
        <v>2.8869375543692087E-2</v>
      </c>
      <c r="J96" s="126">
        <f t="shared" si="27"/>
        <v>263283.63145441376</v>
      </c>
      <c r="K96" s="139">
        <f t="shared" si="22"/>
        <v>0</v>
      </c>
      <c r="L96" s="83">
        <f t="shared" si="20"/>
        <v>263283.63145441376</v>
      </c>
      <c r="M96" s="80">
        <f t="shared" si="28"/>
        <v>57</v>
      </c>
      <c r="N96" s="84">
        <f t="shared" si="17"/>
        <v>0</v>
      </c>
      <c r="O96" s="140">
        <f t="shared" si="23"/>
        <v>0</v>
      </c>
      <c r="P96" s="149">
        <v>0</v>
      </c>
      <c r="Q96" s="163">
        <f t="shared" si="29"/>
        <v>57</v>
      </c>
      <c r="R96" s="150">
        <f t="shared" si="24"/>
        <v>0</v>
      </c>
      <c r="S96"/>
    </row>
    <row r="97" spans="1:19" x14ac:dyDescent="0.25">
      <c r="A97" s="80" t="str">
        <f t="shared" si="34"/>
        <v>Wed</v>
      </c>
      <c r="B97" s="147">
        <f>IF(SUMIFS(CashFlow!$C$16:$C$40,CashFlow!$D$16:$D$40,CashFlowCalcs!$E97)&gt;0,SUMIFS(CashFlow!$C$16:$C$40,CashFlow!$D$16:$D$40,CashFlowCalcs!$E97),B96)</f>
        <v>2</v>
      </c>
      <c r="C97" s="147" t="str">
        <f t="shared" si="25"/>
        <v>N</v>
      </c>
      <c r="D97" s="80">
        <f t="shared" si="30"/>
        <v>58</v>
      </c>
      <c r="E97" s="81">
        <f t="shared" si="31"/>
        <v>44447</v>
      </c>
      <c r="F97" s="80">
        <f t="shared" si="32"/>
        <v>-2.6568047337278107</v>
      </c>
      <c r="G97" s="119">
        <f t="shared" si="26"/>
        <v>1.1699089861917143E-2</v>
      </c>
      <c r="H97" s="125">
        <f t="shared" si="33"/>
        <v>44447</v>
      </c>
      <c r="I97" s="82">
        <f t="shared" si="21"/>
        <v>2.9327323025626146E-2</v>
      </c>
      <c r="J97" s="126">
        <f t="shared" si="27"/>
        <v>267460.0320099619</v>
      </c>
      <c r="K97" s="139">
        <f t="shared" si="22"/>
        <v>0</v>
      </c>
      <c r="L97" s="83">
        <f t="shared" si="20"/>
        <v>267460.0320099619</v>
      </c>
      <c r="M97" s="80">
        <f t="shared" si="28"/>
        <v>58</v>
      </c>
      <c r="N97" s="84">
        <f t="shared" si="17"/>
        <v>0</v>
      </c>
      <c r="O97" s="140">
        <f t="shared" si="23"/>
        <v>0</v>
      </c>
      <c r="P97" s="149">
        <v>0</v>
      </c>
      <c r="Q97" s="163">
        <f t="shared" si="29"/>
        <v>58</v>
      </c>
      <c r="R97" s="150">
        <f t="shared" si="24"/>
        <v>0</v>
      </c>
      <c r="S97"/>
    </row>
    <row r="98" spans="1:19" x14ac:dyDescent="0.25">
      <c r="A98" s="80" t="str">
        <f t="shared" si="34"/>
        <v>Thu</v>
      </c>
      <c r="B98" s="147">
        <f>IF(SUMIFS(CashFlow!$C$16:$C$40,CashFlow!$D$16:$D$40,CashFlowCalcs!$E98)&gt;0,SUMIFS(CashFlow!$C$16:$C$40,CashFlow!$D$16:$D$40,CashFlowCalcs!$E98),B97)</f>
        <v>2</v>
      </c>
      <c r="C98" s="147" t="str">
        <f t="shared" si="25"/>
        <v>N</v>
      </c>
      <c r="D98" s="80">
        <f t="shared" si="30"/>
        <v>59</v>
      </c>
      <c r="E98" s="81">
        <f t="shared" si="31"/>
        <v>44448</v>
      </c>
      <c r="F98" s="80">
        <f t="shared" si="32"/>
        <v>-2.6508875739644973</v>
      </c>
      <c r="G98" s="119">
        <f t="shared" si="26"/>
        <v>1.188425340853053E-2</v>
      </c>
      <c r="H98" s="125">
        <f t="shared" si="33"/>
        <v>44448</v>
      </c>
      <c r="I98" s="82">
        <f t="shared" si="21"/>
        <v>2.9791491709531912E-2</v>
      </c>
      <c r="J98" s="126">
        <f t="shared" si="27"/>
        <v>271693.16883417801</v>
      </c>
      <c r="K98" s="139">
        <f t="shared" si="22"/>
        <v>0</v>
      </c>
      <c r="L98" s="83">
        <f t="shared" si="20"/>
        <v>271693.16883417801</v>
      </c>
      <c r="M98" s="80">
        <f t="shared" si="28"/>
        <v>59</v>
      </c>
      <c r="N98" s="84">
        <f t="shared" si="17"/>
        <v>0</v>
      </c>
      <c r="O98" s="140">
        <f t="shared" si="23"/>
        <v>0</v>
      </c>
      <c r="P98" s="149">
        <v>0</v>
      </c>
      <c r="Q98" s="163">
        <f t="shared" si="29"/>
        <v>59</v>
      </c>
      <c r="R98" s="150">
        <f t="shared" si="24"/>
        <v>0</v>
      </c>
      <c r="S98"/>
    </row>
    <row r="99" spans="1:19" x14ac:dyDescent="0.25">
      <c r="A99" s="80" t="str">
        <f t="shared" si="34"/>
        <v>Fri</v>
      </c>
      <c r="B99" s="147">
        <f>IF(SUMIFS(CashFlow!$C$16:$C$40,CashFlow!$D$16:$D$40,CashFlowCalcs!$E99)&gt;0,SUMIFS(CashFlow!$C$16:$C$40,CashFlow!$D$16:$D$40,CashFlowCalcs!$E99),B98)</f>
        <v>2</v>
      </c>
      <c r="C99" s="147" t="str">
        <f t="shared" si="25"/>
        <v>N</v>
      </c>
      <c r="D99" s="80">
        <f t="shared" si="30"/>
        <v>60</v>
      </c>
      <c r="E99" s="81">
        <f t="shared" si="31"/>
        <v>44449</v>
      </c>
      <c r="F99" s="80">
        <f t="shared" si="32"/>
        <v>-2.6449704142011834</v>
      </c>
      <c r="G99" s="119">
        <f t="shared" si="26"/>
        <v>1.2071924892017645E-2</v>
      </c>
      <c r="H99" s="125">
        <f t="shared" si="33"/>
        <v>44449</v>
      </c>
      <c r="I99" s="82">
        <f t="shared" si="21"/>
        <v>3.0261947299145033E-2</v>
      </c>
      <c r="J99" s="126">
        <f t="shared" si="27"/>
        <v>275983.64113358431</v>
      </c>
      <c r="K99" s="139">
        <f t="shared" si="22"/>
        <v>0</v>
      </c>
      <c r="L99" s="83">
        <f t="shared" si="20"/>
        <v>275983.64113358431</v>
      </c>
      <c r="M99" s="80">
        <f t="shared" si="28"/>
        <v>60</v>
      </c>
      <c r="N99" s="84">
        <f t="shared" si="17"/>
        <v>0</v>
      </c>
      <c r="O99" s="140">
        <f t="shared" si="23"/>
        <v>0</v>
      </c>
      <c r="P99" s="149">
        <v>0</v>
      </c>
      <c r="Q99" s="163">
        <f t="shared" si="29"/>
        <v>60</v>
      </c>
      <c r="R99" s="150">
        <f t="shared" si="24"/>
        <v>0</v>
      </c>
      <c r="S99"/>
    </row>
    <row r="100" spans="1:19" x14ac:dyDescent="0.25">
      <c r="A100" s="80" t="str">
        <f t="shared" si="34"/>
        <v>Sat</v>
      </c>
      <c r="B100" s="147">
        <f>IF(SUMIFS(CashFlow!$C$16:$C$40,CashFlow!$D$16:$D$40,CashFlowCalcs!$E100)&gt;0,SUMIFS(CashFlow!$C$16:$C$40,CashFlow!$D$16:$D$40,CashFlowCalcs!$E100),B99)</f>
        <v>2</v>
      </c>
      <c r="C100" s="147" t="str">
        <f t="shared" si="25"/>
        <v>Y</v>
      </c>
      <c r="D100" s="80">
        <f t="shared" si="30"/>
        <v>60</v>
      </c>
      <c r="E100" s="81">
        <f t="shared" ref="E100:E115" si="35">E99+1</f>
        <v>44450</v>
      </c>
      <c r="F100" s="80">
        <f t="shared" si="32"/>
        <v>-2.6449704142011834</v>
      </c>
      <c r="G100" s="119">
        <f t="shared" si="26"/>
        <v>1.2071924892017645E-2</v>
      </c>
      <c r="H100" s="125">
        <f t="shared" si="33"/>
        <v>44450</v>
      </c>
      <c r="I100" s="82">
        <f t="shared" si="21"/>
        <v>3.0261947299145033E-2</v>
      </c>
      <c r="J100" s="126">
        <f t="shared" si="27"/>
        <v>275983.64113358431</v>
      </c>
      <c r="K100" s="139">
        <f t="shared" si="22"/>
        <v>0</v>
      </c>
      <c r="L100" s="83">
        <f t="shared" si="20"/>
        <v>275983.64113358431</v>
      </c>
      <c r="M100" s="80">
        <f t="shared" si="28"/>
        <v>60</v>
      </c>
      <c r="N100" s="84">
        <f t="shared" ref="N100:N163" si="36">IF(E100&lt;$J$6,0,IF(E100&gt;=$I$1,0,1))*$I$10</f>
        <v>0</v>
      </c>
      <c r="O100" s="140">
        <f t="shared" si="23"/>
        <v>0</v>
      </c>
      <c r="P100" s="149">
        <v>0</v>
      </c>
      <c r="Q100" s="163">
        <f t="shared" si="29"/>
        <v>60</v>
      </c>
      <c r="R100" s="150">
        <f t="shared" si="24"/>
        <v>0</v>
      </c>
      <c r="S100"/>
    </row>
    <row r="101" spans="1:19" x14ac:dyDescent="0.25">
      <c r="A101" s="80" t="str">
        <f t="shared" si="34"/>
        <v>Sun</v>
      </c>
      <c r="B101" s="147">
        <f>IF(SUMIFS(CashFlow!$C$16:$C$40,CashFlow!$D$16:$D$40,CashFlowCalcs!$E101)&gt;0,SUMIFS(CashFlow!$C$16:$C$40,CashFlow!$D$16:$D$40,CashFlowCalcs!$E101),B100)</f>
        <v>2</v>
      </c>
      <c r="C101" s="147" t="str">
        <f t="shared" si="25"/>
        <v>Y</v>
      </c>
      <c r="D101" s="80">
        <f t="shared" si="30"/>
        <v>60</v>
      </c>
      <c r="E101" s="81">
        <f t="shared" si="35"/>
        <v>44451</v>
      </c>
      <c r="F101" s="80">
        <f t="shared" si="32"/>
        <v>-2.6449704142011834</v>
      </c>
      <c r="G101" s="119">
        <f t="shared" si="26"/>
        <v>1.2071924892017645E-2</v>
      </c>
      <c r="H101" s="125">
        <f t="shared" si="33"/>
        <v>44451</v>
      </c>
      <c r="I101" s="82">
        <f t="shared" si="21"/>
        <v>3.0261947299145033E-2</v>
      </c>
      <c r="J101" s="126">
        <f t="shared" si="27"/>
        <v>275983.64113358431</v>
      </c>
      <c r="K101" s="139">
        <f t="shared" si="22"/>
        <v>0</v>
      </c>
      <c r="L101" s="83">
        <f t="shared" si="20"/>
        <v>275983.64113358431</v>
      </c>
      <c r="M101" s="80">
        <f t="shared" si="28"/>
        <v>60</v>
      </c>
      <c r="N101" s="84">
        <f t="shared" si="36"/>
        <v>0</v>
      </c>
      <c r="O101" s="140">
        <f t="shared" si="23"/>
        <v>0</v>
      </c>
      <c r="P101" s="149">
        <v>0</v>
      </c>
      <c r="Q101" s="163">
        <f t="shared" si="29"/>
        <v>60</v>
      </c>
      <c r="R101" s="150">
        <f t="shared" si="24"/>
        <v>0</v>
      </c>
      <c r="S101"/>
    </row>
    <row r="102" spans="1:19" x14ac:dyDescent="0.25">
      <c r="A102" s="80" t="str">
        <f t="shared" si="34"/>
        <v>Mon</v>
      </c>
      <c r="B102" s="147">
        <f>IF(SUMIFS(CashFlow!$C$16:$C$40,CashFlow!$D$16:$D$40,CashFlowCalcs!$E102)&gt;0,SUMIFS(CashFlow!$C$16:$C$40,CashFlow!$D$16:$D$40,CashFlowCalcs!$E102),B101)</f>
        <v>2</v>
      </c>
      <c r="C102" s="147" t="str">
        <f t="shared" si="25"/>
        <v>N</v>
      </c>
      <c r="D102" s="80">
        <f t="shared" si="30"/>
        <v>61</v>
      </c>
      <c r="E102" s="81">
        <f t="shared" si="35"/>
        <v>44452</v>
      </c>
      <c r="F102" s="80">
        <f t="shared" si="32"/>
        <v>-2.63905325443787</v>
      </c>
      <c r="G102" s="119">
        <f t="shared" si="26"/>
        <v>1.2262130671403233E-2</v>
      </c>
      <c r="H102" s="125">
        <f t="shared" si="33"/>
        <v>44452</v>
      </c>
      <c r="I102" s="82">
        <f t="shared" si="21"/>
        <v>3.0738755871369129E-2</v>
      </c>
      <c r="J102" s="126">
        <f t="shared" si="27"/>
        <v>280332.05151792959</v>
      </c>
      <c r="K102" s="139">
        <f t="shared" si="22"/>
        <v>0</v>
      </c>
      <c r="L102" s="83">
        <f t="shared" si="20"/>
        <v>280332.05151792959</v>
      </c>
      <c r="M102" s="80">
        <f t="shared" si="28"/>
        <v>61</v>
      </c>
      <c r="N102" s="84">
        <f t="shared" si="36"/>
        <v>0</v>
      </c>
      <c r="O102" s="140">
        <f t="shared" si="23"/>
        <v>0</v>
      </c>
      <c r="P102" s="149">
        <v>0</v>
      </c>
      <c r="Q102" s="163">
        <f t="shared" si="29"/>
        <v>61</v>
      </c>
      <c r="R102" s="150">
        <f t="shared" si="24"/>
        <v>0</v>
      </c>
      <c r="S102"/>
    </row>
    <row r="103" spans="1:19" x14ac:dyDescent="0.25">
      <c r="A103" s="80" t="str">
        <f t="shared" si="34"/>
        <v>Tues</v>
      </c>
      <c r="B103" s="147">
        <f>IF(SUMIFS(CashFlow!$C$16:$C$40,CashFlow!$D$16:$D$40,CashFlowCalcs!$E103)&gt;0,SUMIFS(CashFlow!$C$16:$C$40,CashFlow!$D$16:$D$40,CashFlowCalcs!$E103),B102)</f>
        <v>2</v>
      </c>
      <c r="C103" s="147" t="str">
        <f t="shared" si="25"/>
        <v>N</v>
      </c>
      <c r="D103" s="80">
        <f t="shared" si="30"/>
        <v>62</v>
      </c>
      <c r="E103" s="81">
        <f t="shared" si="35"/>
        <v>44453</v>
      </c>
      <c r="F103" s="80">
        <f t="shared" si="32"/>
        <v>-2.6331360946745561</v>
      </c>
      <c r="G103" s="119">
        <f t="shared" si="26"/>
        <v>1.2454897253204384E-2</v>
      </c>
      <c r="H103" s="125">
        <f t="shared" si="33"/>
        <v>44453</v>
      </c>
      <c r="I103" s="82">
        <f t="shared" si="21"/>
        <v>3.1221983872842203E-2</v>
      </c>
      <c r="J103" s="126">
        <f t="shared" si="27"/>
        <v>284739.00596887508</v>
      </c>
      <c r="K103" s="139">
        <f t="shared" si="22"/>
        <v>0</v>
      </c>
      <c r="L103" s="83">
        <f t="shared" si="20"/>
        <v>284739.00596887508</v>
      </c>
      <c r="M103" s="80">
        <f t="shared" si="28"/>
        <v>62</v>
      </c>
      <c r="N103" s="84">
        <f t="shared" si="36"/>
        <v>0</v>
      </c>
      <c r="O103" s="140">
        <f t="shared" si="23"/>
        <v>0</v>
      </c>
      <c r="P103" s="149">
        <v>0</v>
      </c>
      <c r="Q103" s="163">
        <f t="shared" si="29"/>
        <v>62</v>
      </c>
      <c r="R103" s="150">
        <f t="shared" si="24"/>
        <v>0</v>
      </c>
      <c r="S103"/>
    </row>
    <row r="104" spans="1:19" x14ac:dyDescent="0.25">
      <c r="A104" s="80" t="str">
        <f t="shared" si="34"/>
        <v>Wed</v>
      </c>
      <c r="B104" s="147">
        <f>IF(SUMIFS(CashFlow!$C$16:$C$40,CashFlow!$D$16:$D$40,CashFlowCalcs!$E104)&gt;0,SUMIFS(CashFlow!$C$16:$C$40,CashFlow!$D$16:$D$40,CashFlowCalcs!$E104),B103)</f>
        <v>2</v>
      </c>
      <c r="C104" s="147" t="str">
        <f t="shared" si="25"/>
        <v>N</v>
      </c>
      <c r="D104" s="80">
        <f t="shared" si="30"/>
        <v>63</v>
      </c>
      <c r="E104" s="81">
        <f t="shared" si="35"/>
        <v>44454</v>
      </c>
      <c r="F104" s="80">
        <f t="shared" si="32"/>
        <v>-2.6272189349112427</v>
      </c>
      <c r="G104" s="119">
        <f t="shared" si="26"/>
        <v>1.2650251290012919E-2</v>
      </c>
      <c r="H104" s="125">
        <f t="shared" si="33"/>
        <v>44454</v>
      </c>
      <c r="I104" s="82">
        <f t="shared" si="21"/>
        <v>3.1711698116382955E-2</v>
      </c>
      <c r="J104" s="126">
        <f t="shared" si="27"/>
        <v>289205.11380758556</v>
      </c>
      <c r="K104" s="139">
        <f t="shared" si="22"/>
        <v>0</v>
      </c>
      <c r="L104" s="83">
        <f t="shared" si="20"/>
        <v>289205.11380758556</v>
      </c>
      <c r="M104" s="80">
        <f t="shared" si="28"/>
        <v>63</v>
      </c>
      <c r="N104" s="84">
        <f t="shared" si="36"/>
        <v>0</v>
      </c>
      <c r="O104" s="140">
        <f t="shared" si="23"/>
        <v>0</v>
      </c>
      <c r="P104" s="149">
        <v>0</v>
      </c>
      <c r="Q104" s="163">
        <f t="shared" si="29"/>
        <v>63</v>
      </c>
      <c r="R104" s="150">
        <f t="shared" si="24"/>
        <v>0</v>
      </c>
      <c r="S104"/>
    </row>
    <row r="105" spans="1:19" x14ac:dyDescent="0.25">
      <c r="A105" s="80" t="str">
        <f t="shared" si="34"/>
        <v>Thu</v>
      </c>
      <c r="B105" s="147">
        <f>IF(SUMIFS(CashFlow!$C$16:$C$40,CashFlow!$D$16:$D$40,CashFlowCalcs!$E105)&gt;0,SUMIFS(CashFlow!$C$16:$C$40,CashFlow!$D$16:$D$40,CashFlowCalcs!$E105),B104)</f>
        <v>2</v>
      </c>
      <c r="C105" s="147" t="str">
        <f t="shared" si="25"/>
        <v>N</v>
      </c>
      <c r="D105" s="80">
        <f t="shared" si="30"/>
        <v>64</v>
      </c>
      <c r="E105" s="81">
        <f t="shared" si="35"/>
        <v>44455</v>
      </c>
      <c r="F105" s="80">
        <f t="shared" si="32"/>
        <v>-2.6213017751479288</v>
      </c>
      <c r="G105" s="119">
        <f t="shared" si="26"/>
        <v>1.2848219579029978E-2</v>
      </c>
      <c r="H105" s="125">
        <f t="shared" si="33"/>
        <v>44455</v>
      </c>
      <c r="I105" s="82">
        <f t="shared" si="21"/>
        <v>3.220796577731725E-2</v>
      </c>
      <c r="J105" s="126">
        <f t="shared" si="27"/>
        <v>293730.98766122758</v>
      </c>
      <c r="K105" s="139">
        <f t="shared" si="22"/>
        <v>0</v>
      </c>
      <c r="L105" s="83">
        <f t="shared" si="20"/>
        <v>293730.98766122758</v>
      </c>
      <c r="M105" s="80">
        <f t="shared" si="28"/>
        <v>64</v>
      </c>
      <c r="N105" s="84">
        <f t="shared" si="36"/>
        <v>0</v>
      </c>
      <c r="O105" s="140">
        <f t="shared" si="23"/>
        <v>0</v>
      </c>
      <c r="P105" s="149">
        <v>0</v>
      </c>
      <c r="Q105" s="163">
        <f t="shared" si="29"/>
        <v>64</v>
      </c>
      <c r="R105" s="150">
        <f t="shared" si="24"/>
        <v>0</v>
      </c>
      <c r="S105"/>
    </row>
    <row r="106" spans="1:19" x14ac:dyDescent="0.25">
      <c r="A106" s="80" t="str">
        <f t="shared" si="34"/>
        <v>Fri</v>
      </c>
      <c r="B106" s="147">
        <f>IF(SUMIFS(CashFlow!$C$16:$C$40,CashFlow!$D$16:$D$40,CashFlowCalcs!$E106)&gt;0,SUMIFS(CashFlow!$C$16:$C$40,CashFlow!$D$16:$D$40,CashFlowCalcs!$E106),B105)</f>
        <v>2</v>
      </c>
      <c r="C106" s="147" t="str">
        <f t="shared" si="25"/>
        <v>N</v>
      </c>
      <c r="D106" s="80">
        <f t="shared" si="30"/>
        <v>65</v>
      </c>
      <c r="E106" s="81">
        <f t="shared" si="35"/>
        <v>44456</v>
      </c>
      <c r="F106" s="80">
        <f t="shared" si="32"/>
        <v>-2.6153846153846154</v>
      </c>
      <c r="G106" s="119">
        <f t="shared" si="26"/>
        <v>1.3048829060551794E-2</v>
      </c>
      <c r="H106" s="125">
        <f t="shared" si="33"/>
        <v>44456</v>
      </c>
      <c r="I106" s="82">
        <f t="shared" si="21"/>
        <v>3.2710854389682312E-2</v>
      </c>
      <c r="J106" s="126">
        <f t="shared" si="27"/>
        <v>298317.24342835223</v>
      </c>
      <c r="K106" s="139">
        <f t="shared" si="22"/>
        <v>0</v>
      </c>
      <c r="L106" s="83">
        <f t="shared" si="20"/>
        <v>298317.24342835223</v>
      </c>
      <c r="M106" s="80">
        <f t="shared" si="28"/>
        <v>65</v>
      </c>
      <c r="N106" s="84">
        <f t="shared" si="36"/>
        <v>0</v>
      </c>
      <c r="O106" s="140">
        <f t="shared" si="23"/>
        <v>0</v>
      </c>
      <c r="P106" s="149">
        <v>0</v>
      </c>
      <c r="Q106" s="163">
        <f t="shared" si="29"/>
        <v>65</v>
      </c>
      <c r="R106" s="150">
        <f t="shared" si="24"/>
        <v>0</v>
      </c>
      <c r="S106"/>
    </row>
    <row r="107" spans="1:19" x14ac:dyDescent="0.25">
      <c r="A107" s="80" t="str">
        <f t="shared" si="34"/>
        <v>Sat</v>
      </c>
      <c r="B107" s="147">
        <f>IF(SUMIFS(CashFlow!$C$16:$C$40,CashFlow!$D$16:$D$40,CashFlowCalcs!$E107)&gt;0,SUMIFS(CashFlow!$C$16:$C$40,CashFlow!$D$16:$D$40,CashFlowCalcs!$E107),B106)</f>
        <v>2</v>
      </c>
      <c r="C107" s="147" t="str">
        <f t="shared" si="25"/>
        <v>Y</v>
      </c>
      <c r="D107" s="80">
        <f t="shared" si="30"/>
        <v>65</v>
      </c>
      <c r="E107" s="81">
        <f t="shared" si="35"/>
        <v>44457</v>
      </c>
      <c r="F107" s="80">
        <f t="shared" si="32"/>
        <v>-2.6153846153846154</v>
      </c>
      <c r="G107" s="119">
        <f t="shared" si="26"/>
        <v>1.3048829060551794E-2</v>
      </c>
      <c r="H107" s="125">
        <f t="shared" si="33"/>
        <v>44457</v>
      </c>
      <c r="I107" s="82">
        <f t="shared" si="21"/>
        <v>3.2710854389682312E-2</v>
      </c>
      <c r="J107" s="126">
        <f t="shared" si="27"/>
        <v>298317.24342835223</v>
      </c>
      <c r="K107" s="139">
        <f t="shared" si="22"/>
        <v>0</v>
      </c>
      <c r="L107" s="83">
        <f t="shared" si="20"/>
        <v>298317.24342835223</v>
      </c>
      <c r="M107" s="80">
        <f t="shared" si="28"/>
        <v>65</v>
      </c>
      <c r="N107" s="84">
        <f t="shared" si="36"/>
        <v>0</v>
      </c>
      <c r="O107" s="140">
        <f t="shared" si="23"/>
        <v>0</v>
      </c>
      <c r="P107" s="149">
        <v>0</v>
      </c>
      <c r="Q107" s="163">
        <f t="shared" si="29"/>
        <v>65</v>
      </c>
      <c r="R107" s="150">
        <f t="shared" si="24"/>
        <v>0</v>
      </c>
      <c r="S107"/>
    </row>
    <row r="108" spans="1:19" x14ac:dyDescent="0.25">
      <c r="A108" s="80" t="str">
        <f t="shared" si="34"/>
        <v>Sun</v>
      </c>
      <c r="B108" s="147">
        <f>IF(SUMIFS(CashFlow!$C$16:$C$40,CashFlow!$D$16:$D$40,CashFlowCalcs!$E108)&gt;0,SUMIFS(CashFlow!$C$16:$C$40,CashFlow!$D$16:$D$40,CashFlowCalcs!$E108),B107)</f>
        <v>2</v>
      </c>
      <c r="C108" s="147" t="str">
        <f t="shared" si="25"/>
        <v>Y</v>
      </c>
      <c r="D108" s="80">
        <f t="shared" si="30"/>
        <v>65</v>
      </c>
      <c r="E108" s="81">
        <f t="shared" si="35"/>
        <v>44458</v>
      </c>
      <c r="F108" s="80">
        <f t="shared" si="32"/>
        <v>-2.6153846153846154</v>
      </c>
      <c r="G108" s="119">
        <f t="shared" si="26"/>
        <v>1.3048829060551794E-2</v>
      </c>
      <c r="H108" s="125">
        <f t="shared" si="33"/>
        <v>44458</v>
      </c>
      <c r="I108" s="82">
        <f t="shared" si="21"/>
        <v>3.2710854389682312E-2</v>
      </c>
      <c r="J108" s="126">
        <f t="shared" si="27"/>
        <v>298317.24342835223</v>
      </c>
      <c r="K108" s="139">
        <f t="shared" si="22"/>
        <v>0</v>
      </c>
      <c r="L108" s="83">
        <f t="shared" si="20"/>
        <v>298317.24342835223</v>
      </c>
      <c r="M108" s="80">
        <f t="shared" si="28"/>
        <v>65</v>
      </c>
      <c r="N108" s="84">
        <f t="shared" si="36"/>
        <v>0</v>
      </c>
      <c r="O108" s="140">
        <f t="shared" si="23"/>
        <v>0</v>
      </c>
      <c r="P108" s="149">
        <v>0</v>
      </c>
      <c r="Q108" s="163">
        <f t="shared" si="29"/>
        <v>65</v>
      </c>
      <c r="R108" s="150">
        <f t="shared" si="24"/>
        <v>0</v>
      </c>
      <c r="S108"/>
    </row>
    <row r="109" spans="1:19" x14ac:dyDescent="0.25">
      <c r="A109" s="80" t="str">
        <f t="shared" si="34"/>
        <v>Mon</v>
      </c>
      <c r="B109" s="147">
        <f>IF(SUMIFS(CashFlow!$C$16:$C$40,CashFlow!$D$16:$D$40,CashFlowCalcs!$E109)&gt;0,SUMIFS(CashFlow!$C$16:$C$40,CashFlow!$D$16:$D$40,CashFlowCalcs!$E109),B108)</f>
        <v>2</v>
      </c>
      <c r="C109" s="147" t="str">
        <f t="shared" si="25"/>
        <v>N</v>
      </c>
      <c r="D109" s="80">
        <f t="shared" si="30"/>
        <v>66</v>
      </c>
      <c r="E109" s="81">
        <f t="shared" si="35"/>
        <v>44459</v>
      </c>
      <c r="F109" s="80">
        <f t="shared" si="32"/>
        <v>-2.609467455621302</v>
      </c>
      <c r="G109" s="119">
        <f t="shared" si="26"/>
        <v>1.3252106816406803E-2</v>
      </c>
      <c r="H109" s="125">
        <f t="shared" si="33"/>
        <v>44459</v>
      </c>
      <c r="I109" s="82">
        <f t="shared" si="21"/>
        <v>3.3220431842308808E-2</v>
      </c>
      <c r="J109" s="126">
        <f t="shared" si="27"/>
        <v>302964.50024316437</v>
      </c>
      <c r="K109" s="139">
        <f t="shared" si="22"/>
        <v>0</v>
      </c>
      <c r="L109" s="83">
        <f t="shared" si="20"/>
        <v>302964.50024316437</v>
      </c>
      <c r="M109" s="80">
        <f t="shared" si="28"/>
        <v>66</v>
      </c>
      <c r="N109" s="84">
        <f t="shared" si="36"/>
        <v>0</v>
      </c>
      <c r="O109" s="140">
        <f t="shared" si="23"/>
        <v>0</v>
      </c>
      <c r="P109" s="149">
        <v>0</v>
      </c>
      <c r="Q109" s="163">
        <f t="shared" si="29"/>
        <v>66</v>
      </c>
      <c r="R109" s="150">
        <f t="shared" si="24"/>
        <v>0</v>
      </c>
      <c r="S109"/>
    </row>
    <row r="110" spans="1:19" x14ac:dyDescent="0.25">
      <c r="A110" s="80" t="str">
        <f t="shared" si="34"/>
        <v>Tues</v>
      </c>
      <c r="B110" s="147">
        <f>IF(SUMIFS(CashFlow!$C$16:$C$40,CashFlow!$D$16:$D$40,CashFlowCalcs!$E110)&gt;0,SUMIFS(CashFlow!$C$16:$C$40,CashFlow!$D$16:$D$40,CashFlowCalcs!$E110),B109)</f>
        <v>2</v>
      </c>
      <c r="C110" s="147" t="str">
        <f t="shared" si="25"/>
        <v>N</v>
      </c>
      <c r="D110" s="80">
        <f t="shared" si="30"/>
        <v>67</v>
      </c>
      <c r="E110" s="81">
        <f t="shared" si="35"/>
        <v>44460</v>
      </c>
      <c r="F110" s="80">
        <f t="shared" si="32"/>
        <v>-2.6035502958579881</v>
      </c>
      <c r="G110" s="119">
        <f t="shared" si="26"/>
        <v>1.345808006834311E-2</v>
      </c>
      <c r="H110" s="125">
        <f t="shared" si="33"/>
        <v>44460</v>
      </c>
      <c r="I110" s="82">
        <f t="shared" si="21"/>
        <v>3.3736766374778571E-2</v>
      </c>
      <c r="J110" s="126">
        <f t="shared" si="27"/>
        <v>307673.38043865783</v>
      </c>
      <c r="K110" s="139">
        <f t="shared" si="22"/>
        <v>0</v>
      </c>
      <c r="L110" s="83">
        <f t="shared" si="20"/>
        <v>307673.38043865783</v>
      </c>
      <c r="M110" s="80">
        <f t="shared" si="28"/>
        <v>67</v>
      </c>
      <c r="N110" s="84">
        <f t="shared" si="36"/>
        <v>0</v>
      </c>
      <c r="O110" s="140">
        <f t="shared" si="23"/>
        <v>0</v>
      </c>
      <c r="P110" s="149">
        <v>0</v>
      </c>
      <c r="Q110" s="163">
        <f t="shared" si="29"/>
        <v>67</v>
      </c>
      <c r="R110" s="150">
        <f t="shared" si="24"/>
        <v>0</v>
      </c>
      <c r="S110"/>
    </row>
    <row r="111" spans="1:19" x14ac:dyDescent="0.25">
      <c r="A111" s="80" t="str">
        <f t="shared" si="34"/>
        <v>Wed</v>
      </c>
      <c r="B111" s="147">
        <f>IF(SUMIFS(CashFlow!$C$16:$C$40,CashFlow!$D$16:$D$40,CashFlowCalcs!$E111)&gt;0,SUMIFS(CashFlow!$C$16:$C$40,CashFlow!$D$16:$D$40,CashFlowCalcs!$E111),B110)</f>
        <v>2</v>
      </c>
      <c r="C111" s="147" t="str">
        <f t="shared" si="25"/>
        <v>N</v>
      </c>
      <c r="D111" s="80">
        <f t="shared" si="30"/>
        <v>68</v>
      </c>
      <c r="E111" s="81">
        <f t="shared" si="35"/>
        <v>44461</v>
      </c>
      <c r="F111" s="80">
        <f t="shared" si="32"/>
        <v>-2.5976331360946747</v>
      </c>
      <c r="G111" s="119">
        <f t="shared" si="26"/>
        <v>1.3666776176366172E-2</v>
      </c>
      <c r="H111" s="125">
        <f t="shared" si="33"/>
        <v>44461</v>
      </c>
      <c r="I111" s="82">
        <f t="shared" si="21"/>
        <v>3.4259926573257493E-2</v>
      </c>
      <c r="J111" s="126">
        <f t="shared" si="27"/>
        <v>312444.50950861233</v>
      </c>
      <c r="K111" s="139">
        <f t="shared" si="22"/>
        <v>0</v>
      </c>
      <c r="L111" s="83">
        <f t="shared" si="20"/>
        <v>312444.50950861233</v>
      </c>
      <c r="M111" s="80">
        <f t="shared" si="28"/>
        <v>68</v>
      </c>
      <c r="N111" s="84">
        <f t="shared" si="36"/>
        <v>0</v>
      </c>
      <c r="O111" s="140">
        <f t="shared" si="23"/>
        <v>0</v>
      </c>
      <c r="P111" s="149">
        <v>0</v>
      </c>
      <c r="Q111" s="163">
        <f t="shared" si="29"/>
        <v>68</v>
      </c>
      <c r="R111" s="150">
        <f t="shared" si="24"/>
        <v>0</v>
      </c>
      <c r="S111"/>
    </row>
    <row r="112" spans="1:19" x14ac:dyDescent="0.25">
      <c r="A112" s="80" t="str">
        <f t="shared" si="34"/>
        <v>Thu</v>
      </c>
      <c r="B112" s="147">
        <f>IF(SUMIFS(CashFlow!$C$16:$C$40,CashFlow!$D$16:$D$40,CashFlowCalcs!$E112)&gt;0,SUMIFS(CashFlow!$C$16:$C$40,CashFlow!$D$16:$D$40,CashFlowCalcs!$E112),B111)</f>
        <v>2</v>
      </c>
      <c r="C112" s="147" t="str">
        <f t="shared" si="25"/>
        <v>N</v>
      </c>
      <c r="D112" s="80">
        <f t="shared" si="30"/>
        <v>69</v>
      </c>
      <c r="E112" s="81">
        <f t="shared" si="35"/>
        <v>44462</v>
      </c>
      <c r="F112" s="80">
        <f t="shared" si="32"/>
        <v>-2.5917159763313609</v>
      </c>
      <c r="G112" s="119">
        <f t="shared" si="26"/>
        <v>1.3878222637026401E-2</v>
      </c>
      <c r="H112" s="125">
        <f t="shared" si="33"/>
        <v>44462</v>
      </c>
      <c r="I112" s="82">
        <f t="shared" si="21"/>
        <v>3.4789981366202878E-2</v>
      </c>
      <c r="J112" s="126">
        <f t="shared" si="27"/>
        <v>317278.51606844494</v>
      </c>
      <c r="K112" s="139">
        <f t="shared" si="22"/>
        <v>0</v>
      </c>
      <c r="L112" s="83">
        <f t="shared" si="20"/>
        <v>317278.51606844494</v>
      </c>
      <c r="M112" s="80">
        <f t="shared" si="28"/>
        <v>69</v>
      </c>
      <c r="N112" s="84">
        <f t="shared" si="36"/>
        <v>0</v>
      </c>
      <c r="O112" s="140">
        <f t="shared" si="23"/>
        <v>0</v>
      </c>
      <c r="P112" s="149">
        <v>0</v>
      </c>
      <c r="Q112" s="163">
        <f t="shared" si="29"/>
        <v>69</v>
      </c>
      <c r="R112" s="150">
        <f t="shared" si="24"/>
        <v>0</v>
      </c>
      <c r="S112"/>
    </row>
    <row r="113" spans="1:19" x14ac:dyDescent="0.25">
      <c r="A113" s="80" t="str">
        <f t="shared" si="34"/>
        <v>Fri</v>
      </c>
      <c r="B113" s="147">
        <f>IF(SUMIFS(CashFlow!$C$16:$C$40,CashFlow!$D$16:$D$40,CashFlowCalcs!$E113)&gt;0,SUMIFS(CashFlow!$C$16:$C$40,CashFlow!$D$16:$D$40,CashFlowCalcs!$E113),B112)</f>
        <v>2</v>
      </c>
      <c r="C113" s="147" t="str">
        <f t="shared" si="25"/>
        <v>N</v>
      </c>
      <c r="D113" s="80">
        <f t="shared" si="30"/>
        <v>70</v>
      </c>
      <c r="E113" s="81">
        <f t="shared" si="35"/>
        <v>44463</v>
      </c>
      <c r="F113" s="80">
        <f t="shared" si="32"/>
        <v>-2.5857988165680474</v>
      </c>
      <c r="G113" s="119">
        <f t="shared" si="26"/>
        <v>1.4092447081655793E-2</v>
      </c>
      <c r="H113" s="125">
        <f t="shared" si="33"/>
        <v>44463</v>
      </c>
      <c r="I113" s="82">
        <f t="shared" si="21"/>
        <v>3.5327000019943003E-2</v>
      </c>
      <c r="J113" s="126">
        <f t="shared" si="27"/>
        <v>322176.03181489668</v>
      </c>
      <c r="K113" s="139">
        <f t="shared" si="22"/>
        <v>0</v>
      </c>
      <c r="L113" s="83">
        <f t="shared" si="20"/>
        <v>322176.03181489668</v>
      </c>
      <c r="M113" s="80">
        <f t="shared" si="28"/>
        <v>70</v>
      </c>
      <c r="N113" s="84">
        <f t="shared" si="36"/>
        <v>0</v>
      </c>
      <c r="O113" s="140">
        <f t="shared" si="23"/>
        <v>0</v>
      </c>
      <c r="P113" s="149">
        <v>0</v>
      </c>
      <c r="Q113" s="163">
        <f t="shared" si="29"/>
        <v>70</v>
      </c>
      <c r="R113" s="150">
        <f t="shared" si="24"/>
        <v>0</v>
      </c>
      <c r="S113"/>
    </row>
    <row r="114" spans="1:19" x14ac:dyDescent="0.25">
      <c r="A114" s="80" t="str">
        <f t="shared" si="34"/>
        <v>Sat</v>
      </c>
      <c r="B114" s="147">
        <f>IF(SUMIFS(CashFlow!$C$16:$C$40,CashFlow!$D$16:$D$40,CashFlowCalcs!$E114)&gt;0,SUMIFS(CashFlow!$C$16:$C$40,CashFlow!$D$16:$D$40,CashFlowCalcs!$E114),B113)</f>
        <v>2</v>
      </c>
      <c r="C114" s="147" t="str">
        <f t="shared" si="25"/>
        <v>Y</v>
      </c>
      <c r="D114" s="80">
        <f t="shared" si="30"/>
        <v>70</v>
      </c>
      <c r="E114" s="81">
        <f t="shared" si="35"/>
        <v>44464</v>
      </c>
      <c r="F114" s="80">
        <f t="shared" si="32"/>
        <v>-2.5857988165680474</v>
      </c>
      <c r="G114" s="119">
        <f t="shared" si="26"/>
        <v>1.4092447081655793E-2</v>
      </c>
      <c r="H114" s="125">
        <f t="shared" si="33"/>
        <v>44464</v>
      </c>
      <c r="I114" s="82">
        <f t="shared" si="21"/>
        <v>3.5327000019943003E-2</v>
      </c>
      <c r="J114" s="126">
        <f t="shared" si="27"/>
        <v>322176.03181489668</v>
      </c>
      <c r="K114" s="139">
        <f t="shared" si="22"/>
        <v>0</v>
      </c>
      <c r="L114" s="83">
        <f t="shared" si="20"/>
        <v>322176.03181489668</v>
      </c>
      <c r="M114" s="80">
        <f t="shared" si="28"/>
        <v>70</v>
      </c>
      <c r="N114" s="84">
        <f t="shared" si="36"/>
        <v>0</v>
      </c>
      <c r="O114" s="140">
        <f t="shared" si="23"/>
        <v>0</v>
      </c>
      <c r="P114" s="149">
        <v>0</v>
      </c>
      <c r="Q114" s="163">
        <f t="shared" si="29"/>
        <v>70</v>
      </c>
      <c r="R114" s="150">
        <f t="shared" si="24"/>
        <v>0</v>
      </c>
      <c r="S114"/>
    </row>
    <row r="115" spans="1:19" x14ac:dyDescent="0.25">
      <c r="A115" s="80" t="str">
        <f t="shared" si="34"/>
        <v>Sun</v>
      </c>
      <c r="B115" s="147">
        <f>IF(SUMIFS(CashFlow!$C$16:$C$40,CashFlow!$D$16:$D$40,CashFlowCalcs!$E115)&gt;0,SUMIFS(CashFlow!$C$16:$C$40,CashFlow!$D$16:$D$40,CashFlowCalcs!$E115),B114)</f>
        <v>2</v>
      </c>
      <c r="C115" s="147" t="str">
        <f t="shared" si="25"/>
        <v>Y</v>
      </c>
      <c r="D115" s="80">
        <f t="shared" si="30"/>
        <v>70</v>
      </c>
      <c r="E115" s="81">
        <f t="shared" si="35"/>
        <v>44465</v>
      </c>
      <c r="F115" s="80">
        <f t="shared" si="32"/>
        <v>-2.5857988165680474</v>
      </c>
      <c r="G115" s="119">
        <f t="shared" si="26"/>
        <v>1.4092447081655793E-2</v>
      </c>
      <c r="H115" s="125">
        <f t="shared" si="33"/>
        <v>44465</v>
      </c>
      <c r="I115" s="82">
        <f t="shared" si="21"/>
        <v>3.5327000019943003E-2</v>
      </c>
      <c r="J115" s="126">
        <f t="shared" si="27"/>
        <v>322176.03181489668</v>
      </c>
      <c r="K115" s="139">
        <f t="shared" si="22"/>
        <v>0</v>
      </c>
      <c r="L115" s="83">
        <f t="shared" si="20"/>
        <v>322176.03181489668</v>
      </c>
      <c r="M115" s="80">
        <f t="shared" si="28"/>
        <v>70</v>
      </c>
      <c r="N115" s="84">
        <f t="shared" si="36"/>
        <v>0</v>
      </c>
      <c r="O115" s="140">
        <f t="shared" si="23"/>
        <v>0</v>
      </c>
      <c r="P115" s="149">
        <v>0</v>
      </c>
      <c r="Q115" s="163">
        <f t="shared" si="29"/>
        <v>70</v>
      </c>
      <c r="R115" s="150">
        <f t="shared" si="24"/>
        <v>0</v>
      </c>
      <c r="S115"/>
    </row>
    <row r="116" spans="1:19" x14ac:dyDescent="0.25">
      <c r="A116" s="80" t="str">
        <f t="shared" si="34"/>
        <v>Mon</v>
      </c>
      <c r="B116" s="147">
        <f>IF(SUMIFS(CashFlow!$C$16:$C$40,CashFlow!$D$16:$D$40,CashFlowCalcs!$E116)&gt;0,SUMIFS(CashFlow!$C$16:$C$40,CashFlow!$D$16:$D$40,CashFlowCalcs!$E116),B115)</f>
        <v>2</v>
      </c>
      <c r="C116" s="147" t="str">
        <f t="shared" si="25"/>
        <v>N</v>
      </c>
      <c r="D116" s="80">
        <f t="shared" si="30"/>
        <v>71</v>
      </c>
      <c r="E116" s="81">
        <f t="shared" ref="E116:E131" si="37">E115+1</f>
        <v>44466</v>
      </c>
      <c r="F116" s="80">
        <f t="shared" si="32"/>
        <v>-2.5798816568047336</v>
      </c>
      <c r="G116" s="119">
        <f t="shared" si="26"/>
        <v>1.430947727455378E-2</v>
      </c>
      <c r="H116" s="125">
        <f t="shared" si="33"/>
        <v>44466</v>
      </c>
      <c r="I116" s="82">
        <f t="shared" si="21"/>
        <v>3.5871052134129451E-2</v>
      </c>
      <c r="J116" s="126">
        <f t="shared" si="27"/>
        <v>327137.69148455851</v>
      </c>
      <c r="K116" s="139">
        <f t="shared" si="22"/>
        <v>0</v>
      </c>
      <c r="L116" s="83">
        <f t="shared" si="20"/>
        <v>327137.69148455851</v>
      </c>
      <c r="M116" s="80">
        <f t="shared" si="28"/>
        <v>71</v>
      </c>
      <c r="N116" s="84">
        <f t="shared" si="36"/>
        <v>0</v>
      </c>
      <c r="O116" s="140">
        <f t="shared" si="23"/>
        <v>0</v>
      </c>
      <c r="P116" s="149">
        <v>0</v>
      </c>
      <c r="Q116" s="163">
        <f t="shared" si="29"/>
        <v>71</v>
      </c>
      <c r="R116" s="150">
        <f t="shared" si="24"/>
        <v>0</v>
      </c>
      <c r="S116"/>
    </row>
    <row r="117" spans="1:19" x14ac:dyDescent="0.25">
      <c r="A117" s="80" t="str">
        <f t="shared" si="34"/>
        <v>Tues</v>
      </c>
      <c r="B117" s="147">
        <f>IF(SUMIFS(CashFlow!$C$16:$C$40,CashFlow!$D$16:$D$40,CashFlowCalcs!$E117)&gt;0,SUMIFS(CashFlow!$C$16:$C$40,CashFlow!$D$16:$D$40,CashFlowCalcs!$E117),B116)</f>
        <v>2</v>
      </c>
      <c r="C117" s="147" t="str">
        <f t="shared" si="25"/>
        <v>N</v>
      </c>
      <c r="D117" s="80">
        <f t="shared" si="30"/>
        <v>72</v>
      </c>
      <c r="E117" s="81">
        <f t="shared" si="37"/>
        <v>44467</v>
      </c>
      <c r="F117" s="80">
        <f t="shared" si="32"/>
        <v>-2.5739644970414202</v>
      </c>
      <c r="G117" s="119">
        <f t="shared" si="26"/>
        <v>1.4529341111121313E-2</v>
      </c>
      <c r="H117" s="125">
        <f t="shared" si="33"/>
        <v>44467</v>
      </c>
      <c r="I117" s="82">
        <f t="shared" si="21"/>
        <v>3.6422207637059563E-2</v>
      </c>
      <c r="J117" s="126">
        <f t="shared" si="27"/>
        <v>332164.13281121309</v>
      </c>
      <c r="K117" s="139">
        <f t="shared" si="22"/>
        <v>0</v>
      </c>
      <c r="L117" s="83">
        <f t="shared" si="20"/>
        <v>332164.13281121309</v>
      </c>
      <c r="M117" s="80">
        <f t="shared" si="28"/>
        <v>72</v>
      </c>
      <c r="N117" s="84">
        <f t="shared" si="36"/>
        <v>0</v>
      </c>
      <c r="O117" s="140">
        <f t="shared" si="23"/>
        <v>0</v>
      </c>
      <c r="P117" s="149">
        <v>0</v>
      </c>
      <c r="Q117" s="163">
        <f t="shared" si="29"/>
        <v>72</v>
      </c>
      <c r="R117" s="150">
        <f t="shared" si="24"/>
        <v>0</v>
      </c>
      <c r="S117"/>
    </row>
    <row r="118" spans="1:19" x14ac:dyDescent="0.25">
      <c r="A118" s="80" t="str">
        <f t="shared" si="34"/>
        <v>Wed</v>
      </c>
      <c r="B118" s="147">
        <f>IF(SUMIFS(CashFlow!$C$16:$C$40,CashFlow!$D$16:$D$40,CashFlowCalcs!$E118)&gt;0,SUMIFS(CashFlow!$C$16:$C$40,CashFlow!$D$16:$D$40,CashFlowCalcs!$E118),B117)</f>
        <v>2</v>
      </c>
      <c r="C118" s="147" t="str">
        <f t="shared" si="25"/>
        <v>N</v>
      </c>
      <c r="D118" s="80">
        <f t="shared" si="30"/>
        <v>73</v>
      </c>
      <c r="E118" s="81">
        <f t="shared" si="37"/>
        <v>44468</v>
      </c>
      <c r="F118" s="80">
        <f t="shared" si="32"/>
        <v>-2.5680473372781063</v>
      </c>
      <c r="G118" s="119">
        <f t="shared" si="26"/>
        <v>1.475206661594328E-2</v>
      </c>
      <c r="H118" s="125">
        <f t="shared" si="33"/>
        <v>44468</v>
      </c>
      <c r="I118" s="82">
        <f t="shared" si="21"/>
        <v>3.6980536780869482E-2</v>
      </c>
      <c r="J118" s="126">
        <f t="shared" si="27"/>
        <v>337255.9964819958</v>
      </c>
      <c r="K118" s="139">
        <f t="shared" si="22"/>
        <v>0</v>
      </c>
      <c r="L118" s="83">
        <f t="shared" si="20"/>
        <v>337255.9964819958</v>
      </c>
      <c r="M118" s="80">
        <f t="shared" si="28"/>
        <v>73</v>
      </c>
      <c r="N118" s="84">
        <f t="shared" si="36"/>
        <v>0</v>
      </c>
      <c r="O118" s="140">
        <f t="shared" si="23"/>
        <v>0</v>
      </c>
      <c r="P118" s="149">
        <v>0</v>
      </c>
      <c r="Q118" s="163">
        <f t="shared" si="29"/>
        <v>73</v>
      </c>
      <c r="R118" s="150">
        <f t="shared" si="24"/>
        <v>0</v>
      </c>
      <c r="S118"/>
    </row>
    <row r="119" spans="1:19" x14ac:dyDescent="0.25">
      <c r="A119" s="80" t="str">
        <f t="shared" si="34"/>
        <v>Thu</v>
      </c>
      <c r="B119" s="147">
        <f>IF(SUMIFS(CashFlow!$C$16:$C$40,CashFlow!$D$16:$D$40,CashFlowCalcs!$E119)&gt;0,SUMIFS(CashFlow!$C$16:$C$40,CashFlow!$D$16:$D$40,CashFlowCalcs!$E119),B118)</f>
        <v>2</v>
      </c>
      <c r="C119" s="147" t="str">
        <f t="shared" si="25"/>
        <v>N</v>
      </c>
      <c r="D119" s="80">
        <f t="shared" si="30"/>
        <v>74</v>
      </c>
      <c r="E119" s="81">
        <f t="shared" si="37"/>
        <v>44469</v>
      </c>
      <c r="F119" s="80">
        <f t="shared" si="32"/>
        <v>-2.5621301775147929</v>
      </c>
      <c r="G119" s="119">
        <f t="shared" si="26"/>
        <v>1.4977681940818456E-2</v>
      </c>
      <c r="H119" s="125">
        <f t="shared" si="33"/>
        <v>44469</v>
      </c>
      <c r="I119" s="82">
        <f t="shared" si="21"/>
        <v>3.7546110136595597E-2</v>
      </c>
      <c r="J119" s="126">
        <f t="shared" si="27"/>
        <v>342413.92609235644</v>
      </c>
      <c r="K119" s="139">
        <f t="shared" si="22"/>
        <v>0</v>
      </c>
      <c r="L119" s="83">
        <f t="shared" si="20"/>
        <v>342413.92609235644</v>
      </c>
      <c r="M119" s="80">
        <f t="shared" si="28"/>
        <v>74</v>
      </c>
      <c r="N119" s="84">
        <f t="shared" si="36"/>
        <v>0</v>
      </c>
      <c r="O119" s="140">
        <f t="shared" si="23"/>
        <v>0</v>
      </c>
      <c r="P119" s="149">
        <v>0</v>
      </c>
      <c r="Q119" s="163">
        <f t="shared" si="29"/>
        <v>74</v>
      </c>
      <c r="R119" s="150">
        <f t="shared" si="24"/>
        <v>0</v>
      </c>
      <c r="S119"/>
    </row>
    <row r="120" spans="1:19" s="74" customFormat="1" x14ac:dyDescent="0.25">
      <c r="A120" s="80" t="str">
        <f t="shared" si="34"/>
        <v>Fri</v>
      </c>
      <c r="B120" s="147">
        <f>IF(SUMIFS(CashFlow!$C$16:$C$40,CashFlow!$D$16:$D$40,CashFlowCalcs!$E120)&gt;0,SUMIFS(CashFlow!$C$16:$C$40,CashFlow!$D$16:$D$40,CashFlowCalcs!$E120),B119)</f>
        <v>2</v>
      </c>
      <c r="C120" s="147" t="str">
        <f t="shared" si="25"/>
        <v>N</v>
      </c>
      <c r="D120" s="80">
        <f t="shared" si="30"/>
        <v>75</v>
      </c>
      <c r="E120" s="85">
        <f t="shared" si="37"/>
        <v>44470</v>
      </c>
      <c r="F120" s="80">
        <f t="shared" si="32"/>
        <v>-2.556213017751479</v>
      </c>
      <c r="G120" s="121">
        <f t="shared" si="26"/>
        <v>1.520621536273694E-2</v>
      </c>
      <c r="H120" s="129">
        <f t="shared" si="33"/>
        <v>44470</v>
      </c>
      <c r="I120" s="86">
        <f t="shared" si="21"/>
        <v>3.8118998589104391E-2</v>
      </c>
      <c r="J120" s="130">
        <f t="shared" si="27"/>
        <v>347638.56809982</v>
      </c>
      <c r="K120" s="143">
        <f t="shared" si="22"/>
        <v>0</v>
      </c>
      <c r="L120" s="83">
        <f t="shared" si="20"/>
        <v>347638.56809982</v>
      </c>
      <c r="M120" s="80">
        <f t="shared" si="28"/>
        <v>75</v>
      </c>
      <c r="N120" s="87">
        <f t="shared" si="36"/>
        <v>0</v>
      </c>
      <c r="O120" s="144">
        <f t="shared" si="23"/>
        <v>0</v>
      </c>
      <c r="P120" s="149">
        <v>0</v>
      </c>
      <c r="Q120" s="163">
        <f t="shared" si="29"/>
        <v>75</v>
      </c>
      <c r="R120" s="150">
        <f t="shared" si="24"/>
        <v>0</v>
      </c>
    </row>
    <row r="121" spans="1:19" x14ac:dyDescent="0.25">
      <c r="A121" s="80" t="str">
        <f t="shared" si="34"/>
        <v>Sat</v>
      </c>
      <c r="B121" s="147">
        <f>IF(SUMIFS(CashFlow!$C$16:$C$40,CashFlow!$D$16:$D$40,CashFlowCalcs!$E121)&gt;0,SUMIFS(CashFlow!$C$16:$C$40,CashFlow!$D$16:$D$40,CashFlowCalcs!$E121),B120)</f>
        <v>2</v>
      </c>
      <c r="C121" s="147" t="str">
        <f t="shared" si="25"/>
        <v>Y</v>
      </c>
      <c r="D121" s="80">
        <f t="shared" si="30"/>
        <v>75</v>
      </c>
      <c r="E121" s="81">
        <f t="shared" si="37"/>
        <v>44471</v>
      </c>
      <c r="F121" s="80">
        <f t="shared" si="32"/>
        <v>-2.556213017751479</v>
      </c>
      <c r="G121" s="119">
        <f t="shared" si="26"/>
        <v>1.520621536273694E-2</v>
      </c>
      <c r="H121" s="125">
        <f t="shared" si="33"/>
        <v>44471</v>
      </c>
      <c r="I121" s="82">
        <f t="shared" si="21"/>
        <v>3.8118998589104391E-2</v>
      </c>
      <c r="J121" s="126">
        <f t="shared" si="27"/>
        <v>347638.56809982</v>
      </c>
      <c r="K121" s="139">
        <f t="shared" si="22"/>
        <v>0</v>
      </c>
      <c r="L121" s="83">
        <f t="shared" si="20"/>
        <v>347638.56809982</v>
      </c>
      <c r="M121" s="80">
        <f t="shared" si="28"/>
        <v>75</v>
      </c>
      <c r="N121" s="84">
        <f t="shared" si="36"/>
        <v>0</v>
      </c>
      <c r="O121" s="140">
        <f t="shared" si="23"/>
        <v>0</v>
      </c>
      <c r="P121" s="149">
        <v>0</v>
      </c>
      <c r="Q121" s="163">
        <f t="shared" si="29"/>
        <v>75</v>
      </c>
      <c r="R121" s="150">
        <f t="shared" si="24"/>
        <v>0</v>
      </c>
      <c r="S121"/>
    </row>
    <row r="122" spans="1:19" x14ac:dyDescent="0.25">
      <c r="A122" s="80" t="str">
        <f t="shared" si="34"/>
        <v>Sun</v>
      </c>
      <c r="B122" s="147">
        <f>IF(SUMIFS(CashFlow!$C$16:$C$40,CashFlow!$D$16:$D$40,CashFlowCalcs!$E122)&gt;0,SUMIFS(CashFlow!$C$16:$C$40,CashFlow!$D$16:$D$40,CashFlowCalcs!$E122),B121)</f>
        <v>2</v>
      </c>
      <c r="C122" s="147" t="str">
        <f t="shared" si="25"/>
        <v>Y</v>
      </c>
      <c r="D122" s="80">
        <f t="shared" si="30"/>
        <v>75</v>
      </c>
      <c r="E122" s="81">
        <f t="shared" si="37"/>
        <v>44472</v>
      </c>
      <c r="F122" s="80">
        <f t="shared" si="32"/>
        <v>-2.556213017751479</v>
      </c>
      <c r="G122" s="119">
        <f t="shared" si="26"/>
        <v>1.520621536273694E-2</v>
      </c>
      <c r="H122" s="125">
        <f t="shared" si="33"/>
        <v>44472</v>
      </c>
      <c r="I122" s="82">
        <f t="shared" si="21"/>
        <v>3.8118998589104391E-2</v>
      </c>
      <c r="J122" s="126">
        <f t="shared" si="27"/>
        <v>347638.56809982</v>
      </c>
      <c r="K122" s="139">
        <f t="shared" si="22"/>
        <v>0</v>
      </c>
      <c r="L122" s="83">
        <f t="shared" si="20"/>
        <v>347638.56809982</v>
      </c>
      <c r="M122" s="80">
        <f t="shared" si="28"/>
        <v>75</v>
      </c>
      <c r="N122" s="84">
        <f t="shared" si="36"/>
        <v>0</v>
      </c>
      <c r="O122" s="140">
        <f t="shared" si="23"/>
        <v>0</v>
      </c>
      <c r="P122" s="149">
        <v>0</v>
      </c>
      <c r="Q122" s="163">
        <f t="shared" si="29"/>
        <v>75</v>
      </c>
      <c r="R122" s="150">
        <f t="shared" si="24"/>
        <v>0</v>
      </c>
      <c r="S122"/>
    </row>
    <row r="123" spans="1:19" x14ac:dyDescent="0.25">
      <c r="A123" s="80" t="str">
        <f t="shared" si="34"/>
        <v>Mon</v>
      </c>
      <c r="B123" s="147">
        <f>IF(SUMIFS(CashFlow!$C$16:$C$40,CashFlow!$D$16:$D$40,CashFlowCalcs!$E123)&gt;0,SUMIFS(CashFlow!$C$16:$C$40,CashFlow!$D$16:$D$40,CashFlowCalcs!$E123),B122)</f>
        <v>2</v>
      </c>
      <c r="C123" s="147" t="str">
        <f t="shared" si="25"/>
        <v>N</v>
      </c>
      <c r="D123" s="80">
        <f t="shared" si="30"/>
        <v>76</v>
      </c>
      <c r="E123" s="81">
        <f t="shared" si="37"/>
        <v>44473</v>
      </c>
      <c r="F123" s="80">
        <f t="shared" si="32"/>
        <v>-2.5502958579881656</v>
      </c>
      <c r="G123" s="119">
        <f t="shared" si="26"/>
        <v>1.5437695281804345E-2</v>
      </c>
      <c r="H123" s="125">
        <f t="shared" si="33"/>
        <v>44473</v>
      </c>
      <c r="I123" s="82">
        <f t="shared" si="21"/>
        <v>3.86992733318888E-2</v>
      </c>
      <c r="J123" s="126">
        <f t="shared" si="27"/>
        <v>352930.57177653053</v>
      </c>
      <c r="K123" s="139">
        <f t="shared" si="22"/>
        <v>0</v>
      </c>
      <c r="L123" s="83">
        <f t="shared" si="20"/>
        <v>352930.57177653053</v>
      </c>
      <c r="M123" s="80">
        <f t="shared" si="28"/>
        <v>76</v>
      </c>
      <c r="N123" s="84">
        <f t="shared" si="36"/>
        <v>0</v>
      </c>
      <c r="O123" s="140">
        <f t="shared" si="23"/>
        <v>0</v>
      </c>
      <c r="P123" s="149">
        <v>0</v>
      </c>
      <c r="Q123" s="163">
        <f t="shared" si="29"/>
        <v>76</v>
      </c>
      <c r="R123" s="150">
        <f t="shared" si="24"/>
        <v>0</v>
      </c>
      <c r="S123"/>
    </row>
    <row r="124" spans="1:19" x14ac:dyDescent="0.25">
      <c r="A124" s="80" t="str">
        <f t="shared" si="34"/>
        <v>Tues</v>
      </c>
      <c r="B124" s="147">
        <f>IF(SUMIFS(CashFlow!$C$16:$C$40,CashFlow!$D$16:$D$40,CashFlowCalcs!$E124)&gt;0,SUMIFS(CashFlow!$C$16:$C$40,CashFlow!$D$16:$D$40,CashFlowCalcs!$E124),B123)</f>
        <v>2</v>
      </c>
      <c r="C124" s="147" t="str">
        <f t="shared" si="25"/>
        <v>N</v>
      </c>
      <c r="D124" s="80">
        <f t="shared" si="30"/>
        <v>77</v>
      </c>
      <c r="E124" s="81">
        <f t="shared" si="37"/>
        <v>44474</v>
      </c>
      <c r="F124" s="80">
        <f t="shared" si="32"/>
        <v>-2.5443786982248522</v>
      </c>
      <c r="G124" s="119">
        <f t="shared" si="26"/>
        <v>1.5672150219112814E-2</v>
      </c>
      <c r="H124" s="125">
        <f t="shared" si="33"/>
        <v>44474</v>
      </c>
      <c r="I124" s="82">
        <f t="shared" si="21"/>
        <v>3.9287005861731221E-2</v>
      </c>
      <c r="J124" s="126">
        <f t="shared" si="27"/>
        <v>358290.58916057856</v>
      </c>
      <c r="K124" s="139">
        <f t="shared" si="22"/>
        <v>0</v>
      </c>
      <c r="L124" s="83">
        <f t="shared" si="20"/>
        <v>358290.58916057856</v>
      </c>
      <c r="M124" s="80">
        <f t="shared" si="28"/>
        <v>77</v>
      </c>
      <c r="N124" s="84">
        <f t="shared" si="36"/>
        <v>0</v>
      </c>
      <c r="O124" s="140">
        <f t="shared" si="23"/>
        <v>0</v>
      </c>
      <c r="P124" s="149">
        <v>0</v>
      </c>
      <c r="Q124" s="163">
        <f t="shared" si="29"/>
        <v>77</v>
      </c>
      <c r="R124" s="150">
        <f t="shared" si="24"/>
        <v>0</v>
      </c>
      <c r="S124"/>
    </row>
    <row r="125" spans="1:19" x14ac:dyDescent="0.25">
      <c r="A125" s="80" t="str">
        <f t="shared" si="34"/>
        <v>Wed</v>
      </c>
      <c r="B125" s="147">
        <f>IF(SUMIFS(CashFlow!$C$16:$C$40,CashFlow!$D$16:$D$40,CashFlowCalcs!$E125)&gt;0,SUMIFS(CashFlow!$C$16:$C$40,CashFlow!$D$16:$D$40,CashFlowCalcs!$E125),B124)</f>
        <v>2</v>
      </c>
      <c r="C125" s="147" t="str">
        <f t="shared" si="25"/>
        <v>N</v>
      </c>
      <c r="D125" s="80">
        <f t="shared" si="30"/>
        <v>78</v>
      </c>
      <c r="E125" s="81">
        <f t="shared" si="37"/>
        <v>44475</v>
      </c>
      <c r="F125" s="80">
        <f t="shared" si="32"/>
        <v>-2.5384615384615383</v>
      </c>
      <c r="G125" s="119">
        <f t="shared" si="26"/>
        <v>1.590960881455802E-2</v>
      </c>
      <c r="H125" s="125">
        <f t="shared" si="33"/>
        <v>44475</v>
      </c>
      <c r="I125" s="82">
        <f t="shared" si="21"/>
        <v>3.9882267973231217E-2</v>
      </c>
      <c r="J125" s="126">
        <f t="shared" si="27"/>
        <v>363719.27500609506</v>
      </c>
      <c r="K125" s="139">
        <f t="shared" si="22"/>
        <v>0</v>
      </c>
      <c r="L125" s="83">
        <f t="shared" si="20"/>
        <v>363719.27500609506</v>
      </c>
      <c r="M125" s="80">
        <f t="shared" si="28"/>
        <v>78</v>
      </c>
      <c r="N125" s="84">
        <f t="shared" si="36"/>
        <v>0</v>
      </c>
      <c r="O125" s="140">
        <f t="shared" si="23"/>
        <v>0</v>
      </c>
      <c r="P125" s="149">
        <v>0</v>
      </c>
      <c r="Q125" s="163">
        <f t="shared" si="29"/>
        <v>78</v>
      </c>
      <c r="R125" s="150">
        <f t="shared" si="24"/>
        <v>0</v>
      </c>
      <c r="S125"/>
    </row>
    <row r="126" spans="1:19" x14ac:dyDescent="0.25">
      <c r="A126" s="80" t="str">
        <f t="shared" si="34"/>
        <v>Thu</v>
      </c>
      <c r="B126" s="147">
        <f>IF(SUMIFS(CashFlow!$C$16:$C$40,CashFlow!$D$16:$D$40,CashFlowCalcs!$E126)&gt;0,SUMIFS(CashFlow!$C$16:$C$40,CashFlow!$D$16:$D$40,CashFlowCalcs!$E126),B125)</f>
        <v>2</v>
      </c>
      <c r="C126" s="147" t="str">
        <f t="shared" si="25"/>
        <v>N</v>
      </c>
      <c r="D126" s="80">
        <f t="shared" si="30"/>
        <v>79</v>
      </c>
      <c r="E126" s="81">
        <f t="shared" si="37"/>
        <v>44476</v>
      </c>
      <c r="F126" s="80">
        <f t="shared" si="32"/>
        <v>-2.5325443786982249</v>
      </c>
      <c r="G126" s="119">
        <f t="shared" si="26"/>
        <v>1.6150099824602086E-2</v>
      </c>
      <c r="H126" s="125">
        <f t="shared" si="33"/>
        <v>44476</v>
      </c>
      <c r="I126" s="82">
        <f t="shared" si="21"/>
        <v>4.0485131753197574E-2</v>
      </c>
      <c r="J126" s="126">
        <f t="shared" si="27"/>
        <v>369217.28673210758</v>
      </c>
      <c r="K126" s="139">
        <f t="shared" si="22"/>
        <v>0</v>
      </c>
      <c r="L126" s="83">
        <f t="shared" si="20"/>
        <v>369217.28673210758</v>
      </c>
      <c r="M126" s="80">
        <f t="shared" si="28"/>
        <v>79</v>
      </c>
      <c r="N126" s="84">
        <f t="shared" si="36"/>
        <v>0</v>
      </c>
      <c r="O126" s="140">
        <f t="shared" si="23"/>
        <v>0</v>
      </c>
      <c r="P126" s="149">
        <v>0</v>
      </c>
      <c r="Q126" s="163">
        <f t="shared" si="29"/>
        <v>79</v>
      </c>
      <c r="R126" s="150">
        <f t="shared" si="24"/>
        <v>0</v>
      </c>
      <c r="S126"/>
    </row>
    <row r="127" spans="1:19" x14ac:dyDescent="0.25">
      <c r="A127" s="80" t="str">
        <f t="shared" si="34"/>
        <v>Fri</v>
      </c>
      <c r="B127" s="147">
        <f>IF(SUMIFS(CashFlow!$C$16:$C$40,CashFlow!$D$16:$D$40,CashFlowCalcs!$E127)&gt;0,SUMIFS(CashFlow!$C$16:$C$40,CashFlow!$D$16:$D$40,CashFlowCalcs!$E127),B126)</f>
        <v>2</v>
      </c>
      <c r="C127" s="147" t="str">
        <f t="shared" si="25"/>
        <v>N</v>
      </c>
      <c r="D127" s="80">
        <f t="shared" si="30"/>
        <v>80</v>
      </c>
      <c r="E127" s="81">
        <f t="shared" si="37"/>
        <v>44477</v>
      </c>
      <c r="F127" s="80">
        <f t="shared" si="32"/>
        <v>-2.5266272189349115</v>
      </c>
      <c r="G127" s="119">
        <f t="shared" si="26"/>
        <v>1.639365211998214E-2</v>
      </c>
      <c r="H127" s="125">
        <f t="shared" si="33"/>
        <v>44477</v>
      </c>
      <c r="I127" s="82">
        <f t="shared" si="21"/>
        <v>4.1095669574904077E-2</v>
      </c>
      <c r="J127" s="126">
        <f t="shared" si="27"/>
        <v>374785.28437015408</v>
      </c>
      <c r="K127" s="139">
        <f t="shared" si="22"/>
        <v>0</v>
      </c>
      <c r="L127" s="83">
        <f t="shared" si="20"/>
        <v>374785.28437015408</v>
      </c>
      <c r="M127" s="80">
        <f t="shared" si="28"/>
        <v>80</v>
      </c>
      <c r="N127" s="84">
        <f t="shared" si="36"/>
        <v>0</v>
      </c>
      <c r="O127" s="140">
        <f t="shared" si="23"/>
        <v>0</v>
      </c>
      <c r="P127" s="149">
        <v>0</v>
      </c>
      <c r="Q127" s="163">
        <f t="shared" si="29"/>
        <v>80</v>
      </c>
      <c r="R127" s="150">
        <f t="shared" si="24"/>
        <v>0</v>
      </c>
      <c r="S127"/>
    </row>
    <row r="128" spans="1:19" x14ac:dyDescent="0.25">
      <c r="A128" s="80" t="str">
        <f t="shared" si="34"/>
        <v>Sat</v>
      </c>
      <c r="B128" s="147">
        <f>IF(SUMIFS(CashFlow!$C$16:$C$40,CashFlow!$D$16:$D$40,CashFlowCalcs!$E128)&gt;0,SUMIFS(CashFlow!$C$16:$C$40,CashFlow!$D$16:$D$40,CashFlowCalcs!$E128),B127)</f>
        <v>2</v>
      </c>
      <c r="C128" s="147" t="str">
        <f t="shared" si="25"/>
        <v>Y</v>
      </c>
      <c r="D128" s="80">
        <f t="shared" si="30"/>
        <v>80</v>
      </c>
      <c r="E128" s="81">
        <f t="shared" si="37"/>
        <v>44478</v>
      </c>
      <c r="F128" s="80">
        <f t="shared" si="32"/>
        <v>-2.5266272189349115</v>
      </c>
      <c r="G128" s="119">
        <f t="shared" si="26"/>
        <v>1.639365211998214E-2</v>
      </c>
      <c r="H128" s="125">
        <f t="shared" si="33"/>
        <v>44478</v>
      </c>
      <c r="I128" s="82">
        <f t="shared" si="21"/>
        <v>4.1095669574904077E-2</v>
      </c>
      <c r="J128" s="126">
        <f t="shared" si="27"/>
        <v>374785.28437015408</v>
      </c>
      <c r="K128" s="139">
        <f t="shared" si="22"/>
        <v>0</v>
      </c>
      <c r="L128" s="83">
        <f t="shared" si="20"/>
        <v>374785.28437015408</v>
      </c>
      <c r="M128" s="80">
        <f t="shared" si="28"/>
        <v>80</v>
      </c>
      <c r="N128" s="84">
        <f t="shared" si="36"/>
        <v>0</v>
      </c>
      <c r="O128" s="140">
        <f t="shared" si="23"/>
        <v>0</v>
      </c>
      <c r="P128" s="149">
        <v>0</v>
      </c>
      <c r="Q128" s="163">
        <f t="shared" si="29"/>
        <v>80</v>
      </c>
      <c r="R128" s="150">
        <f t="shared" si="24"/>
        <v>0</v>
      </c>
      <c r="S128"/>
    </row>
    <row r="129" spans="1:19" x14ac:dyDescent="0.25">
      <c r="A129" s="80" t="str">
        <f t="shared" si="34"/>
        <v>Sun</v>
      </c>
      <c r="B129" s="147">
        <f>IF(SUMIFS(CashFlow!$C$16:$C$40,CashFlow!$D$16:$D$40,CashFlowCalcs!$E129)&gt;0,SUMIFS(CashFlow!$C$16:$C$40,CashFlow!$D$16:$D$40,CashFlowCalcs!$E129),B128)</f>
        <v>2</v>
      </c>
      <c r="C129" s="147" t="str">
        <f t="shared" si="25"/>
        <v>Y</v>
      </c>
      <c r="D129" s="80">
        <f t="shared" si="30"/>
        <v>80</v>
      </c>
      <c r="E129" s="81">
        <f t="shared" si="37"/>
        <v>44479</v>
      </c>
      <c r="F129" s="80">
        <f t="shared" si="32"/>
        <v>-2.5266272189349115</v>
      </c>
      <c r="G129" s="119">
        <f t="shared" si="26"/>
        <v>1.639365211998214E-2</v>
      </c>
      <c r="H129" s="125">
        <f t="shared" si="33"/>
        <v>44479</v>
      </c>
      <c r="I129" s="82">
        <f t="shared" si="21"/>
        <v>4.1095669574904077E-2</v>
      </c>
      <c r="J129" s="126">
        <f t="shared" si="27"/>
        <v>374785.28437015408</v>
      </c>
      <c r="K129" s="139">
        <f t="shared" si="22"/>
        <v>0</v>
      </c>
      <c r="L129" s="83">
        <f t="shared" si="20"/>
        <v>374785.28437015408</v>
      </c>
      <c r="M129" s="80">
        <f t="shared" si="28"/>
        <v>80</v>
      </c>
      <c r="N129" s="84">
        <f t="shared" si="36"/>
        <v>0</v>
      </c>
      <c r="O129" s="140">
        <f t="shared" si="23"/>
        <v>0</v>
      </c>
      <c r="P129" s="149">
        <v>0</v>
      </c>
      <c r="Q129" s="163">
        <f t="shared" si="29"/>
        <v>80</v>
      </c>
      <c r="R129" s="150">
        <f t="shared" si="24"/>
        <v>0</v>
      </c>
      <c r="S129"/>
    </row>
    <row r="130" spans="1:19" x14ac:dyDescent="0.25">
      <c r="A130" s="80" t="str">
        <f t="shared" si="34"/>
        <v>Mon</v>
      </c>
      <c r="B130" s="147">
        <f>IF(SUMIFS(CashFlow!$C$16:$C$40,CashFlow!$D$16:$D$40,CashFlowCalcs!$E130)&gt;0,SUMIFS(CashFlow!$C$16:$C$40,CashFlow!$D$16:$D$40,CashFlowCalcs!$E130),B129)</f>
        <v>2</v>
      </c>
      <c r="C130" s="147" t="str">
        <f t="shared" si="25"/>
        <v>N</v>
      </c>
      <c r="D130" s="80">
        <f t="shared" si="30"/>
        <v>81</v>
      </c>
      <c r="E130" s="81">
        <f t="shared" si="37"/>
        <v>44480</v>
      </c>
      <c r="F130" s="80">
        <f t="shared" si="32"/>
        <v>-2.5207100591715976</v>
      </c>
      <c r="G130" s="119">
        <f t="shared" si="26"/>
        <v>1.6640294683363865E-2</v>
      </c>
      <c r="H130" s="125">
        <f t="shared" si="33"/>
        <v>44480</v>
      </c>
      <c r="I130" s="82">
        <f t="shared" si="21"/>
        <v>4.1713954092207461E-2</v>
      </c>
      <c r="J130" s="126">
        <f t="shared" si="27"/>
        <v>380423.93051063985</v>
      </c>
      <c r="K130" s="139">
        <f t="shared" si="22"/>
        <v>0</v>
      </c>
      <c r="L130" s="83">
        <f t="shared" si="20"/>
        <v>380423.93051063985</v>
      </c>
      <c r="M130" s="80">
        <f t="shared" si="28"/>
        <v>81</v>
      </c>
      <c r="N130" s="84">
        <f t="shared" si="36"/>
        <v>0</v>
      </c>
      <c r="O130" s="140">
        <f t="shared" si="23"/>
        <v>0</v>
      </c>
      <c r="P130" s="149">
        <v>0</v>
      </c>
      <c r="Q130" s="163">
        <f t="shared" si="29"/>
        <v>81</v>
      </c>
      <c r="R130" s="150">
        <f t="shared" si="24"/>
        <v>0</v>
      </c>
      <c r="S130"/>
    </row>
    <row r="131" spans="1:19" x14ac:dyDescent="0.25">
      <c r="A131" s="80" t="str">
        <f t="shared" si="34"/>
        <v>Tues</v>
      </c>
      <c r="B131" s="147">
        <f>IF(SUMIFS(CashFlow!$C$16:$C$40,CashFlow!$D$16:$D$40,CashFlowCalcs!$E131)&gt;0,SUMIFS(CashFlow!$C$16:$C$40,CashFlow!$D$16:$D$40,CashFlowCalcs!$E131),B130)</f>
        <v>2</v>
      </c>
      <c r="C131" s="147" t="str">
        <f t="shared" si="25"/>
        <v>N</v>
      </c>
      <c r="D131" s="80">
        <f t="shared" si="30"/>
        <v>82</v>
      </c>
      <c r="E131" s="81">
        <f t="shared" si="37"/>
        <v>44481</v>
      </c>
      <c r="F131" s="80">
        <f t="shared" si="32"/>
        <v>-2.5147928994082842</v>
      </c>
      <c r="G131" s="119">
        <f t="shared" si="26"/>
        <v>1.6890056606939881E-2</v>
      </c>
      <c r="H131" s="125">
        <f t="shared" si="33"/>
        <v>44481</v>
      </c>
      <c r="I131" s="82">
        <f t="shared" si="21"/>
        <v>4.2340058233526982E-2</v>
      </c>
      <c r="J131" s="126">
        <f t="shared" si="27"/>
        <v>386133.89024793211</v>
      </c>
      <c r="K131" s="139">
        <f t="shared" si="22"/>
        <v>0</v>
      </c>
      <c r="L131" s="83">
        <f t="shared" si="20"/>
        <v>386133.89024793211</v>
      </c>
      <c r="M131" s="80">
        <f t="shared" si="28"/>
        <v>82</v>
      </c>
      <c r="N131" s="84">
        <f t="shared" si="36"/>
        <v>0</v>
      </c>
      <c r="O131" s="140">
        <f t="shared" si="23"/>
        <v>0</v>
      </c>
      <c r="P131" s="149">
        <v>0</v>
      </c>
      <c r="Q131" s="163">
        <f t="shared" si="29"/>
        <v>82</v>
      </c>
      <c r="R131" s="150">
        <f t="shared" si="24"/>
        <v>0</v>
      </c>
      <c r="S131"/>
    </row>
    <row r="132" spans="1:19" x14ac:dyDescent="0.25">
      <c r="A132" s="80" t="str">
        <f t="shared" si="34"/>
        <v>Wed</v>
      </c>
      <c r="B132" s="147">
        <f>IF(SUMIFS(CashFlow!$C$16:$C$40,CashFlow!$D$16:$D$40,CashFlowCalcs!$E132)&gt;0,SUMIFS(CashFlow!$C$16:$C$40,CashFlow!$D$16:$D$40,CashFlowCalcs!$E132),B131)</f>
        <v>2</v>
      </c>
      <c r="C132" s="147" t="str">
        <f t="shared" si="25"/>
        <v>N</v>
      </c>
      <c r="D132" s="80">
        <f t="shared" si="30"/>
        <v>83</v>
      </c>
      <c r="E132" s="81">
        <f t="shared" ref="E132:E147" si="38">E131+1</f>
        <v>44482</v>
      </c>
      <c r="F132" s="80">
        <f t="shared" si="32"/>
        <v>-2.5088757396449703</v>
      </c>
      <c r="G132" s="119">
        <f t="shared" si="26"/>
        <v>1.7142967089972861E-2</v>
      </c>
      <c r="H132" s="125">
        <f t="shared" si="33"/>
        <v>44482</v>
      </c>
      <c r="I132" s="82">
        <f t="shared" si="21"/>
        <v>4.2974055195685534E-2</v>
      </c>
      <c r="J132" s="126">
        <f t="shared" si="27"/>
        <v>391915.83112419199</v>
      </c>
      <c r="K132" s="139">
        <f t="shared" si="22"/>
        <v>0</v>
      </c>
      <c r="L132" s="83">
        <f t="shared" si="20"/>
        <v>391915.83112419199</v>
      </c>
      <c r="M132" s="80">
        <f t="shared" si="28"/>
        <v>83</v>
      </c>
      <c r="N132" s="84">
        <f t="shared" si="36"/>
        <v>0</v>
      </c>
      <c r="O132" s="140">
        <f t="shared" si="23"/>
        <v>0</v>
      </c>
      <c r="P132" s="149">
        <v>0</v>
      </c>
      <c r="Q132" s="163">
        <f t="shared" si="29"/>
        <v>83</v>
      </c>
      <c r="R132" s="150">
        <f t="shared" si="24"/>
        <v>0</v>
      </c>
      <c r="S132"/>
    </row>
    <row r="133" spans="1:19" x14ac:dyDescent="0.25">
      <c r="A133" s="80" t="str">
        <f t="shared" si="34"/>
        <v>Thu</v>
      </c>
      <c r="B133" s="147">
        <f>IF(SUMIFS(CashFlow!$C$16:$C$40,CashFlow!$D$16:$D$40,CashFlowCalcs!$E133)&gt;0,SUMIFS(CashFlow!$C$16:$C$40,CashFlow!$D$16:$D$40,CashFlowCalcs!$E133),B132)</f>
        <v>2</v>
      </c>
      <c r="C133" s="147" t="str">
        <f t="shared" si="25"/>
        <v>N</v>
      </c>
      <c r="D133" s="80">
        <f t="shared" si="30"/>
        <v>84</v>
      </c>
      <c r="E133" s="81">
        <f t="shared" si="38"/>
        <v>44483</v>
      </c>
      <c r="F133" s="80">
        <f t="shared" si="32"/>
        <v>-2.5029585798816569</v>
      </c>
      <c r="G133" s="119">
        <f t="shared" si="26"/>
        <v>1.7399055436282496E-2</v>
      </c>
      <c r="H133" s="125">
        <f t="shared" si="33"/>
        <v>44483</v>
      </c>
      <c r="I133" s="82">
        <f t="shared" si="21"/>
        <v>4.361601843760992E-2</v>
      </c>
      <c r="J133" s="126">
        <f t="shared" si="27"/>
        <v>397770.42307192221</v>
      </c>
      <c r="K133" s="139">
        <f t="shared" si="22"/>
        <v>0</v>
      </c>
      <c r="L133" s="83">
        <f t="shared" si="20"/>
        <v>397770.42307192221</v>
      </c>
      <c r="M133" s="80">
        <f t="shared" si="28"/>
        <v>84</v>
      </c>
      <c r="N133" s="84">
        <f t="shared" si="36"/>
        <v>0</v>
      </c>
      <c r="O133" s="140">
        <f t="shared" si="23"/>
        <v>0</v>
      </c>
      <c r="P133" s="149">
        <v>0</v>
      </c>
      <c r="Q133" s="163">
        <f t="shared" si="29"/>
        <v>84</v>
      </c>
      <c r="R133" s="150">
        <f t="shared" si="24"/>
        <v>0</v>
      </c>
      <c r="S133"/>
    </row>
    <row r="134" spans="1:19" x14ac:dyDescent="0.25">
      <c r="A134" s="80" t="str">
        <f t="shared" si="34"/>
        <v>Fri</v>
      </c>
      <c r="B134" s="147">
        <f>IF(SUMIFS(CashFlow!$C$16:$C$40,CashFlow!$D$16:$D$40,CashFlowCalcs!$E134)&gt;0,SUMIFS(CashFlow!$C$16:$C$40,CashFlow!$D$16:$D$40,CashFlowCalcs!$E134),B133)</f>
        <v>2</v>
      </c>
      <c r="C134" s="147" t="str">
        <f t="shared" si="25"/>
        <v>N</v>
      </c>
      <c r="D134" s="80">
        <f t="shared" si="30"/>
        <v>85</v>
      </c>
      <c r="E134" s="81">
        <f t="shared" si="38"/>
        <v>44484</v>
      </c>
      <c r="F134" s="80">
        <f t="shared" si="32"/>
        <v>-2.4970414201183431</v>
      </c>
      <c r="G134" s="119">
        <f t="shared" si="26"/>
        <v>1.7658351051676725E-2</v>
      </c>
      <c r="H134" s="125">
        <f t="shared" si="33"/>
        <v>44484</v>
      </c>
      <c r="I134" s="82">
        <f t="shared" si="21"/>
        <v>4.4266021673891494E-2</v>
      </c>
      <c r="J134" s="126">
        <f t="shared" si="27"/>
        <v>403698.33835524146</v>
      </c>
      <c r="K134" s="139">
        <f t="shared" si="22"/>
        <v>0</v>
      </c>
      <c r="L134" s="83">
        <f t="shared" si="20"/>
        <v>403698.33835524146</v>
      </c>
      <c r="M134" s="80">
        <f t="shared" si="28"/>
        <v>85</v>
      </c>
      <c r="N134" s="84">
        <f t="shared" si="36"/>
        <v>0</v>
      </c>
      <c r="O134" s="140">
        <f t="shared" si="23"/>
        <v>0</v>
      </c>
      <c r="P134" s="149">
        <v>0</v>
      </c>
      <c r="Q134" s="163">
        <f t="shared" si="29"/>
        <v>85</v>
      </c>
      <c r="R134" s="150">
        <f t="shared" si="24"/>
        <v>0</v>
      </c>
      <c r="S134"/>
    </row>
    <row r="135" spans="1:19" x14ac:dyDescent="0.25">
      <c r="A135" s="80" t="str">
        <f t="shared" si="34"/>
        <v>Sat</v>
      </c>
      <c r="B135" s="147">
        <f>IF(SUMIFS(CashFlow!$C$16:$C$40,CashFlow!$D$16:$D$40,CashFlowCalcs!$E135)&gt;0,SUMIFS(CashFlow!$C$16:$C$40,CashFlow!$D$16:$D$40,CashFlowCalcs!$E135),B134)</f>
        <v>2</v>
      </c>
      <c r="C135" s="147" t="str">
        <f t="shared" si="25"/>
        <v>Y</v>
      </c>
      <c r="D135" s="80">
        <f t="shared" si="30"/>
        <v>85</v>
      </c>
      <c r="E135" s="81">
        <f t="shared" si="38"/>
        <v>44485</v>
      </c>
      <c r="F135" s="80">
        <f t="shared" si="32"/>
        <v>-2.4970414201183431</v>
      </c>
      <c r="G135" s="119">
        <f t="shared" si="26"/>
        <v>1.7658351051676725E-2</v>
      </c>
      <c r="H135" s="125">
        <f t="shared" si="33"/>
        <v>44485</v>
      </c>
      <c r="I135" s="82">
        <f t="shared" si="21"/>
        <v>4.4266021673891494E-2</v>
      </c>
      <c r="J135" s="126">
        <f t="shared" si="27"/>
        <v>403698.33835524146</v>
      </c>
      <c r="K135" s="139">
        <f t="shared" si="22"/>
        <v>0</v>
      </c>
      <c r="L135" s="83">
        <f t="shared" si="20"/>
        <v>403698.33835524146</v>
      </c>
      <c r="M135" s="80">
        <f t="shared" si="28"/>
        <v>85</v>
      </c>
      <c r="N135" s="84">
        <f t="shared" si="36"/>
        <v>0</v>
      </c>
      <c r="O135" s="140">
        <f t="shared" si="23"/>
        <v>0</v>
      </c>
      <c r="P135" s="149">
        <v>0</v>
      </c>
      <c r="Q135" s="163">
        <f t="shared" si="29"/>
        <v>85</v>
      </c>
      <c r="R135" s="150">
        <f t="shared" si="24"/>
        <v>0</v>
      </c>
      <c r="S135"/>
    </row>
    <row r="136" spans="1:19" x14ac:dyDescent="0.25">
      <c r="A136" s="80" t="str">
        <f t="shared" si="34"/>
        <v>Sun</v>
      </c>
      <c r="B136" s="147">
        <f>IF(SUMIFS(CashFlow!$C$16:$C$40,CashFlow!$D$16:$D$40,CashFlowCalcs!$E136)&gt;0,SUMIFS(CashFlow!$C$16:$C$40,CashFlow!$D$16:$D$40,CashFlowCalcs!$E136),B135)</f>
        <v>2</v>
      </c>
      <c r="C136" s="147" t="str">
        <f t="shared" si="25"/>
        <v>Y</v>
      </c>
      <c r="D136" s="80">
        <f t="shared" si="30"/>
        <v>85</v>
      </c>
      <c r="E136" s="81">
        <f t="shared" si="38"/>
        <v>44486</v>
      </c>
      <c r="F136" s="80">
        <f t="shared" si="32"/>
        <v>-2.4970414201183431</v>
      </c>
      <c r="G136" s="119">
        <f t="shared" si="26"/>
        <v>1.7658351051676725E-2</v>
      </c>
      <c r="H136" s="125">
        <f t="shared" si="33"/>
        <v>44486</v>
      </c>
      <c r="I136" s="82">
        <f t="shared" si="21"/>
        <v>4.4266021673891494E-2</v>
      </c>
      <c r="J136" s="126">
        <f t="shared" si="27"/>
        <v>403698.33835524146</v>
      </c>
      <c r="K136" s="139">
        <f t="shared" si="22"/>
        <v>0</v>
      </c>
      <c r="L136" s="83">
        <f t="shared" si="20"/>
        <v>403698.33835524146</v>
      </c>
      <c r="M136" s="80">
        <f t="shared" si="28"/>
        <v>85</v>
      </c>
      <c r="N136" s="84">
        <f t="shared" si="36"/>
        <v>0</v>
      </c>
      <c r="O136" s="140">
        <f t="shared" si="23"/>
        <v>0</v>
      </c>
      <c r="P136" s="149">
        <v>0</v>
      </c>
      <c r="Q136" s="163">
        <f t="shared" si="29"/>
        <v>85</v>
      </c>
      <c r="R136" s="150">
        <f t="shared" si="24"/>
        <v>0</v>
      </c>
      <c r="S136"/>
    </row>
    <row r="137" spans="1:19" x14ac:dyDescent="0.25">
      <c r="A137" s="80" t="str">
        <f t="shared" si="34"/>
        <v>Mon</v>
      </c>
      <c r="B137" s="147">
        <f>IF(SUMIFS(CashFlow!$C$16:$C$40,CashFlow!$D$16:$D$40,CashFlowCalcs!$E137)&gt;0,SUMIFS(CashFlow!$C$16:$C$40,CashFlow!$D$16:$D$40,CashFlowCalcs!$E137),B136)</f>
        <v>2</v>
      </c>
      <c r="C137" s="147" t="str">
        <f t="shared" si="25"/>
        <v>N</v>
      </c>
      <c r="D137" s="80">
        <f t="shared" si="30"/>
        <v>86</v>
      </c>
      <c r="E137" s="81">
        <f t="shared" si="38"/>
        <v>44487</v>
      </c>
      <c r="F137" s="80">
        <f t="shared" si="32"/>
        <v>-2.4911242603550297</v>
      </c>
      <c r="G137" s="119">
        <f t="shared" si="26"/>
        <v>1.7920883441326172E-2</v>
      </c>
      <c r="H137" s="125">
        <f t="shared" si="33"/>
        <v>44487</v>
      </c>
      <c r="I137" s="82">
        <f t="shared" si="21"/>
        <v>4.4924138868204351E-2</v>
      </c>
      <c r="J137" s="126">
        <f t="shared" si="27"/>
        <v>409700.25150985899</v>
      </c>
      <c r="K137" s="139">
        <f t="shared" si="22"/>
        <v>0</v>
      </c>
      <c r="L137" s="83">
        <f t="shared" si="20"/>
        <v>409700.25150985899</v>
      </c>
      <c r="M137" s="80">
        <f t="shared" si="28"/>
        <v>86</v>
      </c>
      <c r="N137" s="84">
        <f t="shared" si="36"/>
        <v>0</v>
      </c>
      <c r="O137" s="140">
        <f t="shared" si="23"/>
        <v>0</v>
      </c>
      <c r="P137" s="149">
        <v>0</v>
      </c>
      <c r="Q137" s="163">
        <f t="shared" si="29"/>
        <v>86</v>
      </c>
      <c r="R137" s="150">
        <f t="shared" si="24"/>
        <v>0</v>
      </c>
      <c r="S137"/>
    </row>
    <row r="138" spans="1:19" x14ac:dyDescent="0.25">
      <c r="A138" s="80" t="str">
        <f t="shared" si="34"/>
        <v>Tues</v>
      </c>
      <c r="B138" s="147">
        <f>IF(SUMIFS(CashFlow!$C$16:$C$40,CashFlow!$D$16:$D$40,CashFlowCalcs!$E138)&gt;0,SUMIFS(CashFlow!$C$16:$C$40,CashFlow!$D$16:$D$40,CashFlowCalcs!$E138),B137)</f>
        <v>2</v>
      </c>
      <c r="C138" s="147" t="str">
        <f t="shared" si="25"/>
        <v>N</v>
      </c>
      <c r="D138" s="80">
        <f t="shared" si="30"/>
        <v>87</v>
      </c>
      <c r="E138" s="81">
        <f t="shared" si="38"/>
        <v>44488</v>
      </c>
      <c r="F138" s="80">
        <f t="shared" si="32"/>
        <v>-2.4852071005917162</v>
      </c>
      <c r="G138" s="119">
        <f t="shared" si="26"/>
        <v>1.8186682207082219E-2</v>
      </c>
      <c r="H138" s="125">
        <f t="shared" si="33"/>
        <v>44488</v>
      </c>
      <c r="I138" s="82">
        <f t="shared" si="21"/>
        <v>4.5590444226582282E-2</v>
      </c>
      <c r="J138" s="126">
        <f t="shared" si="27"/>
        <v>415776.83928176202</v>
      </c>
      <c r="K138" s="139">
        <f t="shared" si="22"/>
        <v>0</v>
      </c>
      <c r="L138" s="83">
        <f t="shared" si="20"/>
        <v>415776.83928176202</v>
      </c>
      <c r="M138" s="80">
        <f t="shared" si="28"/>
        <v>87</v>
      </c>
      <c r="N138" s="84">
        <f t="shared" si="36"/>
        <v>0</v>
      </c>
      <c r="O138" s="140">
        <f t="shared" si="23"/>
        <v>0</v>
      </c>
      <c r="P138" s="149">
        <v>0</v>
      </c>
      <c r="Q138" s="163">
        <f t="shared" si="29"/>
        <v>87</v>
      </c>
      <c r="R138" s="150">
        <f t="shared" si="24"/>
        <v>0</v>
      </c>
      <c r="S138"/>
    </row>
    <row r="139" spans="1:19" x14ac:dyDescent="0.25">
      <c r="A139" s="80" t="str">
        <f t="shared" si="34"/>
        <v>Wed</v>
      </c>
      <c r="B139" s="147">
        <f>IF(SUMIFS(CashFlow!$C$16:$C$40,CashFlow!$D$16:$D$40,CashFlowCalcs!$E139)&gt;0,SUMIFS(CashFlow!$C$16:$C$40,CashFlow!$D$16:$D$40,CashFlowCalcs!$E139),B138)</f>
        <v>2</v>
      </c>
      <c r="C139" s="147" t="str">
        <f t="shared" si="25"/>
        <v>N</v>
      </c>
      <c r="D139" s="80">
        <f t="shared" si="30"/>
        <v>88</v>
      </c>
      <c r="E139" s="81">
        <f t="shared" si="38"/>
        <v>44489</v>
      </c>
      <c r="F139" s="80">
        <f t="shared" si="32"/>
        <v>-2.4792899408284024</v>
      </c>
      <c r="G139" s="119">
        <f t="shared" si="26"/>
        <v>1.8455777044737953E-2</v>
      </c>
      <c r="H139" s="125">
        <f t="shared" si="33"/>
        <v>44489</v>
      </c>
      <c r="I139" s="82">
        <f t="shared" si="21"/>
        <v>4.6265012190552506E-2</v>
      </c>
      <c r="J139" s="126">
        <f t="shared" si="27"/>
        <v>421928.78056459647</v>
      </c>
      <c r="K139" s="139">
        <f t="shared" si="22"/>
        <v>0</v>
      </c>
      <c r="L139" s="83">
        <f t="shared" si="20"/>
        <v>421928.78056459647</v>
      </c>
      <c r="M139" s="80">
        <f t="shared" si="28"/>
        <v>88</v>
      </c>
      <c r="N139" s="84">
        <f t="shared" si="36"/>
        <v>0</v>
      </c>
      <c r="O139" s="140">
        <f t="shared" si="23"/>
        <v>0</v>
      </c>
      <c r="P139" s="149">
        <v>0</v>
      </c>
      <c r="Q139" s="163">
        <f t="shared" si="29"/>
        <v>88</v>
      </c>
      <c r="R139" s="150">
        <f t="shared" si="24"/>
        <v>0</v>
      </c>
      <c r="S139"/>
    </row>
    <row r="140" spans="1:19" x14ac:dyDescent="0.25">
      <c r="A140" s="80" t="str">
        <f t="shared" si="34"/>
        <v>Thu</v>
      </c>
      <c r="B140" s="147">
        <f>IF(SUMIFS(CashFlow!$C$16:$C$40,CashFlow!$D$16:$D$40,CashFlowCalcs!$E140)&gt;0,SUMIFS(CashFlow!$C$16:$C$40,CashFlow!$D$16:$D$40,CashFlowCalcs!$E140),B139)</f>
        <v>2</v>
      </c>
      <c r="C140" s="147" t="str">
        <f t="shared" si="25"/>
        <v>N</v>
      </c>
      <c r="D140" s="80">
        <f t="shared" si="30"/>
        <v>89</v>
      </c>
      <c r="E140" s="81">
        <f t="shared" si="38"/>
        <v>44490</v>
      </c>
      <c r="F140" s="80">
        <f t="shared" si="32"/>
        <v>-2.4733727810650885</v>
      </c>
      <c r="G140" s="119">
        <f t="shared" si="26"/>
        <v>1.8728197741231772E-2</v>
      </c>
      <c r="H140" s="125">
        <f t="shared" si="33"/>
        <v>44490</v>
      </c>
      <c r="I140" s="82">
        <f t="shared" si="21"/>
        <v>4.6947917430125649E-2</v>
      </c>
      <c r="J140" s="126">
        <f t="shared" si="27"/>
        <v>428156.75633573672</v>
      </c>
      <c r="K140" s="139">
        <f t="shared" si="22"/>
        <v>0</v>
      </c>
      <c r="L140" s="83">
        <f t="shared" ref="L140:L203" si="39">IF(AND(E140&gt;=$H$3,P140=0,E140&lt;=$I$1),J140+K140,0)</f>
        <v>428156.75633573672</v>
      </c>
      <c r="M140" s="80">
        <f t="shared" si="28"/>
        <v>89</v>
      </c>
      <c r="N140" s="84">
        <f t="shared" si="36"/>
        <v>0</v>
      </c>
      <c r="O140" s="140">
        <f t="shared" si="23"/>
        <v>0</v>
      </c>
      <c r="P140" s="149">
        <v>0</v>
      </c>
      <c r="Q140" s="163">
        <f t="shared" si="29"/>
        <v>89</v>
      </c>
      <c r="R140" s="150">
        <f t="shared" si="24"/>
        <v>0</v>
      </c>
      <c r="S140"/>
    </row>
    <row r="141" spans="1:19" x14ac:dyDescent="0.25">
      <c r="A141" s="80" t="str">
        <f t="shared" si="34"/>
        <v>Fri</v>
      </c>
      <c r="B141" s="147">
        <f>IF(SUMIFS(CashFlow!$C$16:$C$40,CashFlow!$D$16:$D$40,CashFlowCalcs!$E141)&gt;0,SUMIFS(CashFlow!$C$16:$C$40,CashFlow!$D$16:$D$40,CashFlowCalcs!$E141),B140)</f>
        <v>2</v>
      </c>
      <c r="C141" s="147" t="str">
        <f t="shared" si="25"/>
        <v>N</v>
      </c>
      <c r="D141" s="80">
        <f t="shared" si="30"/>
        <v>90</v>
      </c>
      <c r="E141" s="81">
        <f t="shared" si="38"/>
        <v>44491</v>
      </c>
      <c r="F141" s="80">
        <f t="shared" si="32"/>
        <v>-2.4674556213017751</v>
      </c>
      <c r="G141" s="119">
        <f t="shared" si="26"/>
        <v>1.9003974171793746E-2</v>
      </c>
      <c r="H141" s="125">
        <f t="shared" si="33"/>
        <v>44491</v>
      </c>
      <c r="I141" s="82">
        <f t="shared" si="21"/>
        <v>4.7639234836642244E-2</v>
      </c>
      <c r="J141" s="126">
        <f t="shared" si="27"/>
        <v>434461.44959104707</v>
      </c>
      <c r="K141" s="139">
        <f t="shared" si="22"/>
        <v>0</v>
      </c>
      <c r="L141" s="83">
        <f t="shared" si="39"/>
        <v>434461.44959104707</v>
      </c>
      <c r="M141" s="80">
        <f t="shared" si="28"/>
        <v>90</v>
      </c>
      <c r="N141" s="84">
        <f t="shared" si="36"/>
        <v>0</v>
      </c>
      <c r="O141" s="140">
        <f t="shared" si="23"/>
        <v>0</v>
      </c>
      <c r="P141" s="149">
        <v>0</v>
      </c>
      <c r="Q141" s="163">
        <f t="shared" si="29"/>
        <v>90</v>
      </c>
      <c r="R141" s="150">
        <f t="shared" si="24"/>
        <v>0</v>
      </c>
      <c r="S141"/>
    </row>
    <row r="142" spans="1:19" x14ac:dyDescent="0.25">
      <c r="A142" s="80" t="str">
        <f t="shared" si="34"/>
        <v>Sat</v>
      </c>
      <c r="B142" s="147">
        <f>IF(SUMIFS(CashFlow!$C$16:$C$40,CashFlow!$D$16:$D$40,CashFlowCalcs!$E142)&gt;0,SUMIFS(CashFlow!$C$16:$C$40,CashFlow!$D$16:$D$40,CashFlowCalcs!$E142),B141)</f>
        <v>2</v>
      </c>
      <c r="C142" s="147" t="str">
        <f t="shared" si="25"/>
        <v>Y</v>
      </c>
      <c r="D142" s="80">
        <f t="shared" si="30"/>
        <v>90</v>
      </c>
      <c r="E142" s="81">
        <f t="shared" si="38"/>
        <v>44492</v>
      </c>
      <c r="F142" s="80">
        <f t="shared" si="32"/>
        <v>-2.4674556213017751</v>
      </c>
      <c r="G142" s="119">
        <f t="shared" si="26"/>
        <v>1.9003974171793746E-2</v>
      </c>
      <c r="H142" s="125">
        <f t="shared" si="33"/>
        <v>44492</v>
      </c>
      <c r="I142" s="82">
        <f t="shared" si="21"/>
        <v>4.7639234836642244E-2</v>
      </c>
      <c r="J142" s="126">
        <f t="shared" si="27"/>
        <v>434461.44959104707</v>
      </c>
      <c r="K142" s="139">
        <f t="shared" si="22"/>
        <v>0</v>
      </c>
      <c r="L142" s="83">
        <f t="shared" si="39"/>
        <v>434461.44959104707</v>
      </c>
      <c r="M142" s="80">
        <f t="shared" si="28"/>
        <v>90</v>
      </c>
      <c r="N142" s="84">
        <f t="shared" si="36"/>
        <v>0</v>
      </c>
      <c r="O142" s="140">
        <f t="shared" si="23"/>
        <v>0</v>
      </c>
      <c r="P142" s="149">
        <v>0</v>
      </c>
      <c r="Q142" s="163">
        <f t="shared" si="29"/>
        <v>90</v>
      </c>
      <c r="R142" s="150">
        <f t="shared" si="24"/>
        <v>0</v>
      </c>
      <c r="S142"/>
    </row>
    <row r="143" spans="1:19" x14ac:dyDescent="0.25">
      <c r="A143" s="80" t="str">
        <f t="shared" si="34"/>
        <v>Sun</v>
      </c>
      <c r="B143" s="147">
        <f>IF(SUMIFS(CashFlow!$C$16:$C$40,CashFlow!$D$16:$D$40,CashFlowCalcs!$E143)&gt;0,SUMIFS(CashFlow!$C$16:$C$40,CashFlow!$D$16:$D$40,CashFlowCalcs!$E143),B142)</f>
        <v>2</v>
      </c>
      <c r="C143" s="147" t="str">
        <f t="shared" si="25"/>
        <v>Y</v>
      </c>
      <c r="D143" s="80">
        <f t="shared" si="30"/>
        <v>90</v>
      </c>
      <c r="E143" s="81">
        <f t="shared" si="38"/>
        <v>44493</v>
      </c>
      <c r="F143" s="80">
        <f t="shared" si="32"/>
        <v>-2.4674556213017751</v>
      </c>
      <c r="G143" s="119">
        <f t="shared" si="26"/>
        <v>1.9003974171793746E-2</v>
      </c>
      <c r="H143" s="125">
        <f t="shared" si="33"/>
        <v>44493</v>
      </c>
      <c r="I143" s="82">
        <f t="shared" si="21"/>
        <v>4.7639234836642244E-2</v>
      </c>
      <c r="J143" s="126">
        <f t="shared" si="27"/>
        <v>434461.44959104707</v>
      </c>
      <c r="K143" s="139">
        <f t="shared" si="22"/>
        <v>0</v>
      </c>
      <c r="L143" s="83">
        <f t="shared" si="39"/>
        <v>434461.44959104707</v>
      </c>
      <c r="M143" s="80">
        <f t="shared" si="28"/>
        <v>90</v>
      </c>
      <c r="N143" s="84">
        <f t="shared" si="36"/>
        <v>0</v>
      </c>
      <c r="O143" s="140">
        <f t="shared" si="23"/>
        <v>0</v>
      </c>
      <c r="P143" s="149">
        <v>0</v>
      </c>
      <c r="Q143" s="163">
        <f t="shared" si="29"/>
        <v>90</v>
      </c>
      <c r="R143" s="150">
        <f t="shared" si="24"/>
        <v>0</v>
      </c>
      <c r="S143"/>
    </row>
    <row r="144" spans="1:19" x14ac:dyDescent="0.25">
      <c r="A144" s="80" t="str">
        <f t="shared" si="34"/>
        <v>Mon</v>
      </c>
      <c r="B144" s="147">
        <f>IF(SUMIFS(CashFlow!$C$16:$C$40,CashFlow!$D$16:$D$40,CashFlowCalcs!$E144)&gt;0,SUMIFS(CashFlow!$C$16:$C$40,CashFlow!$D$16:$D$40,CashFlowCalcs!$E144),B143)</f>
        <v>2</v>
      </c>
      <c r="C144" s="147" t="str">
        <f t="shared" si="25"/>
        <v>N</v>
      </c>
      <c r="D144" s="80">
        <f t="shared" si="30"/>
        <v>91</v>
      </c>
      <c r="E144" s="81">
        <f t="shared" si="38"/>
        <v>44494</v>
      </c>
      <c r="F144" s="80">
        <f t="shared" si="32"/>
        <v>-2.4615384615384617</v>
      </c>
      <c r="G144" s="119">
        <f t="shared" si="26"/>
        <v>1.9283136297034049E-2</v>
      </c>
      <c r="H144" s="125">
        <f t="shared" si="33"/>
        <v>44494</v>
      </c>
      <c r="I144" s="82">
        <f t="shared" si="21"/>
        <v>4.8339039515473997E-2</v>
      </c>
      <c r="J144" s="126">
        <f t="shared" si="27"/>
        <v>440843.5452783184</v>
      </c>
      <c r="K144" s="139">
        <f t="shared" si="22"/>
        <v>0</v>
      </c>
      <c r="L144" s="83">
        <f t="shared" si="39"/>
        <v>440843.5452783184</v>
      </c>
      <c r="M144" s="80">
        <f t="shared" si="28"/>
        <v>91</v>
      </c>
      <c r="N144" s="84">
        <f t="shared" si="36"/>
        <v>0</v>
      </c>
      <c r="O144" s="140">
        <f t="shared" si="23"/>
        <v>0</v>
      </c>
      <c r="P144" s="149">
        <v>0</v>
      </c>
      <c r="Q144" s="163">
        <f t="shared" si="29"/>
        <v>91</v>
      </c>
      <c r="R144" s="150">
        <f t="shared" si="24"/>
        <v>0</v>
      </c>
      <c r="S144"/>
    </row>
    <row r="145" spans="1:19" x14ac:dyDescent="0.25">
      <c r="A145" s="80" t="str">
        <f t="shared" si="34"/>
        <v>Tues</v>
      </c>
      <c r="B145" s="147">
        <f>IF(SUMIFS(CashFlow!$C$16:$C$40,CashFlow!$D$16:$D$40,CashFlowCalcs!$E145)&gt;0,SUMIFS(CashFlow!$C$16:$C$40,CashFlow!$D$16:$D$40,CashFlowCalcs!$E145),B144)</f>
        <v>2</v>
      </c>
      <c r="C145" s="147" t="str">
        <f t="shared" si="25"/>
        <v>N</v>
      </c>
      <c r="D145" s="80">
        <f t="shared" si="30"/>
        <v>92</v>
      </c>
      <c r="E145" s="81">
        <f t="shared" si="38"/>
        <v>44495</v>
      </c>
      <c r="F145" s="80">
        <f t="shared" si="32"/>
        <v>-2.4556213017751478</v>
      </c>
      <c r="G145" s="119">
        <f t="shared" si="26"/>
        <v>1.956571415997346E-2</v>
      </c>
      <c r="H145" s="125">
        <f t="shared" si="33"/>
        <v>44495</v>
      </c>
      <c r="I145" s="82">
        <f t="shared" si="21"/>
        <v>4.9047406778579807E-2</v>
      </c>
      <c r="J145" s="126">
        <f t="shared" si="27"/>
        <v>447303.73022938054</v>
      </c>
      <c r="K145" s="139">
        <f t="shared" si="22"/>
        <v>0</v>
      </c>
      <c r="L145" s="83">
        <f t="shared" si="39"/>
        <v>447303.73022938054</v>
      </c>
      <c r="M145" s="80">
        <f t="shared" si="28"/>
        <v>92</v>
      </c>
      <c r="N145" s="84">
        <f t="shared" si="36"/>
        <v>0</v>
      </c>
      <c r="O145" s="140">
        <f t="shared" si="23"/>
        <v>0</v>
      </c>
      <c r="P145" s="149">
        <v>0</v>
      </c>
      <c r="Q145" s="163">
        <f t="shared" si="29"/>
        <v>92</v>
      </c>
      <c r="R145" s="150">
        <f t="shared" si="24"/>
        <v>0</v>
      </c>
      <c r="S145"/>
    </row>
    <row r="146" spans="1:19" x14ac:dyDescent="0.25">
      <c r="A146" s="80" t="str">
        <f t="shared" si="34"/>
        <v>Wed</v>
      </c>
      <c r="B146" s="147">
        <f>IF(SUMIFS(CashFlow!$C$16:$C$40,CashFlow!$D$16:$D$40,CashFlowCalcs!$E146)&gt;0,SUMIFS(CashFlow!$C$16:$C$40,CashFlow!$D$16:$D$40,CashFlowCalcs!$E146),B145)</f>
        <v>2</v>
      </c>
      <c r="C146" s="147" t="str">
        <f t="shared" si="25"/>
        <v>N</v>
      </c>
      <c r="D146" s="80">
        <f t="shared" si="30"/>
        <v>93</v>
      </c>
      <c r="E146" s="81">
        <f t="shared" si="38"/>
        <v>44496</v>
      </c>
      <c r="F146" s="80">
        <f t="shared" si="32"/>
        <v>-2.4497041420118344</v>
      </c>
      <c r="G146" s="119">
        <f t="shared" si="26"/>
        <v>1.9851737883015596E-2</v>
      </c>
      <c r="H146" s="125">
        <f t="shared" si="33"/>
        <v>44496</v>
      </c>
      <c r="I146" s="82">
        <f t="shared" ref="I146:I209" si="40">G146/VLOOKUP($J$5,$D$18:$G$750,4)</f>
        <v>4.9764412136915806E-2</v>
      </c>
      <c r="J146" s="126">
        <f t="shared" si="27"/>
        <v>453842.6930908832</v>
      </c>
      <c r="K146" s="139">
        <f t="shared" ref="K146:K209" si="41">N146*O146</f>
        <v>0</v>
      </c>
      <c r="L146" s="83">
        <f t="shared" si="39"/>
        <v>453842.6930908832</v>
      </c>
      <c r="M146" s="80">
        <f t="shared" si="28"/>
        <v>93</v>
      </c>
      <c r="N146" s="84">
        <f t="shared" si="36"/>
        <v>0</v>
      </c>
      <c r="O146" s="140">
        <f t="shared" ref="O146:O209" si="42">IF(E146&lt;$J$6,0,IF(E146&gt;=$I$1,0,($J$5-D146)/($J$5-VLOOKUP($J$6,$H$17:$M$750,6))))</f>
        <v>0</v>
      </c>
      <c r="P146" s="149">
        <v>0</v>
      </c>
      <c r="Q146" s="163">
        <f t="shared" si="29"/>
        <v>93</v>
      </c>
      <c r="R146" s="150">
        <f t="shared" ref="R146:R177" si="43">IF(OR(E146&lt;$J$6+1,E146&gt;$I$1),0,1)</f>
        <v>0</v>
      </c>
      <c r="S146"/>
    </row>
    <row r="147" spans="1:19" s="74" customFormat="1" x14ac:dyDescent="0.25">
      <c r="A147" s="80" t="str">
        <f t="shared" si="34"/>
        <v>Thu</v>
      </c>
      <c r="B147" s="147">
        <f>IF(SUMIFS(CashFlow!$C$16:$C$40,CashFlow!$D$16:$D$40,CashFlowCalcs!$E147)&gt;0,SUMIFS(CashFlow!$C$16:$C$40,CashFlow!$D$16:$D$40,CashFlowCalcs!$E147),B146)</f>
        <v>2</v>
      </c>
      <c r="C147" s="147" t="str">
        <f t="shared" ref="C147:C210" si="44">IF(LEFT(A147,1)="S","Y","N")</f>
        <v>N</v>
      </c>
      <c r="D147" s="80">
        <f t="shared" si="30"/>
        <v>94</v>
      </c>
      <c r="E147" s="85">
        <f t="shared" si="38"/>
        <v>44497</v>
      </c>
      <c r="F147" s="80">
        <f t="shared" si="32"/>
        <v>-2.443786982248521</v>
      </c>
      <c r="G147" s="121">
        <f t="shared" ref="G147:G210" si="45">NORMDIST(F147,0,1,0)</f>
        <v>2.0141237664860902E-2</v>
      </c>
      <c r="H147" s="129">
        <f t="shared" si="33"/>
        <v>44497</v>
      </c>
      <c r="I147" s="86">
        <f t="shared" si="40"/>
        <v>5.0490131292699289E-2</v>
      </c>
      <c r="J147" s="130">
        <f t="shared" ref="J147:J210" si="46">(I147*$G$8)+$G$7</f>
        <v>460461.12425374414</v>
      </c>
      <c r="K147" s="143">
        <f t="shared" si="41"/>
        <v>0</v>
      </c>
      <c r="L147" s="83">
        <f t="shared" si="39"/>
        <v>460461.12425374414</v>
      </c>
      <c r="M147" s="80">
        <f t="shared" ref="M147:M210" si="47">D147</f>
        <v>94</v>
      </c>
      <c r="N147" s="87">
        <f t="shared" si="36"/>
        <v>0</v>
      </c>
      <c r="O147" s="144">
        <f t="shared" si="42"/>
        <v>0</v>
      </c>
      <c r="P147" s="149">
        <v>0</v>
      </c>
      <c r="Q147" s="163">
        <f t="shared" ref="Q147:Q210" si="48">D147</f>
        <v>94</v>
      </c>
      <c r="R147" s="150">
        <f t="shared" si="43"/>
        <v>0</v>
      </c>
    </row>
    <row r="148" spans="1:19" x14ac:dyDescent="0.25">
      <c r="A148" s="80" t="str">
        <f t="shared" si="34"/>
        <v>Fri</v>
      </c>
      <c r="B148" s="147">
        <f>IF(SUMIFS(CashFlow!$C$16:$C$40,CashFlow!$D$16:$D$40,CashFlowCalcs!$E148)&gt;0,SUMIFS(CashFlow!$C$16:$C$40,CashFlow!$D$16:$D$40,CashFlowCalcs!$E148),B147)</f>
        <v>2</v>
      </c>
      <c r="C148" s="147" t="str">
        <f t="shared" si="44"/>
        <v>N</v>
      </c>
      <c r="D148" s="80">
        <f t="shared" ref="D148:D211" si="49">IF($C148="N",$D147+1,$D147)</f>
        <v>95</v>
      </c>
      <c r="E148" s="81">
        <f t="shared" ref="E148:E163" si="50">E147+1</f>
        <v>44498</v>
      </c>
      <c r="F148" s="80">
        <f t="shared" ref="F148:F211" si="51">$F$18+((((D148)/($J$5+2)*3)))</f>
        <v>-2.4378698224852071</v>
      </c>
      <c r="G148" s="119">
        <f t="shared" si="45"/>
        <v>2.043424377736185E-2</v>
      </c>
      <c r="H148" s="125">
        <f t="shared" ref="H148:H211" si="52">H147+1</f>
        <v>44498</v>
      </c>
      <c r="I148" s="82">
        <f t="shared" si="40"/>
        <v>5.1224640131525327E-2</v>
      </c>
      <c r="J148" s="126">
        <f t="shared" si="46"/>
        <v>467159.71578125429</v>
      </c>
      <c r="K148" s="139">
        <f t="shared" si="41"/>
        <v>0</v>
      </c>
      <c r="L148" s="83">
        <f t="shared" si="39"/>
        <v>467159.71578125429</v>
      </c>
      <c r="M148" s="80">
        <f t="shared" si="47"/>
        <v>95</v>
      </c>
      <c r="N148" s="84">
        <f t="shared" si="36"/>
        <v>0</v>
      </c>
      <c r="O148" s="140">
        <f t="shared" si="42"/>
        <v>0</v>
      </c>
      <c r="P148" s="149">
        <v>0</v>
      </c>
      <c r="Q148" s="163">
        <f t="shared" si="48"/>
        <v>95</v>
      </c>
      <c r="R148" s="150">
        <f t="shared" si="43"/>
        <v>0</v>
      </c>
      <c r="S148"/>
    </row>
    <row r="149" spans="1:19" x14ac:dyDescent="0.25">
      <c r="A149" s="80" t="str">
        <f t="shared" si="34"/>
        <v>Sat</v>
      </c>
      <c r="B149" s="147">
        <f>IF(SUMIFS(CashFlow!$C$16:$C$40,CashFlow!$D$16:$D$40,CashFlowCalcs!$E149)&gt;0,SUMIFS(CashFlow!$C$16:$C$40,CashFlow!$D$16:$D$40,CashFlowCalcs!$E149),B148)</f>
        <v>2</v>
      </c>
      <c r="C149" s="147" t="str">
        <f t="shared" si="44"/>
        <v>Y</v>
      </c>
      <c r="D149" s="80">
        <f t="shared" si="49"/>
        <v>95</v>
      </c>
      <c r="E149" s="81">
        <f t="shared" si="50"/>
        <v>44499</v>
      </c>
      <c r="F149" s="80">
        <f t="shared" si="51"/>
        <v>-2.4378698224852071</v>
      </c>
      <c r="G149" s="119">
        <f t="shared" si="45"/>
        <v>2.043424377736185E-2</v>
      </c>
      <c r="H149" s="125">
        <f t="shared" si="52"/>
        <v>44499</v>
      </c>
      <c r="I149" s="82">
        <f t="shared" si="40"/>
        <v>5.1224640131525327E-2</v>
      </c>
      <c r="J149" s="126">
        <f t="shared" si="46"/>
        <v>467159.71578125429</v>
      </c>
      <c r="K149" s="139">
        <f t="shared" si="41"/>
        <v>0</v>
      </c>
      <c r="L149" s="83">
        <f t="shared" si="39"/>
        <v>467159.71578125429</v>
      </c>
      <c r="M149" s="80">
        <f t="shared" si="47"/>
        <v>95</v>
      </c>
      <c r="N149" s="84">
        <f t="shared" si="36"/>
        <v>0</v>
      </c>
      <c r="O149" s="140">
        <f t="shared" si="42"/>
        <v>0</v>
      </c>
      <c r="P149" s="149">
        <v>0</v>
      </c>
      <c r="Q149" s="163">
        <f t="shared" si="48"/>
        <v>95</v>
      </c>
      <c r="R149" s="150">
        <f t="shared" si="43"/>
        <v>0</v>
      </c>
      <c r="S149"/>
    </row>
    <row r="150" spans="1:19" x14ac:dyDescent="0.25">
      <c r="A150" s="80" t="str">
        <f t="shared" si="34"/>
        <v>Sun</v>
      </c>
      <c r="B150" s="147">
        <f>IF(SUMIFS(CashFlow!$C$16:$C$40,CashFlow!$D$16:$D$40,CashFlowCalcs!$E150)&gt;0,SUMIFS(CashFlow!$C$16:$C$40,CashFlow!$D$16:$D$40,CashFlowCalcs!$E150),B149)</f>
        <v>4</v>
      </c>
      <c r="C150" s="147" t="str">
        <f t="shared" si="44"/>
        <v>Y</v>
      </c>
      <c r="D150" s="80">
        <f t="shared" si="49"/>
        <v>95</v>
      </c>
      <c r="E150" s="81">
        <f t="shared" si="50"/>
        <v>44500</v>
      </c>
      <c r="F150" s="80">
        <f t="shared" si="51"/>
        <v>-2.4378698224852071</v>
      </c>
      <c r="G150" s="119">
        <f t="shared" si="45"/>
        <v>2.043424377736185E-2</v>
      </c>
      <c r="H150" s="125">
        <f t="shared" si="52"/>
        <v>44500</v>
      </c>
      <c r="I150" s="82">
        <f t="shared" si="40"/>
        <v>5.1224640131525327E-2</v>
      </c>
      <c r="J150" s="126">
        <f t="shared" si="46"/>
        <v>467159.71578125429</v>
      </c>
      <c r="K150" s="139">
        <f t="shared" si="41"/>
        <v>0</v>
      </c>
      <c r="L150" s="83">
        <f t="shared" si="39"/>
        <v>467159.71578125429</v>
      </c>
      <c r="M150" s="80">
        <f t="shared" si="47"/>
        <v>95</v>
      </c>
      <c r="N150" s="84">
        <f t="shared" si="36"/>
        <v>0</v>
      </c>
      <c r="O150" s="140">
        <f t="shared" si="42"/>
        <v>0</v>
      </c>
      <c r="P150" s="149">
        <v>0</v>
      </c>
      <c r="Q150" s="163">
        <f t="shared" si="48"/>
        <v>95</v>
      </c>
      <c r="R150" s="150">
        <f t="shared" si="43"/>
        <v>0</v>
      </c>
      <c r="S150"/>
    </row>
    <row r="151" spans="1:19" x14ac:dyDescent="0.25">
      <c r="A151" s="80" t="str">
        <f t="shared" si="34"/>
        <v>Mon</v>
      </c>
      <c r="B151" s="147">
        <f>IF(SUMIFS(CashFlow!$C$16:$C$40,CashFlow!$D$16:$D$40,CashFlowCalcs!$E151)&gt;0,SUMIFS(CashFlow!$C$16:$C$40,CashFlow!$D$16:$D$40,CashFlowCalcs!$E151),B150)</f>
        <v>4</v>
      </c>
      <c r="C151" s="147" t="str">
        <f t="shared" si="44"/>
        <v>N</v>
      </c>
      <c r="D151" s="80">
        <f t="shared" si="49"/>
        <v>96</v>
      </c>
      <c r="E151" s="81">
        <f t="shared" si="50"/>
        <v>44501</v>
      </c>
      <c r="F151" s="80">
        <f t="shared" si="51"/>
        <v>-2.4319526627218933</v>
      </c>
      <c r="G151" s="119">
        <f t="shared" si="45"/>
        <v>2.0730786562319321E-2</v>
      </c>
      <c r="H151" s="125">
        <f t="shared" si="52"/>
        <v>44501</v>
      </c>
      <c r="I151" s="82">
        <f t="shared" si="40"/>
        <v>5.1968014714335937E-2</v>
      </c>
      <c r="J151" s="126">
        <f t="shared" si="46"/>
        <v>473939.16133583785</v>
      </c>
      <c r="K151" s="139">
        <f t="shared" si="41"/>
        <v>0</v>
      </c>
      <c r="L151" s="83">
        <f t="shared" si="39"/>
        <v>473939.16133583785</v>
      </c>
      <c r="M151" s="80">
        <f t="shared" si="47"/>
        <v>96</v>
      </c>
      <c r="N151" s="84">
        <f t="shared" si="36"/>
        <v>0</v>
      </c>
      <c r="O151" s="140">
        <f t="shared" si="42"/>
        <v>0</v>
      </c>
      <c r="P151" s="149">
        <v>0</v>
      </c>
      <c r="Q151" s="163">
        <f t="shared" si="48"/>
        <v>96</v>
      </c>
      <c r="R151" s="150">
        <f t="shared" si="43"/>
        <v>0</v>
      </c>
      <c r="S151"/>
    </row>
    <row r="152" spans="1:19" x14ac:dyDescent="0.25">
      <c r="A152" s="80" t="str">
        <f t="shared" si="34"/>
        <v>Tues</v>
      </c>
      <c r="B152" s="147">
        <f>IF(SUMIFS(CashFlow!$C$16:$C$40,CashFlow!$D$16:$D$40,CashFlowCalcs!$E152)&gt;0,SUMIFS(CashFlow!$C$16:$C$40,CashFlow!$D$16:$D$40,CashFlowCalcs!$E152),B151)</f>
        <v>4</v>
      </c>
      <c r="C152" s="147" t="str">
        <f t="shared" si="44"/>
        <v>N</v>
      </c>
      <c r="D152" s="80">
        <f t="shared" si="49"/>
        <v>97</v>
      </c>
      <c r="E152" s="81">
        <f t="shared" si="50"/>
        <v>44502</v>
      </c>
      <c r="F152" s="80">
        <f t="shared" si="51"/>
        <v>-2.4260355029585798</v>
      </c>
      <c r="G152" s="119">
        <f t="shared" si="45"/>
        <v>2.1030896428220099E-2</v>
      </c>
      <c r="H152" s="125">
        <f t="shared" si="52"/>
        <v>44502</v>
      </c>
      <c r="I152" s="82">
        <f t="shared" si="40"/>
        <v>5.2720331269241617E-2</v>
      </c>
      <c r="J152" s="126">
        <f t="shared" si="46"/>
        <v>480800.1561044663</v>
      </c>
      <c r="K152" s="139">
        <f t="shared" si="41"/>
        <v>0</v>
      </c>
      <c r="L152" s="83">
        <f t="shared" si="39"/>
        <v>480800.1561044663</v>
      </c>
      <c r="M152" s="80">
        <f t="shared" si="47"/>
        <v>97</v>
      </c>
      <c r="N152" s="84">
        <f t="shared" si="36"/>
        <v>0</v>
      </c>
      <c r="O152" s="140">
        <f t="shared" si="42"/>
        <v>0</v>
      </c>
      <c r="P152" s="149">
        <v>0</v>
      </c>
      <c r="Q152" s="163">
        <f t="shared" si="48"/>
        <v>97</v>
      </c>
      <c r="R152" s="150">
        <f t="shared" si="43"/>
        <v>0</v>
      </c>
      <c r="S152"/>
    </row>
    <row r="153" spans="1:19" x14ac:dyDescent="0.25">
      <c r="A153" s="80" t="str">
        <f t="shared" si="34"/>
        <v>Wed</v>
      </c>
      <c r="B153" s="147">
        <f>IF(SUMIFS(CashFlow!$C$16:$C$40,CashFlow!$D$16:$D$40,CashFlowCalcs!$E153)&gt;0,SUMIFS(CashFlow!$C$16:$C$40,CashFlow!$D$16:$D$40,CashFlowCalcs!$E153),B152)</f>
        <v>4</v>
      </c>
      <c r="C153" s="147" t="str">
        <f t="shared" si="44"/>
        <v>N</v>
      </c>
      <c r="D153" s="80">
        <f t="shared" si="49"/>
        <v>98</v>
      </c>
      <c r="E153" s="81">
        <f t="shared" si="50"/>
        <v>44503</v>
      </c>
      <c r="F153" s="80">
        <f t="shared" si="51"/>
        <v>-2.4201183431952664</v>
      </c>
      <c r="G153" s="119">
        <f t="shared" si="45"/>
        <v>2.1334603846915184E-2</v>
      </c>
      <c r="H153" s="125">
        <f t="shared" si="52"/>
        <v>44503</v>
      </c>
      <c r="I153" s="82">
        <f t="shared" si="40"/>
        <v>5.3481666183194512E-2</v>
      </c>
      <c r="J153" s="126">
        <f t="shared" si="46"/>
        <v>487743.3967227189</v>
      </c>
      <c r="K153" s="139">
        <f t="shared" si="41"/>
        <v>0</v>
      </c>
      <c r="L153" s="83">
        <f t="shared" si="39"/>
        <v>487743.3967227189</v>
      </c>
      <c r="M153" s="80">
        <f t="shared" si="47"/>
        <v>98</v>
      </c>
      <c r="N153" s="84">
        <f t="shared" si="36"/>
        <v>0</v>
      </c>
      <c r="O153" s="140">
        <f t="shared" si="42"/>
        <v>0</v>
      </c>
      <c r="P153" s="149">
        <v>0</v>
      </c>
      <c r="Q153" s="163">
        <f t="shared" si="48"/>
        <v>98</v>
      </c>
      <c r="R153" s="150">
        <f t="shared" si="43"/>
        <v>0</v>
      </c>
      <c r="S153"/>
    </row>
    <row r="154" spans="1:19" x14ac:dyDescent="0.25">
      <c r="A154" s="80" t="str">
        <f t="shared" ref="A154:A217" si="53">A147</f>
        <v>Thu</v>
      </c>
      <c r="B154" s="147">
        <f>IF(SUMIFS(CashFlow!$C$16:$C$40,CashFlow!$D$16:$D$40,CashFlowCalcs!$E154)&gt;0,SUMIFS(CashFlow!$C$16:$C$40,CashFlow!$D$16:$D$40,CashFlowCalcs!$E154),B153)</f>
        <v>4</v>
      </c>
      <c r="C154" s="147" t="str">
        <f t="shared" si="44"/>
        <v>N</v>
      </c>
      <c r="D154" s="80">
        <f t="shared" si="49"/>
        <v>99</v>
      </c>
      <c r="E154" s="81">
        <f t="shared" si="50"/>
        <v>44504</v>
      </c>
      <c r="F154" s="80">
        <f t="shared" si="51"/>
        <v>-2.4142011834319526</v>
      </c>
      <c r="G154" s="119">
        <f t="shared" si="45"/>
        <v>2.1641939350238757E-2</v>
      </c>
      <c r="H154" s="125">
        <f t="shared" si="52"/>
        <v>44504</v>
      </c>
      <c r="I154" s="82">
        <f t="shared" si="40"/>
        <v>5.4252095993512835E-2</v>
      </c>
      <c r="J154" s="126">
        <f t="shared" si="46"/>
        <v>494769.58119748713</v>
      </c>
      <c r="K154" s="139">
        <f t="shared" si="41"/>
        <v>0</v>
      </c>
      <c r="L154" s="83">
        <f t="shared" si="39"/>
        <v>494769.58119748713</v>
      </c>
      <c r="M154" s="80">
        <f t="shared" si="47"/>
        <v>99</v>
      </c>
      <c r="N154" s="84">
        <f t="shared" si="36"/>
        <v>0</v>
      </c>
      <c r="O154" s="140">
        <f t="shared" si="42"/>
        <v>0</v>
      </c>
      <c r="P154" s="149">
        <v>0</v>
      </c>
      <c r="Q154" s="163">
        <f t="shared" si="48"/>
        <v>99</v>
      </c>
      <c r="R154" s="150">
        <f t="shared" si="43"/>
        <v>0</v>
      </c>
      <c r="S154"/>
    </row>
    <row r="155" spans="1:19" x14ac:dyDescent="0.25">
      <c r="A155" s="80" t="str">
        <f t="shared" si="53"/>
        <v>Fri</v>
      </c>
      <c r="B155" s="147">
        <f>IF(SUMIFS(CashFlow!$C$16:$C$40,CashFlow!$D$16:$D$40,CashFlowCalcs!$E155)&gt;0,SUMIFS(CashFlow!$C$16:$C$40,CashFlow!$D$16:$D$40,CashFlowCalcs!$E155),B154)</f>
        <v>4</v>
      </c>
      <c r="C155" s="147" t="str">
        <f t="shared" si="44"/>
        <v>N</v>
      </c>
      <c r="D155" s="80">
        <f t="shared" si="49"/>
        <v>100</v>
      </c>
      <c r="E155" s="81">
        <f t="shared" si="50"/>
        <v>44505</v>
      </c>
      <c r="F155" s="80">
        <f t="shared" si="51"/>
        <v>-2.4082840236686391</v>
      </c>
      <c r="G155" s="119">
        <f t="shared" si="45"/>
        <v>2.1952933526567533E-2</v>
      </c>
      <c r="H155" s="125">
        <f t="shared" si="52"/>
        <v>44505</v>
      </c>
      <c r="I155" s="82">
        <f t="shared" si="40"/>
        <v>5.5031697379255839E-2</v>
      </c>
      <c r="J155" s="126">
        <f t="shared" si="46"/>
        <v>501879.40882831579</v>
      </c>
      <c r="K155" s="139">
        <f t="shared" si="41"/>
        <v>0</v>
      </c>
      <c r="L155" s="83">
        <f t="shared" si="39"/>
        <v>501879.40882831579</v>
      </c>
      <c r="M155" s="80">
        <f t="shared" si="47"/>
        <v>100</v>
      </c>
      <c r="N155" s="84">
        <f t="shared" si="36"/>
        <v>0</v>
      </c>
      <c r="O155" s="140">
        <f t="shared" si="42"/>
        <v>0</v>
      </c>
      <c r="P155" s="149">
        <v>0</v>
      </c>
      <c r="Q155" s="163">
        <f t="shared" si="48"/>
        <v>100</v>
      </c>
      <c r="R155" s="150">
        <f t="shared" si="43"/>
        <v>0</v>
      </c>
      <c r="S155"/>
    </row>
    <row r="156" spans="1:19" x14ac:dyDescent="0.25">
      <c r="A156" s="80" t="str">
        <f t="shared" si="53"/>
        <v>Sat</v>
      </c>
      <c r="B156" s="147">
        <f>IF(SUMIFS(CashFlow!$C$16:$C$40,CashFlow!$D$16:$D$40,CashFlowCalcs!$E156)&gt;0,SUMIFS(CashFlow!$C$16:$C$40,CashFlow!$D$16:$D$40,CashFlowCalcs!$E156),B155)</f>
        <v>4</v>
      </c>
      <c r="C156" s="147" t="str">
        <f t="shared" si="44"/>
        <v>Y</v>
      </c>
      <c r="D156" s="80">
        <f t="shared" si="49"/>
        <v>100</v>
      </c>
      <c r="E156" s="81">
        <f t="shared" si="50"/>
        <v>44506</v>
      </c>
      <c r="F156" s="80">
        <f t="shared" si="51"/>
        <v>-2.4082840236686391</v>
      </c>
      <c r="G156" s="119">
        <f t="shared" si="45"/>
        <v>2.1952933526567533E-2</v>
      </c>
      <c r="H156" s="125">
        <f t="shared" si="52"/>
        <v>44506</v>
      </c>
      <c r="I156" s="82">
        <f t="shared" si="40"/>
        <v>5.5031697379255839E-2</v>
      </c>
      <c r="J156" s="126">
        <f t="shared" si="46"/>
        <v>501879.40882831579</v>
      </c>
      <c r="K156" s="139">
        <f t="shared" si="41"/>
        <v>0</v>
      </c>
      <c r="L156" s="83">
        <f t="shared" si="39"/>
        <v>501879.40882831579</v>
      </c>
      <c r="M156" s="80">
        <f t="shared" si="47"/>
        <v>100</v>
      </c>
      <c r="N156" s="84">
        <f t="shared" si="36"/>
        <v>0</v>
      </c>
      <c r="O156" s="140">
        <f t="shared" si="42"/>
        <v>0</v>
      </c>
      <c r="P156" s="149">
        <v>0</v>
      </c>
      <c r="Q156" s="163">
        <f t="shared" si="48"/>
        <v>100</v>
      </c>
      <c r="R156" s="150">
        <f t="shared" si="43"/>
        <v>0</v>
      </c>
      <c r="S156"/>
    </row>
    <row r="157" spans="1:19" x14ac:dyDescent="0.25">
      <c r="A157" s="80" t="str">
        <f t="shared" si="53"/>
        <v>Sun</v>
      </c>
      <c r="B157" s="147">
        <f>IF(SUMIFS(CashFlow!$C$16:$C$40,CashFlow!$D$16:$D$40,CashFlowCalcs!$E157)&gt;0,SUMIFS(CashFlow!$C$16:$C$40,CashFlow!$D$16:$D$40,CashFlowCalcs!$E157),B156)</f>
        <v>4</v>
      </c>
      <c r="C157" s="147" t="str">
        <f t="shared" si="44"/>
        <v>Y</v>
      </c>
      <c r="D157" s="80">
        <f t="shared" si="49"/>
        <v>100</v>
      </c>
      <c r="E157" s="81">
        <f t="shared" si="50"/>
        <v>44507</v>
      </c>
      <c r="F157" s="80">
        <f t="shared" si="51"/>
        <v>-2.4082840236686391</v>
      </c>
      <c r="G157" s="119">
        <f t="shared" si="45"/>
        <v>2.1952933526567533E-2</v>
      </c>
      <c r="H157" s="125">
        <f t="shared" si="52"/>
        <v>44507</v>
      </c>
      <c r="I157" s="82">
        <f t="shared" si="40"/>
        <v>5.5031697379255839E-2</v>
      </c>
      <c r="J157" s="126">
        <f t="shared" si="46"/>
        <v>501879.40882831579</v>
      </c>
      <c r="K157" s="139">
        <f t="shared" si="41"/>
        <v>0</v>
      </c>
      <c r="L157" s="83">
        <f t="shared" si="39"/>
        <v>501879.40882831579</v>
      </c>
      <c r="M157" s="80">
        <f t="shared" si="47"/>
        <v>100</v>
      </c>
      <c r="N157" s="84">
        <f t="shared" si="36"/>
        <v>0</v>
      </c>
      <c r="O157" s="140">
        <f t="shared" si="42"/>
        <v>0</v>
      </c>
      <c r="P157" s="149">
        <v>0</v>
      </c>
      <c r="Q157" s="163">
        <f t="shared" si="48"/>
        <v>100</v>
      </c>
      <c r="R157" s="150">
        <f t="shared" si="43"/>
        <v>0</v>
      </c>
      <c r="S157"/>
    </row>
    <row r="158" spans="1:19" x14ac:dyDescent="0.25">
      <c r="A158" s="80" t="str">
        <f t="shared" si="53"/>
        <v>Mon</v>
      </c>
      <c r="B158" s="147">
        <f>IF(SUMIFS(CashFlow!$C$16:$C$40,CashFlow!$D$16:$D$40,CashFlowCalcs!$E158)&gt;0,SUMIFS(CashFlow!$C$16:$C$40,CashFlow!$D$16:$D$40,CashFlowCalcs!$E158),B157)</f>
        <v>4</v>
      </c>
      <c r="C158" s="147" t="str">
        <f t="shared" si="44"/>
        <v>N</v>
      </c>
      <c r="D158" s="80">
        <f t="shared" si="49"/>
        <v>101</v>
      </c>
      <c r="E158" s="81">
        <f t="shared" si="50"/>
        <v>44508</v>
      </c>
      <c r="F158" s="80">
        <f t="shared" si="51"/>
        <v>-2.4023668639053257</v>
      </c>
      <c r="G158" s="119">
        <f t="shared" si="45"/>
        <v>2.2267617017320881E-2</v>
      </c>
      <c r="H158" s="125">
        <f t="shared" si="52"/>
        <v>44508</v>
      </c>
      <c r="I158" s="82">
        <f t="shared" si="40"/>
        <v>5.5820547152450307E-2</v>
      </c>
      <c r="J158" s="126">
        <f t="shared" si="46"/>
        <v>509073.58012739022</v>
      </c>
      <c r="K158" s="139">
        <f t="shared" si="41"/>
        <v>0</v>
      </c>
      <c r="L158" s="83">
        <f t="shared" si="39"/>
        <v>509073.58012739022</v>
      </c>
      <c r="M158" s="80">
        <f t="shared" si="47"/>
        <v>101</v>
      </c>
      <c r="N158" s="84">
        <f t="shared" si="36"/>
        <v>0</v>
      </c>
      <c r="O158" s="140">
        <f t="shared" si="42"/>
        <v>0</v>
      </c>
      <c r="P158" s="149">
        <v>0</v>
      </c>
      <c r="Q158" s="163">
        <f t="shared" si="48"/>
        <v>101</v>
      </c>
      <c r="R158" s="150">
        <f t="shared" si="43"/>
        <v>0</v>
      </c>
      <c r="S158"/>
    </row>
    <row r="159" spans="1:19" x14ac:dyDescent="0.25">
      <c r="A159" s="80" t="str">
        <f t="shared" si="53"/>
        <v>Tues</v>
      </c>
      <c r="B159" s="147">
        <f>IF(SUMIFS(CashFlow!$C$16:$C$40,CashFlow!$D$16:$D$40,CashFlowCalcs!$E159)&gt;0,SUMIFS(CashFlow!$C$16:$C$40,CashFlow!$D$16:$D$40,CashFlowCalcs!$E159),B158)</f>
        <v>4</v>
      </c>
      <c r="C159" s="147" t="str">
        <f t="shared" si="44"/>
        <v>N</v>
      </c>
      <c r="D159" s="80">
        <f t="shared" si="49"/>
        <v>102</v>
      </c>
      <c r="E159" s="81">
        <f t="shared" si="50"/>
        <v>44509</v>
      </c>
      <c r="F159" s="80">
        <f t="shared" si="51"/>
        <v>-2.3964497041420119</v>
      </c>
      <c r="G159" s="119">
        <f t="shared" si="45"/>
        <v>2.2586020513400914E-2</v>
      </c>
      <c r="H159" s="125">
        <f t="shared" si="52"/>
        <v>44509</v>
      </c>
      <c r="I159" s="82">
        <f t="shared" si="40"/>
        <v>5.6618722249166559E-2</v>
      </c>
      <c r="J159" s="126">
        <f t="shared" si="46"/>
        <v>516352.79673815094</v>
      </c>
      <c r="K159" s="139">
        <f t="shared" si="41"/>
        <v>0</v>
      </c>
      <c r="L159" s="83">
        <f t="shared" si="39"/>
        <v>516352.79673815094</v>
      </c>
      <c r="M159" s="80">
        <f t="shared" si="47"/>
        <v>102</v>
      </c>
      <c r="N159" s="84">
        <f t="shared" si="36"/>
        <v>0</v>
      </c>
      <c r="O159" s="140">
        <f t="shared" si="42"/>
        <v>0</v>
      </c>
      <c r="P159" s="149">
        <v>0</v>
      </c>
      <c r="Q159" s="163">
        <f t="shared" si="48"/>
        <v>102</v>
      </c>
      <c r="R159" s="150">
        <f t="shared" si="43"/>
        <v>0</v>
      </c>
      <c r="S159"/>
    </row>
    <row r="160" spans="1:19" x14ac:dyDescent="0.25">
      <c r="A160" s="80" t="str">
        <f t="shared" si="53"/>
        <v>Wed</v>
      </c>
      <c r="B160" s="147">
        <f>IF(SUMIFS(CashFlow!$C$16:$C$40,CashFlow!$D$16:$D$40,CashFlowCalcs!$E160)&gt;0,SUMIFS(CashFlow!$C$16:$C$40,CashFlow!$D$16:$D$40,CashFlowCalcs!$E160),B159)</f>
        <v>4</v>
      </c>
      <c r="C160" s="147" t="str">
        <f t="shared" si="44"/>
        <v>N</v>
      </c>
      <c r="D160" s="80">
        <f t="shared" si="49"/>
        <v>103</v>
      </c>
      <c r="E160" s="81">
        <f t="shared" si="50"/>
        <v>44510</v>
      </c>
      <c r="F160" s="80">
        <f t="shared" si="51"/>
        <v>-2.390532544378698</v>
      </c>
      <c r="G160" s="119">
        <f t="shared" si="45"/>
        <v>2.2908174751572839E-2</v>
      </c>
      <c r="H160" s="125">
        <f t="shared" si="52"/>
        <v>44510</v>
      </c>
      <c r="I160" s="82">
        <f t="shared" si="40"/>
        <v>5.7426299720444683E-2</v>
      </c>
      <c r="J160" s="126">
        <f t="shared" si="46"/>
        <v>523717.76135254261</v>
      </c>
      <c r="K160" s="139">
        <f t="shared" si="41"/>
        <v>0</v>
      </c>
      <c r="L160" s="83">
        <f t="shared" si="39"/>
        <v>523717.76135254261</v>
      </c>
      <c r="M160" s="80">
        <f t="shared" si="47"/>
        <v>103</v>
      </c>
      <c r="N160" s="84">
        <f t="shared" si="36"/>
        <v>0</v>
      </c>
      <c r="O160" s="140">
        <f t="shared" si="42"/>
        <v>0</v>
      </c>
      <c r="P160" s="149">
        <v>0</v>
      </c>
      <c r="Q160" s="163">
        <f t="shared" si="48"/>
        <v>103</v>
      </c>
      <c r="R160" s="150">
        <f t="shared" si="43"/>
        <v>0</v>
      </c>
      <c r="S160"/>
    </row>
    <row r="161" spans="1:19" x14ac:dyDescent="0.25">
      <c r="A161" s="80" t="str">
        <f t="shared" si="53"/>
        <v>Thu</v>
      </c>
      <c r="B161" s="147">
        <f>IF(SUMIFS(CashFlow!$C$16:$C$40,CashFlow!$D$16:$D$40,CashFlowCalcs!$E161)&gt;0,SUMIFS(CashFlow!$C$16:$C$40,CashFlow!$D$16:$D$40,CashFlowCalcs!$E161),B160)</f>
        <v>4</v>
      </c>
      <c r="C161" s="147" t="str">
        <f t="shared" si="44"/>
        <v>N</v>
      </c>
      <c r="D161" s="80">
        <f t="shared" si="49"/>
        <v>104</v>
      </c>
      <c r="E161" s="81">
        <f t="shared" si="50"/>
        <v>44511</v>
      </c>
      <c r="F161" s="80">
        <f t="shared" si="51"/>
        <v>-2.3846153846153846</v>
      </c>
      <c r="G161" s="119">
        <f t="shared" si="45"/>
        <v>2.3234110510785506E-2</v>
      </c>
      <c r="H161" s="125">
        <f t="shared" si="52"/>
        <v>44511</v>
      </c>
      <c r="I161" s="82">
        <f t="shared" si="40"/>
        <v>5.8243356723070884E-2</v>
      </c>
      <c r="J161" s="126">
        <f t="shared" si="46"/>
        <v>531169.17762689595</v>
      </c>
      <c r="K161" s="139">
        <f t="shared" si="41"/>
        <v>0</v>
      </c>
      <c r="L161" s="83">
        <f t="shared" si="39"/>
        <v>531169.17762689595</v>
      </c>
      <c r="M161" s="80">
        <f t="shared" si="47"/>
        <v>104</v>
      </c>
      <c r="N161" s="84">
        <f t="shared" si="36"/>
        <v>0</v>
      </c>
      <c r="O161" s="140">
        <f t="shared" si="42"/>
        <v>0</v>
      </c>
      <c r="P161" s="149">
        <v>0</v>
      </c>
      <c r="Q161" s="163">
        <f t="shared" si="48"/>
        <v>104</v>
      </c>
      <c r="R161" s="150">
        <f t="shared" si="43"/>
        <v>0</v>
      </c>
      <c r="S161"/>
    </row>
    <row r="162" spans="1:19" x14ac:dyDescent="0.25">
      <c r="A162" s="80" t="str">
        <f t="shared" si="53"/>
        <v>Fri</v>
      </c>
      <c r="B162" s="147">
        <f>IF(SUMIFS(CashFlow!$C$16:$C$40,CashFlow!$D$16:$D$40,CashFlowCalcs!$E162)&gt;0,SUMIFS(CashFlow!$C$16:$C$40,CashFlow!$D$16:$D$40,CashFlowCalcs!$E162),B161)</f>
        <v>4</v>
      </c>
      <c r="C162" s="147" t="str">
        <f t="shared" si="44"/>
        <v>N</v>
      </c>
      <c r="D162" s="80">
        <f t="shared" si="49"/>
        <v>105</v>
      </c>
      <c r="E162" s="81">
        <f t="shared" si="50"/>
        <v>44512</v>
      </c>
      <c r="F162" s="80">
        <f t="shared" si="51"/>
        <v>-2.3786982248520712</v>
      </c>
      <c r="G162" s="119">
        <f t="shared" si="45"/>
        <v>2.3563858608431909E-2</v>
      </c>
      <c r="H162" s="125">
        <f t="shared" si="52"/>
        <v>44512</v>
      </c>
      <c r="I162" s="82">
        <f t="shared" si="40"/>
        <v>5.9069970510203296E-2</v>
      </c>
      <c r="J162" s="126">
        <f t="shared" si="46"/>
        <v>538707.75009643659</v>
      </c>
      <c r="K162" s="139">
        <f t="shared" si="41"/>
        <v>0</v>
      </c>
      <c r="L162" s="83">
        <f t="shared" si="39"/>
        <v>538707.75009643659</v>
      </c>
      <c r="M162" s="80">
        <f t="shared" si="47"/>
        <v>105</v>
      </c>
      <c r="N162" s="84">
        <f t="shared" si="36"/>
        <v>0</v>
      </c>
      <c r="O162" s="140">
        <f t="shared" si="42"/>
        <v>0</v>
      </c>
      <c r="P162" s="149">
        <v>0</v>
      </c>
      <c r="Q162" s="163">
        <f t="shared" si="48"/>
        <v>105</v>
      </c>
      <c r="R162" s="150">
        <f t="shared" si="43"/>
        <v>0</v>
      </c>
      <c r="S162"/>
    </row>
    <row r="163" spans="1:19" x14ac:dyDescent="0.25">
      <c r="A163" s="80" t="str">
        <f t="shared" si="53"/>
        <v>Sat</v>
      </c>
      <c r="B163" s="147">
        <f>IF(SUMIFS(CashFlow!$C$16:$C$40,CashFlow!$D$16:$D$40,CashFlowCalcs!$E163)&gt;0,SUMIFS(CashFlow!$C$16:$C$40,CashFlow!$D$16:$D$40,CashFlowCalcs!$E163),B162)</f>
        <v>4</v>
      </c>
      <c r="C163" s="147" t="str">
        <f t="shared" si="44"/>
        <v>Y</v>
      </c>
      <c r="D163" s="80">
        <f t="shared" si="49"/>
        <v>105</v>
      </c>
      <c r="E163" s="81">
        <f t="shared" si="50"/>
        <v>44513</v>
      </c>
      <c r="F163" s="80">
        <f t="shared" si="51"/>
        <v>-2.3786982248520712</v>
      </c>
      <c r="G163" s="119">
        <f t="shared" si="45"/>
        <v>2.3563858608431909E-2</v>
      </c>
      <c r="H163" s="125">
        <f t="shared" si="52"/>
        <v>44513</v>
      </c>
      <c r="I163" s="82">
        <f t="shared" si="40"/>
        <v>5.9069970510203296E-2</v>
      </c>
      <c r="J163" s="126">
        <f t="shared" si="46"/>
        <v>538707.75009643659</v>
      </c>
      <c r="K163" s="139">
        <f t="shared" si="41"/>
        <v>0</v>
      </c>
      <c r="L163" s="83">
        <f t="shared" si="39"/>
        <v>538707.75009643659</v>
      </c>
      <c r="M163" s="80">
        <f t="shared" si="47"/>
        <v>105</v>
      </c>
      <c r="N163" s="84">
        <f t="shared" si="36"/>
        <v>0</v>
      </c>
      <c r="O163" s="140">
        <f t="shared" si="42"/>
        <v>0</v>
      </c>
      <c r="P163" s="149">
        <v>0</v>
      </c>
      <c r="Q163" s="163">
        <f t="shared" si="48"/>
        <v>105</v>
      </c>
      <c r="R163" s="150">
        <f t="shared" si="43"/>
        <v>0</v>
      </c>
      <c r="S163"/>
    </row>
    <row r="164" spans="1:19" x14ac:dyDescent="0.25">
      <c r="A164" s="80" t="str">
        <f t="shared" si="53"/>
        <v>Sun</v>
      </c>
      <c r="B164" s="147">
        <f>IF(SUMIFS(CashFlow!$C$16:$C$40,CashFlow!$D$16:$D$40,CashFlowCalcs!$E164)&gt;0,SUMIFS(CashFlow!$C$16:$C$40,CashFlow!$D$16:$D$40,CashFlowCalcs!$E164),B163)</f>
        <v>4</v>
      </c>
      <c r="C164" s="147" t="str">
        <f t="shared" si="44"/>
        <v>Y</v>
      </c>
      <c r="D164" s="80">
        <f t="shared" si="49"/>
        <v>105</v>
      </c>
      <c r="E164" s="81">
        <f t="shared" ref="E164:E179" si="54">E163+1</f>
        <v>44514</v>
      </c>
      <c r="F164" s="80">
        <f t="shared" si="51"/>
        <v>-2.3786982248520712</v>
      </c>
      <c r="G164" s="119">
        <f t="shared" si="45"/>
        <v>2.3563858608431909E-2</v>
      </c>
      <c r="H164" s="125">
        <f t="shared" si="52"/>
        <v>44514</v>
      </c>
      <c r="I164" s="82">
        <f t="shared" si="40"/>
        <v>5.9069970510203296E-2</v>
      </c>
      <c r="J164" s="126">
        <f t="shared" si="46"/>
        <v>538707.75009643659</v>
      </c>
      <c r="K164" s="139">
        <f t="shared" si="41"/>
        <v>0</v>
      </c>
      <c r="L164" s="83">
        <f t="shared" si="39"/>
        <v>538707.75009643659</v>
      </c>
      <c r="M164" s="80">
        <f t="shared" si="47"/>
        <v>105</v>
      </c>
      <c r="N164" s="84">
        <f t="shared" ref="N164:N227" si="55">IF(E164&lt;$J$6,0,IF(E164&gt;=$I$1,0,1))*$I$10</f>
        <v>0</v>
      </c>
      <c r="O164" s="140">
        <f t="shared" si="42"/>
        <v>0</v>
      </c>
      <c r="P164" s="149">
        <v>0</v>
      </c>
      <c r="Q164" s="163">
        <f t="shared" si="48"/>
        <v>105</v>
      </c>
      <c r="R164" s="150">
        <f t="shared" si="43"/>
        <v>0</v>
      </c>
      <c r="S164"/>
    </row>
    <row r="165" spans="1:19" x14ac:dyDescent="0.25">
      <c r="A165" s="80" t="str">
        <f t="shared" si="53"/>
        <v>Mon</v>
      </c>
      <c r="B165" s="147">
        <f>IF(SUMIFS(CashFlow!$C$16:$C$40,CashFlow!$D$16:$D$40,CashFlowCalcs!$E165)&gt;0,SUMIFS(CashFlow!$C$16:$C$40,CashFlow!$D$16:$D$40,CashFlowCalcs!$E165),B164)</f>
        <v>4</v>
      </c>
      <c r="C165" s="147" t="str">
        <f t="shared" si="44"/>
        <v>N</v>
      </c>
      <c r="D165" s="80">
        <f t="shared" si="49"/>
        <v>106</v>
      </c>
      <c r="E165" s="81">
        <f t="shared" si="54"/>
        <v>44515</v>
      </c>
      <c r="F165" s="80">
        <f t="shared" si="51"/>
        <v>-2.3727810650887573</v>
      </c>
      <c r="G165" s="119">
        <f t="shared" si="45"/>
        <v>2.38974498965496E-2</v>
      </c>
      <c r="H165" s="125">
        <f t="shared" si="52"/>
        <v>44515</v>
      </c>
      <c r="I165" s="82">
        <f t="shared" si="40"/>
        <v>5.9906218421847172E-2</v>
      </c>
      <c r="J165" s="126">
        <f t="shared" si="46"/>
        <v>546334.1840884207</v>
      </c>
      <c r="K165" s="139">
        <f t="shared" si="41"/>
        <v>0</v>
      </c>
      <c r="L165" s="83">
        <f t="shared" si="39"/>
        <v>546334.1840884207</v>
      </c>
      <c r="M165" s="80">
        <f t="shared" si="47"/>
        <v>106</v>
      </c>
      <c r="N165" s="84">
        <f t="shared" si="55"/>
        <v>0</v>
      </c>
      <c r="O165" s="140">
        <f t="shared" si="42"/>
        <v>0</v>
      </c>
      <c r="P165" s="149">
        <v>0</v>
      </c>
      <c r="Q165" s="163">
        <f t="shared" si="48"/>
        <v>106</v>
      </c>
      <c r="R165" s="150">
        <f t="shared" si="43"/>
        <v>0</v>
      </c>
      <c r="S165"/>
    </row>
    <row r="166" spans="1:19" x14ac:dyDescent="0.25">
      <c r="A166" s="80" t="str">
        <f t="shared" si="53"/>
        <v>Tues</v>
      </c>
      <c r="B166" s="147">
        <f>IF(SUMIFS(CashFlow!$C$16:$C$40,CashFlow!$D$16:$D$40,CashFlowCalcs!$E166)&gt;0,SUMIFS(CashFlow!$C$16:$C$40,CashFlow!$D$16:$D$40,CashFlowCalcs!$E166),B165)</f>
        <v>4</v>
      </c>
      <c r="C166" s="147" t="str">
        <f t="shared" si="44"/>
        <v>N</v>
      </c>
      <c r="D166" s="80">
        <f t="shared" si="49"/>
        <v>107</v>
      </c>
      <c r="E166" s="81">
        <f t="shared" si="54"/>
        <v>44516</v>
      </c>
      <c r="F166" s="80">
        <f t="shared" si="51"/>
        <v>-2.3668639053254439</v>
      </c>
      <c r="G166" s="119">
        <f t="shared" si="45"/>
        <v>2.4234915257960985E-2</v>
      </c>
      <c r="H166" s="125">
        <f t="shared" si="52"/>
        <v>44516</v>
      </c>
      <c r="I166" s="82">
        <f t="shared" si="40"/>
        <v>6.0752177875179343E-2</v>
      </c>
      <c r="J166" s="126">
        <f t="shared" si="46"/>
        <v>554049.1856338958</v>
      </c>
      <c r="K166" s="139">
        <f t="shared" si="41"/>
        <v>0</v>
      </c>
      <c r="L166" s="83">
        <f t="shared" si="39"/>
        <v>554049.1856338958</v>
      </c>
      <c r="M166" s="80">
        <f t="shared" si="47"/>
        <v>107</v>
      </c>
      <c r="N166" s="84">
        <f t="shared" si="55"/>
        <v>0</v>
      </c>
      <c r="O166" s="140">
        <f t="shared" si="42"/>
        <v>0</v>
      </c>
      <c r="P166" s="149">
        <v>0</v>
      </c>
      <c r="Q166" s="163">
        <f t="shared" si="48"/>
        <v>107</v>
      </c>
      <c r="R166" s="150">
        <f t="shared" si="43"/>
        <v>0</v>
      </c>
      <c r="S166"/>
    </row>
    <row r="167" spans="1:19" x14ac:dyDescent="0.25">
      <c r="A167" s="80" t="str">
        <f t="shared" si="53"/>
        <v>Wed</v>
      </c>
      <c r="B167" s="147">
        <f>IF(SUMIFS(CashFlow!$C$16:$C$40,CashFlow!$D$16:$D$40,CashFlowCalcs!$E167)&gt;0,SUMIFS(CashFlow!$C$16:$C$40,CashFlow!$D$16:$D$40,CashFlowCalcs!$E167),B166)</f>
        <v>4</v>
      </c>
      <c r="C167" s="147" t="str">
        <f t="shared" si="44"/>
        <v>N</v>
      </c>
      <c r="D167" s="80">
        <f t="shared" si="49"/>
        <v>108</v>
      </c>
      <c r="E167" s="81">
        <f t="shared" si="54"/>
        <v>44517</v>
      </c>
      <c r="F167" s="80">
        <f t="shared" si="51"/>
        <v>-2.36094674556213</v>
      </c>
      <c r="G167" s="119">
        <f t="shared" si="45"/>
        <v>2.4576285602353681E-2</v>
      </c>
      <c r="H167" s="125">
        <f t="shared" si="52"/>
        <v>44517</v>
      </c>
      <c r="I167" s="82">
        <f t="shared" si="40"/>
        <v>6.1607926354722453E-2</v>
      </c>
      <c r="J167" s="126">
        <f t="shared" si="46"/>
        <v>561853.46137809113</v>
      </c>
      <c r="K167" s="139">
        <f t="shared" si="41"/>
        <v>0</v>
      </c>
      <c r="L167" s="83">
        <f t="shared" si="39"/>
        <v>561853.46137809113</v>
      </c>
      <c r="M167" s="80">
        <f t="shared" si="47"/>
        <v>108</v>
      </c>
      <c r="N167" s="84">
        <f t="shared" si="55"/>
        <v>0</v>
      </c>
      <c r="O167" s="140">
        <f t="shared" si="42"/>
        <v>0</v>
      </c>
      <c r="P167" s="149">
        <v>0</v>
      </c>
      <c r="Q167" s="163">
        <f t="shared" si="48"/>
        <v>108</v>
      </c>
      <c r="R167" s="150">
        <f t="shared" si="43"/>
        <v>0</v>
      </c>
      <c r="S167"/>
    </row>
    <row r="168" spans="1:19" x14ac:dyDescent="0.25">
      <c r="A168" s="80" t="str">
        <f t="shared" si="53"/>
        <v>Thu</v>
      </c>
      <c r="B168" s="147">
        <f>IF(SUMIFS(CashFlow!$C$16:$C$40,CashFlow!$D$16:$D$40,CashFlowCalcs!$E168)&gt;0,SUMIFS(CashFlow!$C$16:$C$40,CashFlow!$D$16:$D$40,CashFlowCalcs!$E168),B167)</f>
        <v>4</v>
      </c>
      <c r="C168" s="147" t="str">
        <f t="shared" si="44"/>
        <v>N</v>
      </c>
      <c r="D168" s="80">
        <f t="shared" si="49"/>
        <v>109</v>
      </c>
      <c r="E168" s="81">
        <f t="shared" si="54"/>
        <v>44518</v>
      </c>
      <c r="F168" s="80">
        <f t="shared" si="51"/>
        <v>-2.3550295857988166</v>
      </c>
      <c r="G168" s="119">
        <f t="shared" si="45"/>
        <v>2.4921591862300377E-2</v>
      </c>
      <c r="H168" s="125">
        <f t="shared" si="52"/>
        <v>44518</v>
      </c>
      <c r="I168" s="82">
        <f t="shared" si="40"/>
        <v>6.2473541402367543E-2</v>
      </c>
      <c r="J168" s="126">
        <f t="shared" si="46"/>
        <v>569747.71848942596</v>
      </c>
      <c r="K168" s="139">
        <f t="shared" si="41"/>
        <v>0</v>
      </c>
      <c r="L168" s="83">
        <f t="shared" si="39"/>
        <v>569747.71848942596</v>
      </c>
      <c r="M168" s="80">
        <f t="shared" si="47"/>
        <v>109</v>
      </c>
      <c r="N168" s="84">
        <f t="shared" si="55"/>
        <v>0</v>
      </c>
      <c r="O168" s="140">
        <f t="shared" si="42"/>
        <v>0</v>
      </c>
      <c r="P168" s="149">
        <v>0</v>
      </c>
      <c r="Q168" s="163">
        <f t="shared" si="48"/>
        <v>109</v>
      </c>
      <c r="R168" s="150">
        <f t="shared" si="43"/>
        <v>0</v>
      </c>
      <c r="S168"/>
    </row>
    <row r="169" spans="1:19" x14ac:dyDescent="0.25">
      <c r="A169" s="80" t="str">
        <f t="shared" si="53"/>
        <v>Fri</v>
      </c>
      <c r="B169" s="147">
        <f>IF(SUMIFS(CashFlow!$C$16:$C$40,CashFlow!$D$16:$D$40,CashFlowCalcs!$E169)&gt;0,SUMIFS(CashFlow!$C$16:$C$40,CashFlow!$D$16:$D$40,CashFlowCalcs!$E169),B168)</f>
        <v>4</v>
      </c>
      <c r="C169" s="147" t="str">
        <f t="shared" si="44"/>
        <v>N</v>
      </c>
      <c r="D169" s="80">
        <f t="shared" si="49"/>
        <v>110</v>
      </c>
      <c r="E169" s="81">
        <f t="shared" si="54"/>
        <v>44519</v>
      </c>
      <c r="F169" s="80">
        <f t="shared" si="51"/>
        <v>-2.3491124260355027</v>
      </c>
      <c r="G169" s="119">
        <f t="shared" si="45"/>
        <v>2.5270864989218912E-2</v>
      </c>
      <c r="H169" s="125">
        <f t="shared" si="52"/>
        <v>44519</v>
      </c>
      <c r="I169" s="82">
        <f t="shared" si="40"/>
        <v>6.3349100607246744E-2</v>
      </c>
      <c r="J169" s="126">
        <f t="shared" si="46"/>
        <v>577732.66456714959</v>
      </c>
      <c r="K169" s="139">
        <f t="shared" si="41"/>
        <v>0</v>
      </c>
      <c r="L169" s="83">
        <f t="shared" si="39"/>
        <v>577732.66456714959</v>
      </c>
      <c r="M169" s="80">
        <f t="shared" si="47"/>
        <v>110</v>
      </c>
      <c r="N169" s="84">
        <f t="shared" si="55"/>
        <v>0</v>
      </c>
      <c r="O169" s="140">
        <f t="shared" si="42"/>
        <v>0</v>
      </c>
      <c r="P169" s="149">
        <v>0</v>
      </c>
      <c r="Q169" s="163">
        <f t="shared" si="48"/>
        <v>110</v>
      </c>
      <c r="R169" s="150">
        <f t="shared" si="43"/>
        <v>0</v>
      </c>
      <c r="S169"/>
    </row>
    <row r="170" spans="1:19" x14ac:dyDescent="0.25">
      <c r="A170" s="80" t="str">
        <f t="shared" si="53"/>
        <v>Sat</v>
      </c>
      <c r="B170" s="147">
        <f>IF(SUMIFS(CashFlow!$C$16:$C$40,CashFlow!$D$16:$D$40,CashFlowCalcs!$E170)&gt;0,SUMIFS(CashFlow!$C$16:$C$40,CashFlow!$D$16:$D$40,CashFlowCalcs!$E170),B169)</f>
        <v>4</v>
      </c>
      <c r="C170" s="147" t="str">
        <f t="shared" si="44"/>
        <v>Y</v>
      </c>
      <c r="D170" s="80">
        <f t="shared" si="49"/>
        <v>110</v>
      </c>
      <c r="E170" s="81">
        <f t="shared" si="54"/>
        <v>44520</v>
      </c>
      <c r="F170" s="80">
        <f t="shared" si="51"/>
        <v>-2.3491124260355027</v>
      </c>
      <c r="G170" s="119">
        <f t="shared" si="45"/>
        <v>2.5270864989218912E-2</v>
      </c>
      <c r="H170" s="125">
        <f t="shared" si="52"/>
        <v>44520</v>
      </c>
      <c r="I170" s="82">
        <f t="shared" si="40"/>
        <v>6.3349100607246744E-2</v>
      </c>
      <c r="J170" s="126">
        <f t="shared" si="46"/>
        <v>577732.66456714959</v>
      </c>
      <c r="K170" s="139">
        <f t="shared" si="41"/>
        <v>0</v>
      </c>
      <c r="L170" s="83">
        <f t="shared" si="39"/>
        <v>577732.66456714959</v>
      </c>
      <c r="M170" s="80">
        <f t="shared" si="47"/>
        <v>110</v>
      </c>
      <c r="N170" s="84">
        <f t="shared" si="55"/>
        <v>0</v>
      </c>
      <c r="O170" s="140">
        <f t="shared" si="42"/>
        <v>0</v>
      </c>
      <c r="P170" s="149">
        <v>0</v>
      </c>
      <c r="Q170" s="163">
        <f t="shared" si="48"/>
        <v>110</v>
      </c>
      <c r="R170" s="150">
        <f t="shared" si="43"/>
        <v>0</v>
      </c>
      <c r="S170"/>
    </row>
    <row r="171" spans="1:19" x14ac:dyDescent="0.25">
      <c r="A171" s="80" t="str">
        <f t="shared" si="53"/>
        <v>Sun</v>
      </c>
      <c r="B171" s="147">
        <f>IF(SUMIFS(CashFlow!$C$16:$C$40,CashFlow!$D$16:$D$40,CashFlowCalcs!$E171)&gt;0,SUMIFS(CashFlow!$C$16:$C$40,CashFlow!$D$16:$D$40,CashFlowCalcs!$E171),B170)</f>
        <v>4</v>
      </c>
      <c r="C171" s="147" t="str">
        <f t="shared" si="44"/>
        <v>Y</v>
      </c>
      <c r="D171" s="80">
        <f t="shared" si="49"/>
        <v>110</v>
      </c>
      <c r="E171" s="81">
        <f t="shared" si="54"/>
        <v>44521</v>
      </c>
      <c r="F171" s="80">
        <f t="shared" si="51"/>
        <v>-2.3491124260355027</v>
      </c>
      <c r="G171" s="119">
        <f t="shared" si="45"/>
        <v>2.5270864989218912E-2</v>
      </c>
      <c r="H171" s="125">
        <f t="shared" si="52"/>
        <v>44521</v>
      </c>
      <c r="I171" s="82">
        <f t="shared" si="40"/>
        <v>6.3349100607246744E-2</v>
      </c>
      <c r="J171" s="126">
        <f t="shared" si="46"/>
        <v>577732.66456714959</v>
      </c>
      <c r="K171" s="139">
        <f t="shared" si="41"/>
        <v>0</v>
      </c>
      <c r="L171" s="83">
        <f t="shared" si="39"/>
        <v>577732.66456714959</v>
      </c>
      <c r="M171" s="80">
        <f t="shared" si="47"/>
        <v>110</v>
      </c>
      <c r="N171" s="84">
        <f t="shared" si="55"/>
        <v>0</v>
      </c>
      <c r="O171" s="140">
        <f t="shared" si="42"/>
        <v>0</v>
      </c>
      <c r="P171" s="149">
        <v>0</v>
      </c>
      <c r="Q171" s="163">
        <f t="shared" si="48"/>
        <v>110</v>
      </c>
      <c r="R171" s="150">
        <f t="shared" si="43"/>
        <v>0</v>
      </c>
      <c r="S171"/>
    </row>
    <row r="172" spans="1:19" x14ac:dyDescent="0.25">
      <c r="A172" s="80" t="str">
        <f t="shared" si="53"/>
        <v>Mon</v>
      </c>
      <c r="B172" s="147">
        <f>IF(SUMIFS(CashFlow!$C$16:$C$40,CashFlow!$D$16:$D$40,CashFlowCalcs!$E172)&gt;0,SUMIFS(CashFlow!$C$16:$C$40,CashFlow!$D$16:$D$40,CashFlowCalcs!$E172),B171)</f>
        <v>4</v>
      </c>
      <c r="C172" s="147" t="str">
        <f t="shared" si="44"/>
        <v>N</v>
      </c>
      <c r="D172" s="80">
        <f t="shared" si="49"/>
        <v>111</v>
      </c>
      <c r="E172" s="81">
        <f t="shared" si="54"/>
        <v>44522</v>
      </c>
      <c r="F172" s="80">
        <f t="shared" si="51"/>
        <v>-2.3431952662721893</v>
      </c>
      <c r="G172" s="119">
        <f t="shared" si="45"/>
        <v>2.5624135949271844E-2</v>
      </c>
      <c r="H172" s="125">
        <f t="shared" si="52"/>
        <v>44522</v>
      </c>
      <c r="I172" s="82">
        <f t="shared" si="40"/>
        <v>6.4234681595454285E-2</v>
      </c>
      <c r="J172" s="126">
        <f t="shared" si="46"/>
        <v>585809.0075475995</v>
      </c>
      <c r="K172" s="139">
        <f t="shared" si="41"/>
        <v>0</v>
      </c>
      <c r="L172" s="83">
        <f t="shared" si="39"/>
        <v>585809.0075475995</v>
      </c>
      <c r="M172" s="80">
        <f t="shared" si="47"/>
        <v>111</v>
      </c>
      <c r="N172" s="84">
        <f t="shared" si="55"/>
        <v>0</v>
      </c>
      <c r="O172" s="140">
        <f t="shared" si="42"/>
        <v>0</v>
      </c>
      <c r="P172" s="149">
        <v>0</v>
      </c>
      <c r="Q172" s="163">
        <f t="shared" si="48"/>
        <v>111</v>
      </c>
      <c r="R172" s="150">
        <f t="shared" si="43"/>
        <v>0</v>
      </c>
      <c r="S172"/>
    </row>
    <row r="173" spans="1:19" x14ac:dyDescent="0.25">
      <c r="A173" s="80" t="str">
        <f t="shared" si="53"/>
        <v>Tues</v>
      </c>
      <c r="B173" s="147">
        <f>IF(SUMIFS(CashFlow!$C$16:$C$40,CashFlow!$D$16:$D$40,CashFlowCalcs!$E173)&gt;0,SUMIFS(CashFlow!$C$16:$C$40,CashFlow!$D$16:$D$40,CashFlowCalcs!$E173),B172)</f>
        <v>4</v>
      </c>
      <c r="C173" s="147" t="str">
        <f t="shared" si="44"/>
        <v>N</v>
      </c>
      <c r="D173" s="80">
        <f t="shared" si="49"/>
        <v>112</v>
      </c>
      <c r="E173" s="81">
        <f t="shared" si="54"/>
        <v>44523</v>
      </c>
      <c r="F173" s="80">
        <f t="shared" si="51"/>
        <v>-2.3372781065088759</v>
      </c>
      <c r="G173" s="119">
        <f t="shared" si="45"/>
        <v>2.5981435719206174E-2</v>
      </c>
      <c r="H173" s="125">
        <f t="shared" si="52"/>
        <v>44523</v>
      </c>
      <c r="I173" s="82">
        <f t="shared" si="40"/>
        <v>6.5130362019617541E-2</v>
      </c>
      <c r="J173" s="126">
        <f t="shared" si="46"/>
        <v>593977.45560909063</v>
      </c>
      <c r="K173" s="139">
        <f t="shared" si="41"/>
        <v>0</v>
      </c>
      <c r="L173" s="83">
        <f t="shared" si="39"/>
        <v>593977.45560909063</v>
      </c>
      <c r="M173" s="80">
        <f t="shared" si="47"/>
        <v>112</v>
      </c>
      <c r="N173" s="84">
        <f t="shared" si="55"/>
        <v>0</v>
      </c>
      <c r="O173" s="140">
        <f t="shared" si="42"/>
        <v>0</v>
      </c>
      <c r="P173" s="149">
        <v>0</v>
      </c>
      <c r="Q173" s="163">
        <f t="shared" si="48"/>
        <v>112</v>
      </c>
      <c r="R173" s="150">
        <f t="shared" si="43"/>
        <v>0</v>
      </c>
      <c r="S173"/>
    </row>
    <row r="174" spans="1:19" x14ac:dyDescent="0.25">
      <c r="A174" s="80" t="str">
        <f t="shared" si="53"/>
        <v>Wed</v>
      </c>
      <c r="B174" s="147">
        <f>IF(SUMIFS(CashFlow!$C$16:$C$40,CashFlow!$D$16:$D$40,CashFlowCalcs!$E174)&gt;0,SUMIFS(CashFlow!$C$16:$C$40,CashFlow!$D$16:$D$40,CashFlowCalcs!$E174),B173)</f>
        <v>4</v>
      </c>
      <c r="C174" s="147" t="str">
        <f t="shared" si="44"/>
        <v>N</v>
      </c>
      <c r="D174" s="80">
        <f t="shared" si="49"/>
        <v>113</v>
      </c>
      <c r="E174" s="81">
        <f t="shared" si="54"/>
        <v>44524</v>
      </c>
      <c r="F174" s="80">
        <f t="shared" si="51"/>
        <v>-2.331360946745562</v>
      </c>
      <c r="G174" s="119">
        <f t="shared" si="45"/>
        <v>2.634279528213276E-2</v>
      </c>
      <c r="H174" s="125">
        <f t="shared" si="52"/>
        <v>44524</v>
      </c>
      <c r="I174" s="82">
        <f t="shared" si="40"/>
        <v>6.6036219548316816E-2</v>
      </c>
      <c r="J174" s="126">
        <f t="shared" si="46"/>
        <v>602238.7170754259</v>
      </c>
      <c r="K174" s="139">
        <f t="shared" si="41"/>
        <v>0</v>
      </c>
      <c r="L174" s="83">
        <f t="shared" si="39"/>
        <v>602238.7170754259</v>
      </c>
      <c r="M174" s="80">
        <f t="shared" si="47"/>
        <v>113</v>
      </c>
      <c r="N174" s="84">
        <f t="shared" si="55"/>
        <v>0</v>
      </c>
      <c r="O174" s="140">
        <f t="shared" si="42"/>
        <v>0</v>
      </c>
      <c r="P174" s="149">
        <v>0</v>
      </c>
      <c r="Q174" s="163">
        <f t="shared" si="48"/>
        <v>113</v>
      </c>
      <c r="R174" s="150">
        <f t="shared" si="43"/>
        <v>0</v>
      </c>
      <c r="S174"/>
    </row>
    <row r="175" spans="1:19" x14ac:dyDescent="0.25">
      <c r="A175" s="80" t="str">
        <f t="shared" si="53"/>
        <v>Thu</v>
      </c>
      <c r="B175" s="147">
        <f>IF(SUMIFS(CashFlow!$C$16:$C$40,CashFlow!$D$16:$D$40,CashFlowCalcs!$E175)&gt;0,SUMIFS(CashFlow!$C$16:$C$40,CashFlow!$D$16:$D$40,CashFlowCalcs!$E175),B174)</f>
        <v>4</v>
      </c>
      <c r="C175" s="147" t="str">
        <f t="shared" si="44"/>
        <v>N</v>
      </c>
      <c r="D175" s="80">
        <f t="shared" si="49"/>
        <v>114</v>
      </c>
      <c r="E175" s="81">
        <f t="shared" si="54"/>
        <v>44525</v>
      </c>
      <c r="F175" s="80">
        <f t="shared" si="51"/>
        <v>-2.3254437869822486</v>
      </c>
      <c r="G175" s="119">
        <f t="shared" si="45"/>
        <v>2.6708245623245759E-2</v>
      </c>
      <c r="H175" s="125">
        <f t="shared" si="52"/>
        <v>44525</v>
      </c>
      <c r="I175" s="82">
        <f t="shared" si="40"/>
        <v>6.6952331855354846E-2</v>
      </c>
      <c r="J175" s="126">
        <f t="shared" si="46"/>
        <v>610593.50031803595</v>
      </c>
      <c r="K175" s="139">
        <f t="shared" si="41"/>
        <v>0</v>
      </c>
      <c r="L175" s="83">
        <f t="shared" si="39"/>
        <v>610593.50031803595</v>
      </c>
      <c r="M175" s="80">
        <f t="shared" si="47"/>
        <v>114</v>
      </c>
      <c r="N175" s="84">
        <f t="shared" si="55"/>
        <v>0</v>
      </c>
      <c r="O175" s="140">
        <f t="shared" si="42"/>
        <v>0</v>
      </c>
      <c r="P175" s="149">
        <v>0</v>
      </c>
      <c r="Q175" s="163">
        <f t="shared" si="48"/>
        <v>114</v>
      </c>
      <c r="R175" s="150">
        <f t="shared" si="43"/>
        <v>0</v>
      </c>
      <c r="S175"/>
    </row>
    <row r="176" spans="1:19" x14ac:dyDescent="0.25">
      <c r="A176" s="80" t="str">
        <f t="shared" si="53"/>
        <v>Fri</v>
      </c>
      <c r="B176" s="147">
        <f>IF(SUMIFS(CashFlow!$C$16:$C$40,CashFlow!$D$16:$D$40,CashFlowCalcs!$E176)&gt;0,SUMIFS(CashFlow!$C$16:$C$40,CashFlow!$D$16:$D$40,CashFlowCalcs!$E176),B175)</f>
        <v>4</v>
      </c>
      <c r="C176" s="147" t="str">
        <f t="shared" si="44"/>
        <v>N</v>
      </c>
      <c r="D176" s="80">
        <f t="shared" si="49"/>
        <v>115</v>
      </c>
      <c r="E176" s="81">
        <f t="shared" si="54"/>
        <v>44526</v>
      </c>
      <c r="F176" s="80">
        <f t="shared" si="51"/>
        <v>-2.3195266272189352</v>
      </c>
      <c r="G176" s="119">
        <f t="shared" si="45"/>
        <v>2.7077817725482178E-2</v>
      </c>
      <c r="H176" s="125">
        <f t="shared" si="52"/>
        <v>44526</v>
      </c>
      <c r="I176" s="82">
        <f t="shared" si="40"/>
        <v>6.7878776608876132E-2</v>
      </c>
      <c r="J176" s="126">
        <f t="shared" si="46"/>
        <v>619042.51365674904</v>
      </c>
      <c r="K176" s="139">
        <f t="shared" si="41"/>
        <v>0</v>
      </c>
      <c r="L176" s="83">
        <f t="shared" si="39"/>
        <v>619042.51365674904</v>
      </c>
      <c r="M176" s="80">
        <f t="shared" si="47"/>
        <v>115</v>
      </c>
      <c r="N176" s="84">
        <f t="shared" si="55"/>
        <v>0</v>
      </c>
      <c r="O176" s="140">
        <f t="shared" si="42"/>
        <v>0</v>
      </c>
      <c r="P176" s="149">
        <v>0</v>
      </c>
      <c r="Q176" s="163">
        <f t="shared" si="48"/>
        <v>115</v>
      </c>
      <c r="R176" s="150">
        <f t="shared" si="43"/>
        <v>0</v>
      </c>
      <c r="S176"/>
    </row>
    <row r="177" spans="1:19" x14ac:dyDescent="0.25">
      <c r="A177" s="80" t="str">
        <f t="shared" si="53"/>
        <v>Sat</v>
      </c>
      <c r="B177" s="147">
        <f>IF(SUMIFS(CashFlow!$C$16:$C$40,CashFlow!$D$16:$D$40,CashFlowCalcs!$E177)&gt;0,SUMIFS(CashFlow!$C$16:$C$40,CashFlow!$D$16:$D$40,CashFlowCalcs!$E177),B176)</f>
        <v>4</v>
      </c>
      <c r="C177" s="147" t="str">
        <f t="shared" si="44"/>
        <v>Y</v>
      </c>
      <c r="D177" s="80">
        <f t="shared" si="49"/>
        <v>115</v>
      </c>
      <c r="E177" s="81">
        <f t="shared" si="54"/>
        <v>44527</v>
      </c>
      <c r="F177" s="80">
        <f t="shared" si="51"/>
        <v>-2.3195266272189352</v>
      </c>
      <c r="G177" s="119">
        <f t="shared" si="45"/>
        <v>2.7077817725482178E-2</v>
      </c>
      <c r="H177" s="125">
        <f t="shared" si="52"/>
        <v>44527</v>
      </c>
      <c r="I177" s="82">
        <f t="shared" si="40"/>
        <v>6.7878776608876132E-2</v>
      </c>
      <c r="J177" s="126">
        <f t="shared" si="46"/>
        <v>619042.51365674904</v>
      </c>
      <c r="K177" s="139">
        <f t="shared" si="41"/>
        <v>0</v>
      </c>
      <c r="L177" s="83">
        <f t="shared" si="39"/>
        <v>619042.51365674904</v>
      </c>
      <c r="M177" s="80">
        <f t="shared" si="47"/>
        <v>115</v>
      </c>
      <c r="N177" s="84">
        <f t="shared" si="55"/>
        <v>0</v>
      </c>
      <c r="O177" s="140">
        <f t="shared" si="42"/>
        <v>0</v>
      </c>
      <c r="P177" s="149">
        <v>0</v>
      </c>
      <c r="Q177" s="163">
        <f t="shared" si="48"/>
        <v>115</v>
      </c>
      <c r="R177" s="150">
        <f t="shared" si="43"/>
        <v>0</v>
      </c>
      <c r="S177"/>
    </row>
    <row r="178" spans="1:19" s="71" customFormat="1" x14ac:dyDescent="0.25">
      <c r="A178" s="80" t="str">
        <f t="shared" si="53"/>
        <v>Sun</v>
      </c>
      <c r="B178" s="147">
        <f>IF(SUMIFS(CashFlow!$C$16:$C$40,CashFlow!$D$16:$D$40,CashFlowCalcs!$E178)&gt;0,SUMIFS(CashFlow!$C$16:$C$40,CashFlow!$D$16:$D$40,CashFlowCalcs!$E178),B177)</f>
        <v>4</v>
      </c>
      <c r="C178" s="147" t="str">
        <f t="shared" si="44"/>
        <v>Y</v>
      </c>
      <c r="D178" s="80">
        <f t="shared" si="49"/>
        <v>115</v>
      </c>
      <c r="E178" s="95">
        <f t="shared" si="54"/>
        <v>44528</v>
      </c>
      <c r="F178" s="80">
        <f t="shared" si="51"/>
        <v>-2.3195266272189352</v>
      </c>
      <c r="G178" s="120">
        <f t="shared" si="45"/>
        <v>2.7077817725482178E-2</v>
      </c>
      <c r="H178" s="127">
        <f t="shared" si="52"/>
        <v>44528</v>
      </c>
      <c r="I178" s="96">
        <f t="shared" si="40"/>
        <v>6.7878776608876132E-2</v>
      </c>
      <c r="J178" s="128">
        <f t="shared" si="46"/>
        <v>619042.51365674904</v>
      </c>
      <c r="K178" s="141">
        <f t="shared" si="41"/>
        <v>0</v>
      </c>
      <c r="L178" s="83">
        <f t="shared" si="39"/>
        <v>619042.51365674904</v>
      </c>
      <c r="M178" s="80">
        <f t="shared" si="47"/>
        <v>115</v>
      </c>
      <c r="N178" s="97">
        <f t="shared" si="55"/>
        <v>0</v>
      </c>
      <c r="O178" s="142">
        <f t="shared" si="42"/>
        <v>0</v>
      </c>
      <c r="P178" s="149">
        <v>0</v>
      </c>
      <c r="Q178" s="163">
        <f t="shared" si="48"/>
        <v>115</v>
      </c>
      <c r="R178" s="150">
        <f t="shared" ref="R178:R209" si="56">IF(OR(E178&lt;$J$6+1,E178&gt;$I$1),0,1)</f>
        <v>0</v>
      </c>
    </row>
    <row r="179" spans="1:19" x14ac:dyDescent="0.25">
      <c r="A179" s="80" t="str">
        <f t="shared" si="53"/>
        <v>Mon</v>
      </c>
      <c r="B179" s="147">
        <f>IF(SUMIFS(CashFlow!$C$16:$C$40,CashFlow!$D$16:$D$40,CashFlowCalcs!$E179)&gt;0,SUMIFS(CashFlow!$C$16:$C$40,CashFlow!$D$16:$D$40,CashFlowCalcs!$E179),B178)</f>
        <v>4</v>
      </c>
      <c r="C179" s="147" t="str">
        <f t="shared" si="44"/>
        <v>N</v>
      </c>
      <c r="D179" s="80">
        <f t="shared" si="49"/>
        <v>116</v>
      </c>
      <c r="E179" s="81">
        <f t="shared" si="54"/>
        <v>44529</v>
      </c>
      <c r="F179" s="80">
        <f t="shared" si="51"/>
        <v>-2.3136094674556213</v>
      </c>
      <c r="G179" s="119">
        <f t="shared" si="45"/>
        <v>2.7451542565121383E-2</v>
      </c>
      <c r="H179" s="125">
        <f t="shared" si="52"/>
        <v>44529</v>
      </c>
      <c r="I179" s="82">
        <f t="shared" si="40"/>
        <v>6.8815631460335772E-2</v>
      </c>
      <c r="J179" s="126">
        <f t="shared" si="46"/>
        <v>627586.46525918937</v>
      </c>
      <c r="K179" s="139">
        <f t="shared" si="41"/>
        <v>0</v>
      </c>
      <c r="L179" s="83">
        <f t="shared" si="39"/>
        <v>627586.46525918937</v>
      </c>
      <c r="M179" s="80">
        <f t="shared" si="47"/>
        <v>116</v>
      </c>
      <c r="N179" s="84">
        <f t="shared" si="55"/>
        <v>0</v>
      </c>
      <c r="O179" s="140">
        <f t="shared" si="42"/>
        <v>0</v>
      </c>
      <c r="P179" s="149">
        <v>0</v>
      </c>
      <c r="Q179" s="163">
        <f t="shared" si="48"/>
        <v>116</v>
      </c>
      <c r="R179" s="150">
        <f t="shared" si="56"/>
        <v>0</v>
      </c>
      <c r="S179"/>
    </row>
    <row r="180" spans="1:19" x14ac:dyDescent="0.25">
      <c r="A180" s="80" t="str">
        <f t="shared" si="53"/>
        <v>Tues</v>
      </c>
      <c r="B180" s="147">
        <f>IF(SUMIFS(CashFlow!$C$16:$C$40,CashFlow!$D$16:$D$40,CashFlowCalcs!$E180)&gt;0,SUMIFS(CashFlow!$C$16:$C$40,CashFlow!$D$16:$D$40,CashFlowCalcs!$E180),B179)</f>
        <v>4</v>
      </c>
      <c r="C180" s="147" t="str">
        <f t="shared" si="44"/>
        <v>N</v>
      </c>
      <c r="D180" s="80">
        <f t="shared" si="49"/>
        <v>117</v>
      </c>
      <c r="E180" s="81">
        <f t="shared" ref="E180:E195" si="57">E179+1</f>
        <v>44530</v>
      </c>
      <c r="F180" s="80">
        <f t="shared" si="51"/>
        <v>-2.3076923076923075</v>
      </c>
      <c r="G180" s="119">
        <f t="shared" si="45"/>
        <v>2.7829451107324897E-2</v>
      </c>
      <c r="H180" s="125">
        <f t="shared" si="52"/>
        <v>44530</v>
      </c>
      <c r="I180" s="82">
        <f t="shared" si="40"/>
        <v>6.9762974033318603E-2</v>
      </c>
      <c r="J180" s="126">
        <f t="shared" si="46"/>
        <v>636226.06303880899</v>
      </c>
      <c r="K180" s="139">
        <f t="shared" si="41"/>
        <v>0</v>
      </c>
      <c r="L180" s="83">
        <f t="shared" si="39"/>
        <v>636226.06303880899</v>
      </c>
      <c r="M180" s="80">
        <f t="shared" si="47"/>
        <v>117</v>
      </c>
      <c r="N180" s="84">
        <f t="shared" si="55"/>
        <v>0</v>
      </c>
      <c r="O180" s="140">
        <f t="shared" si="42"/>
        <v>0</v>
      </c>
      <c r="P180" s="149">
        <v>0</v>
      </c>
      <c r="Q180" s="163">
        <f t="shared" si="48"/>
        <v>117</v>
      </c>
      <c r="R180" s="150">
        <f t="shared" si="56"/>
        <v>0</v>
      </c>
      <c r="S180"/>
    </row>
    <row r="181" spans="1:19" x14ac:dyDescent="0.25">
      <c r="A181" s="80" t="str">
        <f t="shared" si="53"/>
        <v>Wed</v>
      </c>
      <c r="B181" s="147">
        <f>IF(SUMIFS(CashFlow!$C$16:$C$40,CashFlow!$D$16:$D$40,CashFlowCalcs!$E181)&gt;0,SUMIFS(CashFlow!$C$16:$C$40,CashFlow!$D$16:$D$40,CashFlowCalcs!$E181),B180)</f>
        <v>4</v>
      </c>
      <c r="C181" s="147" t="str">
        <f t="shared" si="44"/>
        <v>N</v>
      </c>
      <c r="D181" s="80">
        <f t="shared" si="49"/>
        <v>118</v>
      </c>
      <c r="E181" s="81">
        <f t="shared" si="57"/>
        <v>44531</v>
      </c>
      <c r="F181" s="80">
        <f t="shared" si="51"/>
        <v>-2.3017751479289941</v>
      </c>
      <c r="G181" s="119">
        <f t="shared" si="45"/>
        <v>2.8211574301616443E-2</v>
      </c>
      <c r="H181" s="125">
        <f t="shared" si="52"/>
        <v>44531</v>
      </c>
      <c r="I181" s="82">
        <f t="shared" si="40"/>
        <v>7.0720881912208572E-2</v>
      </c>
      <c r="J181" s="126">
        <f t="shared" si="46"/>
        <v>644962.01455155492</v>
      </c>
      <c r="K181" s="139">
        <f t="shared" si="41"/>
        <v>0</v>
      </c>
      <c r="L181" s="83">
        <f t="shared" si="39"/>
        <v>644962.01455155492</v>
      </c>
      <c r="M181" s="80">
        <f t="shared" si="47"/>
        <v>118</v>
      </c>
      <c r="N181" s="84">
        <f t="shared" si="55"/>
        <v>0</v>
      </c>
      <c r="O181" s="140">
        <f t="shared" si="42"/>
        <v>0</v>
      </c>
      <c r="P181" s="149">
        <v>0</v>
      </c>
      <c r="Q181" s="163">
        <f t="shared" si="48"/>
        <v>118</v>
      </c>
      <c r="R181" s="150">
        <f t="shared" si="56"/>
        <v>0</v>
      </c>
      <c r="S181"/>
    </row>
    <row r="182" spans="1:19" s="74" customFormat="1" x14ac:dyDescent="0.25">
      <c r="A182" s="80" t="str">
        <f t="shared" si="53"/>
        <v>Thu</v>
      </c>
      <c r="B182" s="147">
        <f>IF(SUMIFS(CashFlow!$C$16:$C$40,CashFlow!$D$16:$D$40,CashFlowCalcs!$E182)&gt;0,SUMIFS(CashFlow!$C$16:$C$40,CashFlow!$D$16:$D$40,CashFlowCalcs!$E182),B181)</f>
        <v>4</v>
      </c>
      <c r="C182" s="147" t="str">
        <f t="shared" si="44"/>
        <v>N</v>
      </c>
      <c r="D182" s="80">
        <f t="shared" si="49"/>
        <v>119</v>
      </c>
      <c r="E182" s="85">
        <f t="shared" si="57"/>
        <v>44532</v>
      </c>
      <c r="F182" s="80">
        <f t="shared" si="51"/>
        <v>-2.2958579881656807</v>
      </c>
      <c r="G182" s="121">
        <f t="shared" si="45"/>
        <v>2.8597943077302693E-2</v>
      </c>
      <c r="H182" s="129">
        <f t="shared" si="52"/>
        <v>44532</v>
      </c>
      <c r="I182" s="86">
        <f t="shared" si="40"/>
        <v>7.1689432630709468E-2</v>
      </c>
      <c r="J182" s="130">
        <f t="shared" si="46"/>
        <v>653795.02689117985</v>
      </c>
      <c r="K182" s="143">
        <f t="shared" si="41"/>
        <v>0</v>
      </c>
      <c r="L182" s="83">
        <f t="shared" si="39"/>
        <v>653795.02689117985</v>
      </c>
      <c r="M182" s="80">
        <f t="shared" si="47"/>
        <v>119</v>
      </c>
      <c r="N182" s="87">
        <f t="shared" si="55"/>
        <v>0</v>
      </c>
      <c r="O182" s="144">
        <f t="shared" si="42"/>
        <v>0</v>
      </c>
      <c r="P182" s="149">
        <v>0</v>
      </c>
      <c r="Q182" s="163">
        <f t="shared" si="48"/>
        <v>119</v>
      </c>
      <c r="R182" s="150">
        <f t="shared" si="56"/>
        <v>0</v>
      </c>
    </row>
    <row r="183" spans="1:19" x14ac:dyDescent="0.25">
      <c r="A183" s="80" t="str">
        <f t="shared" si="53"/>
        <v>Fri</v>
      </c>
      <c r="B183" s="147">
        <f>IF(SUMIFS(CashFlow!$C$16:$C$40,CashFlow!$D$16:$D$40,CashFlowCalcs!$E183)&gt;0,SUMIFS(CashFlow!$C$16:$C$40,CashFlow!$D$16:$D$40,CashFlowCalcs!$E183),B182)</f>
        <v>4</v>
      </c>
      <c r="C183" s="147" t="str">
        <f t="shared" si="44"/>
        <v>N</v>
      </c>
      <c r="D183" s="80">
        <f t="shared" si="49"/>
        <v>120</v>
      </c>
      <c r="E183" s="81">
        <f t="shared" si="57"/>
        <v>44533</v>
      </c>
      <c r="F183" s="80">
        <f t="shared" si="51"/>
        <v>-2.2899408284023668</v>
      </c>
      <c r="G183" s="119">
        <f t="shared" si="45"/>
        <v>2.8988588338834241E-2</v>
      </c>
      <c r="H183" s="125">
        <f t="shared" si="52"/>
        <v>44533</v>
      </c>
      <c r="I183" s="82">
        <f t="shared" si="40"/>
        <v>7.266870366021573E-2</v>
      </c>
      <c r="J183" s="126">
        <f t="shared" si="46"/>
        <v>662725.80658318615</v>
      </c>
      <c r="K183" s="139">
        <f t="shared" si="41"/>
        <v>0</v>
      </c>
      <c r="L183" s="83">
        <f t="shared" si="39"/>
        <v>662725.80658318615</v>
      </c>
      <c r="M183" s="80">
        <f t="shared" si="47"/>
        <v>120</v>
      </c>
      <c r="N183" s="84">
        <f t="shared" si="55"/>
        <v>0</v>
      </c>
      <c r="O183" s="140">
        <f t="shared" si="42"/>
        <v>0</v>
      </c>
      <c r="P183" s="149">
        <v>0</v>
      </c>
      <c r="Q183" s="163">
        <f t="shared" si="48"/>
        <v>120</v>
      </c>
      <c r="R183" s="150">
        <f t="shared" si="56"/>
        <v>0</v>
      </c>
      <c r="S183"/>
    </row>
    <row r="184" spans="1:19" x14ac:dyDescent="0.25">
      <c r="A184" s="80" t="str">
        <f t="shared" si="53"/>
        <v>Sat</v>
      </c>
      <c r="B184" s="147">
        <f>IF(SUMIFS(CashFlow!$C$16:$C$40,CashFlow!$D$16:$D$40,CashFlowCalcs!$E184)&gt;0,SUMIFS(CashFlow!$C$16:$C$40,CashFlow!$D$16:$D$40,CashFlowCalcs!$E184),B183)</f>
        <v>4</v>
      </c>
      <c r="C184" s="147" t="str">
        <f t="shared" si="44"/>
        <v>Y</v>
      </c>
      <c r="D184" s="80">
        <f t="shared" si="49"/>
        <v>120</v>
      </c>
      <c r="E184" s="81">
        <f t="shared" si="57"/>
        <v>44534</v>
      </c>
      <c r="F184" s="80">
        <f t="shared" si="51"/>
        <v>-2.2899408284023668</v>
      </c>
      <c r="G184" s="119">
        <f t="shared" si="45"/>
        <v>2.8988588338834241E-2</v>
      </c>
      <c r="H184" s="125">
        <f t="shared" si="52"/>
        <v>44534</v>
      </c>
      <c r="I184" s="82">
        <f t="shared" si="40"/>
        <v>7.266870366021573E-2</v>
      </c>
      <c r="J184" s="126">
        <f t="shared" si="46"/>
        <v>662725.80658318615</v>
      </c>
      <c r="K184" s="139">
        <f t="shared" si="41"/>
        <v>0</v>
      </c>
      <c r="L184" s="83">
        <f t="shared" si="39"/>
        <v>662725.80658318615</v>
      </c>
      <c r="M184" s="80">
        <f t="shared" si="47"/>
        <v>120</v>
      </c>
      <c r="N184" s="84">
        <f t="shared" si="55"/>
        <v>0</v>
      </c>
      <c r="O184" s="140">
        <f t="shared" si="42"/>
        <v>0</v>
      </c>
      <c r="P184" s="149">
        <v>0</v>
      </c>
      <c r="Q184" s="163">
        <f t="shared" si="48"/>
        <v>120</v>
      </c>
      <c r="R184" s="150">
        <f t="shared" si="56"/>
        <v>0</v>
      </c>
      <c r="S184"/>
    </row>
    <row r="185" spans="1:19" x14ac:dyDescent="0.25">
      <c r="A185" s="80" t="str">
        <f t="shared" si="53"/>
        <v>Sun</v>
      </c>
      <c r="B185" s="147">
        <f>IF(SUMIFS(CashFlow!$C$16:$C$40,CashFlow!$D$16:$D$40,CashFlowCalcs!$E185)&gt;0,SUMIFS(CashFlow!$C$16:$C$40,CashFlow!$D$16:$D$40,CashFlowCalcs!$E185),B184)</f>
        <v>4</v>
      </c>
      <c r="C185" s="147" t="str">
        <f t="shared" si="44"/>
        <v>Y</v>
      </c>
      <c r="D185" s="80">
        <f t="shared" si="49"/>
        <v>120</v>
      </c>
      <c r="E185" s="81">
        <f t="shared" si="57"/>
        <v>44535</v>
      </c>
      <c r="F185" s="80">
        <f t="shared" si="51"/>
        <v>-2.2899408284023668</v>
      </c>
      <c r="G185" s="119">
        <f t="shared" si="45"/>
        <v>2.8988588338834241E-2</v>
      </c>
      <c r="H185" s="125">
        <f t="shared" si="52"/>
        <v>44535</v>
      </c>
      <c r="I185" s="82">
        <f t="shared" si="40"/>
        <v>7.266870366021573E-2</v>
      </c>
      <c r="J185" s="126">
        <f t="shared" si="46"/>
        <v>662725.80658318615</v>
      </c>
      <c r="K185" s="139">
        <f t="shared" si="41"/>
        <v>0</v>
      </c>
      <c r="L185" s="83">
        <f t="shared" si="39"/>
        <v>662725.80658318615</v>
      </c>
      <c r="M185" s="80">
        <f t="shared" si="47"/>
        <v>120</v>
      </c>
      <c r="N185" s="84">
        <f t="shared" si="55"/>
        <v>0</v>
      </c>
      <c r="O185" s="140">
        <f t="shared" si="42"/>
        <v>0</v>
      </c>
      <c r="P185" s="149">
        <v>0</v>
      </c>
      <c r="Q185" s="163">
        <f t="shared" si="48"/>
        <v>120</v>
      </c>
      <c r="R185" s="150">
        <f t="shared" si="56"/>
        <v>0</v>
      </c>
      <c r="S185"/>
    </row>
    <row r="186" spans="1:19" x14ac:dyDescent="0.25">
      <c r="A186" s="80" t="str">
        <f t="shared" si="53"/>
        <v>Mon</v>
      </c>
      <c r="B186" s="147">
        <f>IF(SUMIFS(CashFlow!$C$16:$C$40,CashFlow!$D$16:$D$40,CashFlowCalcs!$E186)&gt;0,SUMIFS(CashFlow!$C$16:$C$40,CashFlow!$D$16:$D$40,CashFlowCalcs!$E186),B185)</f>
        <v>4</v>
      </c>
      <c r="C186" s="147" t="str">
        <f t="shared" si="44"/>
        <v>N</v>
      </c>
      <c r="D186" s="80">
        <f t="shared" si="49"/>
        <v>121</v>
      </c>
      <c r="E186" s="81">
        <f t="shared" si="57"/>
        <v>44536</v>
      </c>
      <c r="F186" s="80">
        <f t="shared" si="51"/>
        <v>-2.2840236686390534</v>
      </c>
      <c r="G186" s="119">
        <f t="shared" si="45"/>
        <v>2.9383540961107575E-2</v>
      </c>
      <c r="H186" s="125">
        <f t="shared" si="52"/>
        <v>44536</v>
      </c>
      <c r="I186" s="82">
        <f t="shared" si="40"/>
        <v>7.3658772398035477E-2</v>
      </c>
      <c r="J186" s="126">
        <f t="shared" si="46"/>
        <v>671755.05947742227</v>
      </c>
      <c r="K186" s="139">
        <f t="shared" si="41"/>
        <v>0</v>
      </c>
      <c r="L186" s="83">
        <f t="shared" si="39"/>
        <v>671755.05947742227</v>
      </c>
      <c r="M186" s="80">
        <f t="shared" si="47"/>
        <v>121</v>
      </c>
      <c r="N186" s="84">
        <f t="shared" si="55"/>
        <v>0</v>
      </c>
      <c r="O186" s="140">
        <f t="shared" si="42"/>
        <v>0</v>
      </c>
      <c r="P186" s="149">
        <v>0</v>
      </c>
      <c r="Q186" s="163">
        <f t="shared" si="48"/>
        <v>121</v>
      </c>
      <c r="R186" s="150">
        <f t="shared" si="56"/>
        <v>0</v>
      </c>
      <c r="S186"/>
    </row>
    <row r="187" spans="1:19" x14ac:dyDescent="0.25">
      <c r="A187" s="80" t="str">
        <f t="shared" si="53"/>
        <v>Tues</v>
      </c>
      <c r="B187" s="147">
        <f>IF(SUMIFS(CashFlow!$C$16:$C$40,CashFlow!$D$16:$D$40,CashFlowCalcs!$E187)&gt;0,SUMIFS(CashFlow!$C$16:$C$40,CashFlow!$D$16:$D$40,CashFlowCalcs!$E187),B186)</f>
        <v>4</v>
      </c>
      <c r="C187" s="147" t="str">
        <f t="shared" si="44"/>
        <v>N</v>
      </c>
      <c r="D187" s="80">
        <f t="shared" si="49"/>
        <v>122</v>
      </c>
      <c r="E187" s="81">
        <f t="shared" si="57"/>
        <v>44537</v>
      </c>
      <c r="F187" s="80">
        <f t="shared" si="51"/>
        <v>-2.2781065088757395</v>
      </c>
      <c r="G187" s="119">
        <f t="shared" si="45"/>
        <v>2.9782831784708048E-2</v>
      </c>
      <c r="H187" s="125">
        <f t="shared" si="52"/>
        <v>44537</v>
      </c>
      <c r="I187" s="82">
        <f t="shared" si="40"/>
        <v>7.4659716155465558E-2</v>
      </c>
      <c r="J187" s="126">
        <f t="shared" si="46"/>
        <v>680883.49063932872</v>
      </c>
      <c r="K187" s="139">
        <f t="shared" si="41"/>
        <v>0</v>
      </c>
      <c r="L187" s="83">
        <f t="shared" si="39"/>
        <v>680883.49063932872</v>
      </c>
      <c r="M187" s="80">
        <f t="shared" si="47"/>
        <v>122</v>
      </c>
      <c r="N187" s="84">
        <f t="shared" si="55"/>
        <v>0</v>
      </c>
      <c r="O187" s="140">
        <f t="shared" si="42"/>
        <v>0</v>
      </c>
      <c r="P187" s="149">
        <v>0</v>
      </c>
      <c r="Q187" s="163">
        <f t="shared" si="48"/>
        <v>122</v>
      </c>
      <c r="R187" s="150">
        <f t="shared" si="56"/>
        <v>0</v>
      </c>
      <c r="S187"/>
    </row>
    <row r="188" spans="1:19" x14ac:dyDescent="0.25">
      <c r="A188" s="80" t="str">
        <f t="shared" si="53"/>
        <v>Wed</v>
      </c>
      <c r="B188" s="147">
        <f>IF(SUMIFS(CashFlow!$C$16:$C$40,CashFlow!$D$16:$D$40,CashFlowCalcs!$E188)&gt;0,SUMIFS(CashFlow!$C$16:$C$40,CashFlow!$D$16:$D$40,CashFlowCalcs!$E188),B187)</f>
        <v>4</v>
      </c>
      <c r="C188" s="147" t="str">
        <f t="shared" si="44"/>
        <v>N</v>
      </c>
      <c r="D188" s="80">
        <f t="shared" si="49"/>
        <v>123</v>
      </c>
      <c r="E188" s="81">
        <f t="shared" si="57"/>
        <v>44538</v>
      </c>
      <c r="F188" s="80">
        <f t="shared" si="51"/>
        <v>-2.2721893491124261</v>
      </c>
      <c r="G188" s="119">
        <f t="shared" si="45"/>
        <v>3.0186491611093762E-2</v>
      </c>
      <c r="H188" s="125">
        <f t="shared" si="52"/>
        <v>44538</v>
      </c>
      <c r="I188" s="82">
        <f t="shared" si="40"/>
        <v>7.5671612145718423E-2</v>
      </c>
      <c r="J188" s="126">
        <f t="shared" si="46"/>
        <v>690111.80423983349</v>
      </c>
      <c r="K188" s="139">
        <f t="shared" si="41"/>
        <v>0</v>
      </c>
      <c r="L188" s="83">
        <f t="shared" si="39"/>
        <v>690111.80423983349</v>
      </c>
      <c r="M188" s="80">
        <f t="shared" si="47"/>
        <v>123</v>
      </c>
      <c r="N188" s="84">
        <f t="shared" si="55"/>
        <v>0</v>
      </c>
      <c r="O188" s="140">
        <f t="shared" si="42"/>
        <v>0</v>
      </c>
      <c r="P188" s="149">
        <v>0</v>
      </c>
      <c r="Q188" s="163">
        <f t="shared" si="48"/>
        <v>123</v>
      </c>
      <c r="R188" s="150">
        <f t="shared" si="56"/>
        <v>0</v>
      </c>
      <c r="S188"/>
    </row>
    <row r="189" spans="1:19" x14ac:dyDescent="0.25">
      <c r="A189" s="80" t="str">
        <f t="shared" si="53"/>
        <v>Thu</v>
      </c>
      <c r="B189" s="147">
        <f>IF(SUMIFS(CashFlow!$C$16:$C$40,CashFlow!$D$16:$D$40,CashFlowCalcs!$E189)&gt;0,SUMIFS(CashFlow!$C$16:$C$40,CashFlow!$D$16:$D$40,CashFlowCalcs!$E189),B188)</f>
        <v>4</v>
      </c>
      <c r="C189" s="147" t="str">
        <f t="shared" si="44"/>
        <v>N</v>
      </c>
      <c r="D189" s="80">
        <f t="shared" si="49"/>
        <v>124</v>
      </c>
      <c r="E189" s="81">
        <f t="shared" si="57"/>
        <v>44539</v>
      </c>
      <c r="F189" s="80">
        <f t="shared" si="51"/>
        <v>-2.2662721893491122</v>
      </c>
      <c r="G189" s="119">
        <f t="shared" si="45"/>
        <v>3.0594551197721177E-2</v>
      </c>
      <c r="H189" s="125">
        <f t="shared" si="52"/>
        <v>44539</v>
      </c>
      <c r="I189" s="82">
        <f t="shared" si="40"/>
        <v>7.6694537471703114E-2</v>
      </c>
      <c r="J189" s="126">
        <f t="shared" si="46"/>
        <v>699440.7034439171</v>
      </c>
      <c r="K189" s="139">
        <f t="shared" si="41"/>
        <v>0</v>
      </c>
      <c r="L189" s="83">
        <f t="shared" si="39"/>
        <v>699440.7034439171</v>
      </c>
      <c r="M189" s="80">
        <f t="shared" si="47"/>
        <v>124</v>
      </c>
      <c r="N189" s="84">
        <f t="shared" si="55"/>
        <v>0</v>
      </c>
      <c r="O189" s="140">
        <f t="shared" si="42"/>
        <v>0</v>
      </c>
      <c r="P189" s="149">
        <v>0</v>
      </c>
      <c r="Q189" s="163">
        <f t="shared" si="48"/>
        <v>124</v>
      </c>
      <c r="R189" s="150">
        <f t="shared" si="56"/>
        <v>0</v>
      </c>
      <c r="S189"/>
    </row>
    <row r="190" spans="1:19" x14ac:dyDescent="0.25">
      <c r="A190" s="80" t="str">
        <f t="shared" si="53"/>
        <v>Fri</v>
      </c>
      <c r="B190" s="147">
        <f>IF(SUMIFS(CashFlow!$C$16:$C$40,CashFlow!$D$16:$D$40,CashFlowCalcs!$E190)&gt;0,SUMIFS(CashFlow!$C$16:$C$40,CashFlow!$D$16:$D$40,CashFlowCalcs!$E190),B189)</f>
        <v>4</v>
      </c>
      <c r="C190" s="147" t="str">
        <f t="shared" si="44"/>
        <v>N</v>
      </c>
      <c r="D190" s="80">
        <f t="shared" si="49"/>
        <v>125</v>
      </c>
      <c r="E190" s="81">
        <f t="shared" si="57"/>
        <v>44540</v>
      </c>
      <c r="F190" s="80">
        <f t="shared" si="51"/>
        <v>-2.2603550295857988</v>
      </c>
      <c r="G190" s="119">
        <f t="shared" si="45"/>
        <v>3.1007041253111867E-2</v>
      </c>
      <c r="H190" s="125">
        <f t="shared" si="52"/>
        <v>44540</v>
      </c>
      <c r="I190" s="82">
        <f t="shared" si="40"/>
        <v>7.7728569113658441E-2</v>
      </c>
      <c r="J190" s="126">
        <f t="shared" si="46"/>
        <v>708870.89029782894</v>
      </c>
      <c r="K190" s="139">
        <f t="shared" si="41"/>
        <v>0</v>
      </c>
      <c r="L190" s="83">
        <f t="shared" si="39"/>
        <v>708870.89029782894</v>
      </c>
      <c r="M190" s="80">
        <f t="shared" si="47"/>
        <v>125</v>
      </c>
      <c r="N190" s="84">
        <f t="shared" si="55"/>
        <v>0</v>
      </c>
      <c r="O190" s="140">
        <f t="shared" si="42"/>
        <v>0</v>
      </c>
      <c r="P190" s="149">
        <v>0</v>
      </c>
      <c r="Q190" s="163">
        <f t="shared" si="48"/>
        <v>125</v>
      </c>
      <c r="R190" s="150">
        <f t="shared" si="56"/>
        <v>0</v>
      </c>
      <c r="S190"/>
    </row>
    <row r="191" spans="1:19" x14ac:dyDescent="0.25">
      <c r="A191" s="80" t="str">
        <f t="shared" si="53"/>
        <v>Sat</v>
      </c>
      <c r="B191" s="147">
        <f>IF(SUMIFS(CashFlow!$C$16:$C$40,CashFlow!$D$16:$D$40,CashFlowCalcs!$E191)&gt;0,SUMIFS(CashFlow!$C$16:$C$40,CashFlow!$D$16:$D$40,CashFlowCalcs!$E191),B190)</f>
        <v>4</v>
      </c>
      <c r="C191" s="147" t="str">
        <f t="shared" si="44"/>
        <v>Y</v>
      </c>
      <c r="D191" s="80">
        <f t="shared" si="49"/>
        <v>125</v>
      </c>
      <c r="E191" s="81">
        <f t="shared" si="57"/>
        <v>44541</v>
      </c>
      <c r="F191" s="80">
        <f t="shared" si="51"/>
        <v>-2.2603550295857988</v>
      </c>
      <c r="G191" s="119">
        <f t="shared" si="45"/>
        <v>3.1007041253111867E-2</v>
      </c>
      <c r="H191" s="125">
        <f t="shared" si="52"/>
        <v>44541</v>
      </c>
      <c r="I191" s="82">
        <f t="shared" si="40"/>
        <v>7.7728569113658441E-2</v>
      </c>
      <c r="J191" s="126">
        <f t="shared" si="46"/>
        <v>708870.89029782894</v>
      </c>
      <c r="K191" s="139">
        <f t="shared" si="41"/>
        <v>0</v>
      </c>
      <c r="L191" s="83">
        <f t="shared" si="39"/>
        <v>708870.89029782894</v>
      </c>
      <c r="M191" s="80">
        <f t="shared" si="47"/>
        <v>125</v>
      </c>
      <c r="N191" s="84">
        <f t="shared" si="55"/>
        <v>0</v>
      </c>
      <c r="O191" s="140">
        <f t="shared" si="42"/>
        <v>0</v>
      </c>
      <c r="P191" s="149">
        <v>0</v>
      </c>
      <c r="Q191" s="163">
        <f t="shared" si="48"/>
        <v>125</v>
      </c>
      <c r="R191" s="150">
        <f t="shared" si="56"/>
        <v>0</v>
      </c>
      <c r="S191"/>
    </row>
    <row r="192" spans="1:19" x14ac:dyDescent="0.25">
      <c r="A192" s="80" t="str">
        <f t="shared" si="53"/>
        <v>Sun</v>
      </c>
      <c r="B192" s="147">
        <f>IF(SUMIFS(CashFlow!$C$16:$C$40,CashFlow!$D$16:$D$40,CashFlowCalcs!$E192)&gt;0,SUMIFS(CashFlow!$C$16:$C$40,CashFlow!$D$16:$D$40,CashFlowCalcs!$E192),B191)</f>
        <v>4</v>
      </c>
      <c r="C192" s="147" t="str">
        <f t="shared" si="44"/>
        <v>Y</v>
      </c>
      <c r="D192" s="80">
        <f t="shared" si="49"/>
        <v>125</v>
      </c>
      <c r="E192" s="81">
        <f t="shared" si="57"/>
        <v>44542</v>
      </c>
      <c r="F192" s="80">
        <f t="shared" si="51"/>
        <v>-2.2603550295857988</v>
      </c>
      <c r="G192" s="119">
        <f t="shared" si="45"/>
        <v>3.1007041253111867E-2</v>
      </c>
      <c r="H192" s="125">
        <f t="shared" si="52"/>
        <v>44542</v>
      </c>
      <c r="I192" s="82">
        <f t="shared" si="40"/>
        <v>7.7728569113658441E-2</v>
      </c>
      <c r="J192" s="126">
        <f t="shared" si="46"/>
        <v>708870.89029782894</v>
      </c>
      <c r="K192" s="139">
        <f t="shared" si="41"/>
        <v>0</v>
      </c>
      <c r="L192" s="83">
        <f t="shared" si="39"/>
        <v>708870.89029782894</v>
      </c>
      <c r="M192" s="80">
        <f t="shared" si="47"/>
        <v>125</v>
      </c>
      <c r="N192" s="84">
        <f t="shared" si="55"/>
        <v>0</v>
      </c>
      <c r="O192" s="140">
        <f t="shared" si="42"/>
        <v>0</v>
      </c>
      <c r="P192" s="149">
        <v>0</v>
      </c>
      <c r="Q192" s="163">
        <f t="shared" si="48"/>
        <v>125</v>
      </c>
      <c r="R192" s="150">
        <f t="shared" si="56"/>
        <v>0</v>
      </c>
      <c r="S192"/>
    </row>
    <row r="193" spans="1:19" x14ac:dyDescent="0.25">
      <c r="A193" s="80" t="str">
        <f t="shared" si="53"/>
        <v>Mon</v>
      </c>
      <c r="B193" s="147">
        <f>IF(SUMIFS(CashFlow!$C$16:$C$40,CashFlow!$D$16:$D$40,CashFlowCalcs!$E193)&gt;0,SUMIFS(CashFlow!$C$16:$C$40,CashFlow!$D$16:$D$40,CashFlowCalcs!$E193),B192)</f>
        <v>4</v>
      </c>
      <c r="C193" s="147" t="str">
        <f t="shared" si="44"/>
        <v>N</v>
      </c>
      <c r="D193" s="80">
        <f t="shared" si="49"/>
        <v>126</v>
      </c>
      <c r="E193" s="81">
        <f t="shared" si="57"/>
        <v>44543</v>
      </c>
      <c r="F193" s="80">
        <f t="shared" si="51"/>
        <v>-2.2544378698224854</v>
      </c>
      <c r="G193" s="119">
        <f t="shared" si="45"/>
        <v>3.1423992431861607E-2</v>
      </c>
      <c r="H193" s="125">
        <f t="shared" si="52"/>
        <v>44543</v>
      </c>
      <c r="I193" s="82">
        <f t="shared" si="40"/>
        <v>7.8773783916641874E-2</v>
      </c>
      <c r="J193" s="126">
        <f t="shared" si="46"/>
        <v>718403.06561498833</v>
      </c>
      <c r="K193" s="139">
        <f t="shared" si="41"/>
        <v>0</v>
      </c>
      <c r="L193" s="83">
        <f t="shared" si="39"/>
        <v>718403.06561498833</v>
      </c>
      <c r="M193" s="80">
        <f t="shared" si="47"/>
        <v>126</v>
      </c>
      <c r="N193" s="84">
        <f t="shared" si="55"/>
        <v>0</v>
      </c>
      <c r="O193" s="140">
        <f t="shared" si="42"/>
        <v>0</v>
      </c>
      <c r="P193" s="149">
        <v>0</v>
      </c>
      <c r="Q193" s="163">
        <f t="shared" si="48"/>
        <v>126</v>
      </c>
      <c r="R193" s="150">
        <f t="shared" si="56"/>
        <v>0</v>
      </c>
      <c r="S193"/>
    </row>
    <row r="194" spans="1:19" x14ac:dyDescent="0.25">
      <c r="A194" s="80" t="str">
        <f t="shared" si="53"/>
        <v>Tues</v>
      </c>
      <c r="B194" s="147">
        <f>IF(SUMIFS(CashFlow!$C$16:$C$40,CashFlow!$D$16:$D$40,CashFlowCalcs!$E194)&gt;0,SUMIFS(CashFlow!$C$16:$C$40,CashFlow!$D$16:$D$40,CashFlowCalcs!$E194),B193)</f>
        <v>4</v>
      </c>
      <c r="C194" s="147" t="str">
        <f t="shared" si="44"/>
        <v>N</v>
      </c>
      <c r="D194" s="80">
        <f t="shared" si="49"/>
        <v>127</v>
      </c>
      <c r="E194" s="81">
        <f t="shared" si="57"/>
        <v>44544</v>
      </c>
      <c r="F194" s="80">
        <f t="shared" si="51"/>
        <v>-2.2485207100591715</v>
      </c>
      <c r="G194" s="119">
        <f t="shared" si="45"/>
        <v>3.1845435329591221E-2</v>
      </c>
      <c r="H194" s="125">
        <f t="shared" si="52"/>
        <v>44544</v>
      </c>
      <c r="I194" s="82">
        <f t="shared" si="40"/>
        <v>7.9830258577872223E-2</v>
      </c>
      <c r="J194" s="126">
        <f t="shared" si="46"/>
        <v>728037.92886055214</v>
      </c>
      <c r="K194" s="139">
        <f t="shared" si="41"/>
        <v>0</v>
      </c>
      <c r="L194" s="83">
        <f t="shared" si="39"/>
        <v>728037.92886055214</v>
      </c>
      <c r="M194" s="80">
        <f t="shared" si="47"/>
        <v>127</v>
      </c>
      <c r="N194" s="84">
        <f t="shared" si="55"/>
        <v>0</v>
      </c>
      <c r="O194" s="140">
        <f t="shared" si="42"/>
        <v>0</v>
      </c>
      <c r="P194" s="149">
        <v>0</v>
      </c>
      <c r="Q194" s="163">
        <f t="shared" si="48"/>
        <v>127</v>
      </c>
      <c r="R194" s="150">
        <f t="shared" si="56"/>
        <v>0</v>
      </c>
      <c r="S194"/>
    </row>
    <row r="195" spans="1:19" x14ac:dyDescent="0.25">
      <c r="A195" s="80" t="str">
        <f t="shared" si="53"/>
        <v>Wed</v>
      </c>
      <c r="B195" s="147">
        <f>IF(SUMIFS(CashFlow!$C$16:$C$40,CashFlow!$D$16:$D$40,CashFlowCalcs!$E195)&gt;0,SUMIFS(CashFlow!$C$16:$C$40,CashFlow!$D$16:$D$40,CashFlowCalcs!$E195),B194)</f>
        <v>4</v>
      </c>
      <c r="C195" s="147" t="str">
        <f t="shared" si="44"/>
        <v>N</v>
      </c>
      <c r="D195" s="80">
        <f t="shared" si="49"/>
        <v>128</v>
      </c>
      <c r="E195" s="81">
        <f t="shared" si="57"/>
        <v>44545</v>
      </c>
      <c r="F195" s="80">
        <f t="shared" si="51"/>
        <v>-2.2426035502958577</v>
      </c>
      <c r="G195" s="119">
        <f t="shared" si="45"/>
        <v>3.2271400477839988E-2</v>
      </c>
      <c r="H195" s="125">
        <f t="shared" si="52"/>
        <v>44545</v>
      </c>
      <c r="I195" s="82">
        <f t="shared" si="40"/>
        <v>8.0898069633928441E-2</v>
      </c>
      <c r="J195" s="126">
        <f t="shared" si="46"/>
        <v>737776.17803466984</v>
      </c>
      <c r="K195" s="139">
        <f t="shared" si="41"/>
        <v>0</v>
      </c>
      <c r="L195" s="83">
        <f t="shared" si="39"/>
        <v>737776.17803466984</v>
      </c>
      <c r="M195" s="80">
        <f t="shared" si="47"/>
        <v>128</v>
      </c>
      <c r="N195" s="84">
        <f t="shared" si="55"/>
        <v>0</v>
      </c>
      <c r="O195" s="140">
        <f t="shared" si="42"/>
        <v>0</v>
      </c>
      <c r="P195" s="149">
        <v>0</v>
      </c>
      <c r="Q195" s="163">
        <f t="shared" si="48"/>
        <v>128</v>
      </c>
      <c r="R195" s="150">
        <f t="shared" si="56"/>
        <v>0</v>
      </c>
      <c r="S195"/>
    </row>
    <row r="196" spans="1:19" x14ac:dyDescent="0.25">
      <c r="A196" s="80" t="str">
        <f t="shared" si="53"/>
        <v>Thu</v>
      </c>
      <c r="B196" s="147">
        <f>IF(SUMIFS(CashFlow!$C$16:$C$40,CashFlow!$D$16:$D$40,CashFlowCalcs!$E196)&gt;0,SUMIFS(CashFlow!$C$16:$C$40,CashFlow!$D$16:$D$40,CashFlowCalcs!$E196),B195)</f>
        <v>4</v>
      </c>
      <c r="C196" s="147" t="str">
        <f t="shared" si="44"/>
        <v>N</v>
      </c>
      <c r="D196" s="80">
        <f t="shared" si="49"/>
        <v>129</v>
      </c>
      <c r="E196" s="81">
        <f t="shared" ref="E196:E211" si="58">E195+1</f>
        <v>44546</v>
      </c>
      <c r="F196" s="80">
        <f t="shared" si="51"/>
        <v>-2.2366863905325443</v>
      </c>
      <c r="G196" s="119">
        <f t="shared" si="45"/>
        <v>3.2701918338901723E-2</v>
      </c>
      <c r="H196" s="125">
        <f t="shared" si="52"/>
        <v>44546</v>
      </c>
      <c r="I196" s="82">
        <f t="shared" si="40"/>
        <v>8.1977293447804689E-2</v>
      </c>
      <c r="J196" s="126">
        <f t="shared" si="46"/>
        <v>747618.50955442828</v>
      </c>
      <c r="K196" s="139">
        <f t="shared" si="41"/>
        <v>0</v>
      </c>
      <c r="L196" s="83">
        <f t="shared" si="39"/>
        <v>747618.50955442828</v>
      </c>
      <c r="M196" s="80">
        <f t="shared" si="47"/>
        <v>129</v>
      </c>
      <c r="N196" s="84">
        <f t="shared" si="55"/>
        <v>0</v>
      </c>
      <c r="O196" s="140">
        <f t="shared" si="42"/>
        <v>0</v>
      </c>
      <c r="P196" s="149">
        <v>0</v>
      </c>
      <c r="Q196" s="163">
        <f t="shared" si="48"/>
        <v>129</v>
      </c>
      <c r="R196" s="150">
        <f t="shared" si="56"/>
        <v>0</v>
      </c>
      <c r="S196"/>
    </row>
    <row r="197" spans="1:19" x14ac:dyDescent="0.25">
      <c r="A197" s="80" t="str">
        <f t="shared" si="53"/>
        <v>Fri</v>
      </c>
      <c r="B197" s="147">
        <f>IF(SUMIFS(CashFlow!$C$16:$C$40,CashFlow!$D$16:$D$40,CashFlowCalcs!$E197)&gt;0,SUMIFS(CashFlow!$C$16:$C$40,CashFlow!$D$16:$D$40,CashFlowCalcs!$E197),B196)</f>
        <v>4</v>
      </c>
      <c r="C197" s="147" t="str">
        <f t="shared" si="44"/>
        <v>N</v>
      </c>
      <c r="D197" s="80">
        <f t="shared" si="49"/>
        <v>130</v>
      </c>
      <c r="E197" s="81">
        <f t="shared" si="58"/>
        <v>44547</v>
      </c>
      <c r="F197" s="80">
        <f t="shared" si="51"/>
        <v>-2.2307692307692308</v>
      </c>
      <c r="G197" s="119">
        <f t="shared" si="45"/>
        <v>3.3137019300604101E-2</v>
      </c>
      <c r="H197" s="125">
        <f t="shared" si="52"/>
        <v>44547</v>
      </c>
      <c r="I197" s="82">
        <f t="shared" si="40"/>
        <v>8.3068006195823121E-2</v>
      </c>
      <c r="J197" s="126">
        <f t="shared" si="46"/>
        <v>757565.61813449801</v>
      </c>
      <c r="K197" s="139">
        <f t="shared" si="41"/>
        <v>0</v>
      </c>
      <c r="L197" s="83">
        <f t="shared" si="39"/>
        <v>757565.61813449801</v>
      </c>
      <c r="M197" s="80">
        <f t="shared" si="47"/>
        <v>130</v>
      </c>
      <c r="N197" s="84">
        <f t="shared" si="55"/>
        <v>0</v>
      </c>
      <c r="O197" s="140">
        <f t="shared" si="42"/>
        <v>0</v>
      </c>
      <c r="P197" s="149">
        <v>0</v>
      </c>
      <c r="Q197" s="163">
        <f t="shared" si="48"/>
        <v>130</v>
      </c>
      <c r="R197" s="150">
        <f t="shared" si="56"/>
        <v>0</v>
      </c>
      <c r="S197"/>
    </row>
    <row r="198" spans="1:19" x14ac:dyDescent="0.25">
      <c r="A198" s="80" t="str">
        <f t="shared" si="53"/>
        <v>Sat</v>
      </c>
      <c r="B198" s="147">
        <f>IF(SUMIFS(CashFlow!$C$16:$C$40,CashFlow!$D$16:$D$40,CashFlowCalcs!$E198)&gt;0,SUMIFS(CashFlow!$C$16:$C$40,CashFlow!$D$16:$D$40,CashFlowCalcs!$E198),B197)</f>
        <v>4</v>
      </c>
      <c r="C198" s="147" t="str">
        <f t="shared" si="44"/>
        <v>Y</v>
      </c>
      <c r="D198" s="80">
        <f t="shared" si="49"/>
        <v>130</v>
      </c>
      <c r="E198" s="81">
        <f t="shared" si="58"/>
        <v>44548</v>
      </c>
      <c r="F198" s="80">
        <f t="shared" si="51"/>
        <v>-2.2307692307692308</v>
      </c>
      <c r="G198" s="119">
        <f t="shared" si="45"/>
        <v>3.3137019300604101E-2</v>
      </c>
      <c r="H198" s="125">
        <f t="shared" si="52"/>
        <v>44548</v>
      </c>
      <c r="I198" s="82">
        <f t="shared" si="40"/>
        <v>8.3068006195823121E-2</v>
      </c>
      <c r="J198" s="126">
        <f t="shared" si="46"/>
        <v>757565.61813449801</v>
      </c>
      <c r="K198" s="139">
        <f t="shared" si="41"/>
        <v>0</v>
      </c>
      <c r="L198" s="83">
        <f t="shared" si="39"/>
        <v>757565.61813449801</v>
      </c>
      <c r="M198" s="80">
        <f t="shared" si="47"/>
        <v>130</v>
      </c>
      <c r="N198" s="84">
        <f t="shared" si="55"/>
        <v>0</v>
      </c>
      <c r="O198" s="140">
        <f t="shared" si="42"/>
        <v>0</v>
      </c>
      <c r="P198" s="149">
        <v>0</v>
      </c>
      <c r="Q198" s="163">
        <f t="shared" si="48"/>
        <v>130</v>
      </c>
      <c r="R198" s="150">
        <f t="shared" si="56"/>
        <v>0</v>
      </c>
      <c r="S198"/>
    </row>
    <row r="199" spans="1:19" x14ac:dyDescent="0.25">
      <c r="A199" s="80" t="str">
        <f t="shared" si="53"/>
        <v>Sun</v>
      </c>
      <c r="B199" s="147">
        <f>IF(SUMIFS(CashFlow!$C$16:$C$40,CashFlow!$D$16:$D$40,CashFlowCalcs!$E199)&gt;0,SUMIFS(CashFlow!$C$16:$C$40,CashFlow!$D$16:$D$40,CashFlowCalcs!$E199),B198)</f>
        <v>4</v>
      </c>
      <c r="C199" s="147" t="str">
        <f t="shared" si="44"/>
        <v>Y</v>
      </c>
      <c r="D199" s="80">
        <f t="shared" si="49"/>
        <v>130</v>
      </c>
      <c r="E199" s="81">
        <f t="shared" si="58"/>
        <v>44549</v>
      </c>
      <c r="F199" s="80">
        <f t="shared" si="51"/>
        <v>-2.2307692307692308</v>
      </c>
      <c r="G199" s="119">
        <f t="shared" si="45"/>
        <v>3.3137019300604101E-2</v>
      </c>
      <c r="H199" s="125">
        <f t="shared" si="52"/>
        <v>44549</v>
      </c>
      <c r="I199" s="82">
        <f t="shared" si="40"/>
        <v>8.3068006195823121E-2</v>
      </c>
      <c r="J199" s="126">
        <f t="shared" si="46"/>
        <v>757565.61813449801</v>
      </c>
      <c r="K199" s="139">
        <f t="shared" si="41"/>
        <v>0</v>
      </c>
      <c r="L199" s="83">
        <f t="shared" si="39"/>
        <v>757565.61813449801</v>
      </c>
      <c r="M199" s="80">
        <f t="shared" si="47"/>
        <v>130</v>
      </c>
      <c r="N199" s="84">
        <f t="shared" si="55"/>
        <v>0</v>
      </c>
      <c r="O199" s="140">
        <f t="shared" si="42"/>
        <v>0</v>
      </c>
      <c r="P199" s="149">
        <v>0</v>
      </c>
      <c r="Q199" s="163">
        <f t="shared" si="48"/>
        <v>130</v>
      </c>
      <c r="R199" s="150">
        <f t="shared" si="56"/>
        <v>0</v>
      </c>
      <c r="S199"/>
    </row>
    <row r="200" spans="1:19" x14ac:dyDescent="0.25">
      <c r="A200" s="80" t="str">
        <f t="shared" si="53"/>
        <v>Mon</v>
      </c>
      <c r="B200" s="147">
        <f>IF(SUMIFS(CashFlow!$C$16:$C$40,CashFlow!$D$16:$D$40,CashFlowCalcs!$E200)&gt;0,SUMIFS(CashFlow!$C$16:$C$40,CashFlow!$D$16:$D$40,CashFlowCalcs!$E200),B199)</f>
        <v>4</v>
      </c>
      <c r="C200" s="147" t="str">
        <f t="shared" si="44"/>
        <v>N</v>
      </c>
      <c r="D200" s="80">
        <f t="shared" si="49"/>
        <v>131</v>
      </c>
      <c r="E200" s="81">
        <f t="shared" si="58"/>
        <v>44550</v>
      </c>
      <c r="F200" s="80">
        <f t="shared" si="51"/>
        <v>-2.224852071005917</v>
      </c>
      <c r="G200" s="119">
        <f t="shared" si="45"/>
        <v>3.3576733671030964E-2</v>
      </c>
      <c r="H200" s="125">
        <f t="shared" si="52"/>
        <v>44550</v>
      </c>
      <c r="I200" s="82">
        <f t="shared" si="40"/>
        <v>8.4170283854403755E-2</v>
      </c>
      <c r="J200" s="126">
        <f t="shared" si="46"/>
        <v>767618.1966664776</v>
      </c>
      <c r="K200" s="139">
        <f t="shared" si="41"/>
        <v>0</v>
      </c>
      <c r="L200" s="83">
        <f t="shared" si="39"/>
        <v>767618.1966664776</v>
      </c>
      <c r="M200" s="80">
        <f t="shared" si="47"/>
        <v>131</v>
      </c>
      <c r="N200" s="84">
        <f t="shared" si="55"/>
        <v>0</v>
      </c>
      <c r="O200" s="140">
        <f t="shared" si="42"/>
        <v>0</v>
      </c>
      <c r="P200" s="149">
        <v>0</v>
      </c>
      <c r="Q200" s="163">
        <f t="shared" si="48"/>
        <v>131</v>
      </c>
      <c r="R200" s="150">
        <f t="shared" si="56"/>
        <v>0</v>
      </c>
      <c r="S200"/>
    </row>
    <row r="201" spans="1:19" x14ac:dyDescent="0.25">
      <c r="A201" s="80" t="str">
        <f t="shared" si="53"/>
        <v>Tues</v>
      </c>
      <c r="B201" s="147">
        <f>IF(SUMIFS(CashFlow!$C$16:$C$40,CashFlow!$D$16:$D$40,CashFlowCalcs!$E201)&gt;0,SUMIFS(CashFlow!$C$16:$C$40,CashFlow!$D$16:$D$40,CashFlowCalcs!$E201),B200)</f>
        <v>6</v>
      </c>
      <c r="C201" s="147" t="str">
        <f t="shared" si="44"/>
        <v>N</v>
      </c>
      <c r="D201" s="80">
        <f t="shared" si="49"/>
        <v>132</v>
      </c>
      <c r="E201" s="81">
        <f t="shared" si="58"/>
        <v>44551</v>
      </c>
      <c r="F201" s="80">
        <f t="shared" si="51"/>
        <v>-2.2189349112426036</v>
      </c>
      <c r="G201" s="119">
        <f t="shared" si="45"/>
        <v>3.402109167318864E-2</v>
      </c>
      <c r="H201" s="125">
        <f t="shared" si="52"/>
        <v>44551</v>
      </c>
      <c r="I201" s="82">
        <f t="shared" si="40"/>
        <v>8.5284202186693955E-2</v>
      </c>
      <c r="J201" s="126">
        <f t="shared" si="46"/>
        <v>777776.9360969566</v>
      </c>
      <c r="K201" s="139">
        <f t="shared" si="41"/>
        <v>0</v>
      </c>
      <c r="L201" s="83">
        <f t="shared" si="39"/>
        <v>777776.9360969566</v>
      </c>
      <c r="M201" s="80">
        <f t="shared" si="47"/>
        <v>132</v>
      </c>
      <c r="N201" s="84">
        <f t="shared" si="55"/>
        <v>0</v>
      </c>
      <c r="O201" s="140">
        <f t="shared" si="42"/>
        <v>0</v>
      </c>
      <c r="P201" s="149">
        <v>0</v>
      </c>
      <c r="Q201" s="163">
        <f t="shared" si="48"/>
        <v>132</v>
      </c>
      <c r="R201" s="150">
        <f t="shared" si="56"/>
        <v>0</v>
      </c>
      <c r="S201"/>
    </row>
    <row r="202" spans="1:19" x14ac:dyDescent="0.25">
      <c r="A202" s="80" t="str">
        <f t="shared" si="53"/>
        <v>Wed</v>
      </c>
      <c r="B202" s="147">
        <f>IF(SUMIFS(CashFlow!$C$16:$C$40,CashFlow!$D$16:$D$40,CashFlowCalcs!$E202)&gt;0,SUMIFS(CashFlow!$C$16:$C$40,CashFlow!$D$16:$D$40,CashFlowCalcs!$E202),B201)</f>
        <v>6</v>
      </c>
      <c r="C202" s="147" t="str">
        <f t="shared" si="44"/>
        <v>N</v>
      </c>
      <c r="D202" s="80">
        <f t="shared" si="49"/>
        <v>133</v>
      </c>
      <c r="E202" s="81">
        <f t="shared" si="58"/>
        <v>44552</v>
      </c>
      <c r="F202" s="80">
        <f t="shared" si="51"/>
        <v>-2.2130177514792901</v>
      </c>
      <c r="G202" s="119">
        <f t="shared" si="45"/>
        <v>3.4470123439616508E-2</v>
      </c>
      <c r="H202" s="125">
        <f t="shared" si="52"/>
        <v>44552</v>
      </c>
      <c r="I202" s="82">
        <f t="shared" si="40"/>
        <v>8.6409836729058234E-2</v>
      </c>
      <c r="J202" s="126">
        <f t="shared" si="46"/>
        <v>788042.52530430432</v>
      </c>
      <c r="K202" s="139">
        <f t="shared" si="41"/>
        <v>0</v>
      </c>
      <c r="L202" s="83">
        <f t="shared" si="39"/>
        <v>788042.52530430432</v>
      </c>
      <c r="M202" s="80">
        <f t="shared" si="47"/>
        <v>133</v>
      </c>
      <c r="N202" s="84">
        <f t="shared" si="55"/>
        <v>0</v>
      </c>
      <c r="O202" s="140">
        <f t="shared" si="42"/>
        <v>0</v>
      </c>
      <c r="P202" s="149">
        <v>0</v>
      </c>
      <c r="Q202" s="163">
        <f t="shared" si="48"/>
        <v>133</v>
      </c>
      <c r="R202" s="150">
        <f t="shared" si="56"/>
        <v>0</v>
      </c>
      <c r="S202"/>
    </row>
    <row r="203" spans="1:19" x14ac:dyDescent="0.25">
      <c r="A203" s="80" t="str">
        <f t="shared" si="53"/>
        <v>Thu</v>
      </c>
      <c r="B203" s="147">
        <f>IF(SUMIFS(CashFlow!$C$16:$C$40,CashFlow!$D$16:$D$40,CashFlowCalcs!$E203)&gt;0,SUMIFS(CashFlow!$C$16:$C$40,CashFlow!$D$16:$D$40,CashFlowCalcs!$E203),B202)</f>
        <v>6</v>
      </c>
      <c r="C203" s="147" t="str">
        <f t="shared" si="44"/>
        <v>N</v>
      </c>
      <c r="D203" s="80">
        <f t="shared" si="49"/>
        <v>134</v>
      </c>
      <c r="E203" s="81">
        <f t="shared" si="58"/>
        <v>44553</v>
      </c>
      <c r="F203" s="80">
        <f t="shared" si="51"/>
        <v>-2.2071005917159763</v>
      </c>
      <c r="G203" s="119">
        <f t="shared" si="45"/>
        <v>3.492385900694172E-2</v>
      </c>
      <c r="H203" s="125">
        <f t="shared" si="52"/>
        <v>44553</v>
      </c>
      <c r="I203" s="82">
        <f t="shared" si="40"/>
        <v>8.7547262777427914E-2</v>
      </c>
      <c r="J203" s="126">
        <f t="shared" si="46"/>
        <v>798415.65097418206</v>
      </c>
      <c r="K203" s="139">
        <f t="shared" si="41"/>
        <v>0</v>
      </c>
      <c r="L203" s="83">
        <f t="shared" si="39"/>
        <v>798415.65097418206</v>
      </c>
      <c r="M203" s="80">
        <f t="shared" si="47"/>
        <v>134</v>
      </c>
      <c r="N203" s="84">
        <f t="shared" si="55"/>
        <v>0</v>
      </c>
      <c r="O203" s="140">
        <f t="shared" si="42"/>
        <v>0</v>
      </c>
      <c r="P203" s="149">
        <v>0</v>
      </c>
      <c r="Q203" s="163">
        <f t="shared" si="48"/>
        <v>134</v>
      </c>
      <c r="R203" s="150">
        <f t="shared" si="56"/>
        <v>0</v>
      </c>
      <c r="S203"/>
    </row>
    <row r="204" spans="1:19" x14ac:dyDescent="0.25">
      <c r="A204" s="80" t="str">
        <f t="shared" si="53"/>
        <v>Fri</v>
      </c>
      <c r="B204" s="147">
        <f>IF(SUMIFS(CashFlow!$C$16:$C$40,CashFlow!$D$16:$D$40,CashFlowCalcs!$E204)&gt;0,SUMIFS(CashFlow!$C$16:$C$40,CashFlow!$D$16:$D$40,CashFlowCalcs!$E204),B203)</f>
        <v>6</v>
      </c>
      <c r="C204" s="147" t="str">
        <f t="shared" si="44"/>
        <v>N</v>
      </c>
      <c r="D204" s="80">
        <f t="shared" si="49"/>
        <v>135</v>
      </c>
      <c r="E204" s="81">
        <f t="shared" si="58"/>
        <v>44554</v>
      </c>
      <c r="F204" s="80">
        <f t="shared" si="51"/>
        <v>-2.2011834319526624</v>
      </c>
      <c r="G204" s="119">
        <f t="shared" si="45"/>
        <v>3.5382328310379109E-2</v>
      </c>
      <c r="H204" s="125">
        <f t="shared" si="52"/>
        <v>44554</v>
      </c>
      <c r="I204" s="82">
        <f t="shared" si="40"/>
        <v>8.8696555373513564E-2</v>
      </c>
      <c r="J204" s="126">
        <f t="shared" si="46"/>
        <v>808896.9974738023</v>
      </c>
      <c r="K204" s="139">
        <f t="shared" si="41"/>
        <v>0</v>
      </c>
      <c r="L204" s="83">
        <f t="shared" ref="L204:L267" si="59">IF(AND(E204&gt;=$H$3,P204=0,E204&lt;=$I$1),J204+K204,0)</f>
        <v>808896.9974738023</v>
      </c>
      <c r="M204" s="80">
        <f t="shared" si="47"/>
        <v>135</v>
      </c>
      <c r="N204" s="84">
        <f t="shared" si="55"/>
        <v>0</v>
      </c>
      <c r="O204" s="140">
        <f t="shared" si="42"/>
        <v>0</v>
      </c>
      <c r="P204" s="149">
        <v>0</v>
      </c>
      <c r="Q204" s="163">
        <f t="shared" si="48"/>
        <v>135</v>
      </c>
      <c r="R204" s="150">
        <f t="shared" si="56"/>
        <v>0</v>
      </c>
      <c r="S204"/>
    </row>
    <row r="205" spans="1:19" x14ac:dyDescent="0.25">
      <c r="A205" s="80" t="str">
        <f t="shared" si="53"/>
        <v>Sat</v>
      </c>
      <c r="B205" s="147">
        <f>IF(SUMIFS(CashFlow!$C$16:$C$40,CashFlow!$D$16:$D$40,CashFlowCalcs!$E205)&gt;0,SUMIFS(CashFlow!$C$16:$C$40,CashFlow!$D$16:$D$40,CashFlowCalcs!$E205),B204)</f>
        <v>6</v>
      </c>
      <c r="C205" s="147" t="str">
        <f t="shared" si="44"/>
        <v>Y</v>
      </c>
      <c r="D205" s="80">
        <f t="shared" si="49"/>
        <v>135</v>
      </c>
      <c r="E205" s="81">
        <f t="shared" si="58"/>
        <v>44555</v>
      </c>
      <c r="F205" s="80">
        <f t="shared" si="51"/>
        <v>-2.2011834319526624</v>
      </c>
      <c r="G205" s="119">
        <f t="shared" si="45"/>
        <v>3.5382328310379109E-2</v>
      </c>
      <c r="H205" s="125">
        <f t="shared" si="52"/>
        <v>44555</v>
      </c>
      <c r="I205" s="82">
        <f t="shared" si="40"/>
        <v>8.8696555373513564E-2</v>
      </c>
      <c r="J205" s="126">
        <f t="shared" si="46"/>
        <v>808896.9974738023</v>
      </c>
      <c r="K205" s="139">
        <f t="shared" si="41"/>
        <v>0</v>
      </c>
      <c r="L205" s="83">
        <f t="shared" si="59"/>
        <v>808896.9974738023</v>
      </c>
      <c r="M205" s="80">
        <f t="shared" si="47"/>
        <v>135</v>
      </c>
      <c r="N205" s="84">
        <f t="shared" si="55"/>
        <v>0</v>
      </c>
      <c r="O205" s="140">
        <f t="shared" si="42"/>
        <v>0</v>
      </c>
      <c r="P205" s="149">
        <v>0</v>
      </c>
      <c r="Q205" s="163">
        <f t="shared" si="48"/>
        <v>135</v>
      </c>
      <c r="R205" s="150">
        <f t="shared" si="56"/>
        <v>0</v>
      </c>
      <c r="S205"/>
    </row>
    <row r="206" spans="1:19" x14ac:dyDescent="0.25">
      <c r="A206" s="80" t="str">
        <f t="shared" si="53"/>
        <v>Sun</v>
      </c>
      <c r="B206" s="147">
        <f>IF(SUMIFS(CashFlow!$C$16:$C$40,CashFlow!$D$16:$D$40,CashFlowCalcs!$E206)&gt;0,SUMIFS(CashFlow!$C$16:$C$40,CashFlow!$D$16:$D$40,CashFlowCalcs!$E206),B205)</f>
        <v>6</v>
      </c>
      <c r="C206" s="147" t="str">
        <f t="shared" si="44"/>
        <v>Y</v>
      </c>
      <c r="D206" s="80">
        <f t="shared" si="49"/>
        <v>135</v>
      </c>
      <c r="E206" s="81">
        <f t="shared" si="58"/>
        <v>44556</v>
      </c>
      <c r="F206" s="80">
        <f t="shared" si="51"/>
        <v>-2.2011834319526624</v>
      </c>
      <c r="G206" s="119">
        <f t="shared" si="45"/>
        <v>3.5382328310379109E-2</v>
      </c>
      <c r="H206" s="125">
        <f t="shared" si="52"/>
        <v>44556</v>
      </c>
      <c r="I206" s="82">
        <f t="shared" si="40"/>
        <v>8.8696555373513564E-2</v>
      </c>
      <c r="J206" s="126">
        <f t="shared" si="46"/>
        <v>808896.9974738023</v>
      </c>
      <c r="K206" s="139">
        <f t="shared" si="41"/>
        <v>0</v>
      </c>
      <c r="L206" s="83">
        <f t="shared" si="59"/>
        <v>808896.9974738023</v>
      </c>
      <c r="M206" s="80">
        <f t="shared" si="47"/>
        <v>135</v>
      </c>
      <c r="N206" s="84">
        <f t="shared" si="55"/>
        <v>0</v>
      </c>
      <c r="O206" s="140">
        <f t="shared" si="42"/>
        <v>0</v>
      </c>
      <c r="P206" s="149">
        <v>0</v>
      </c>
      <c r="Q206" s="163">
        <f t="shared" si="48"/>
        <v>135</v>
      </c>
      <c r="R206" s="150">
        <f t="shared" si="56"/>
        <v>0</v>
      </c>
      <c r="S206"/>
    </row>
    <row r="207" spans="1:19" x14ac:dyDescent="0.25">
      <c r="A207" s="80" t="str">
        <f t="shared" si="53"/>
        <v>Mon</v>
      </c>
      <c r="B207" s="147">
        <f>IF(SUMIFS(CashFlow!$C$16:$C$40,CashFlow!$D$16:$D$40,CashFlowCalcs!$E207)&gt;0,SUMIFS(CashFlow!$C$16:$C$40,CashFlow!$D$16:$D$40,CashFlowCalcs!$E207),B206)</f>
        <v>6</v>
      </c>
      <c r="C207" s="147" t="str">
        <f t="shared" si="44"/>
        <v>N</v>
      </c>
      <c r="D207" s="80">
        <f t="shared" si="49"/>
        <v>136</v>
      </c>
      <c r="E207" s="81">
        <f t="shared" si="58"/>
        <v>44557</v>
      </c>
      <c r="F207" s="80">
        <f t="shared" si="51"/>
        <v>-2.1952662721893494</v>
      </c>
      <c r="G207" s="119">
        <f t="shared" si="45"/>
        <v>3.5845561178176381E-2</v>
      </c>
      <c r="H207" s="125">
        <f t="shared" si="52"/>
        <v>44557</v>
      </c>
      <c r="I207" s="82">
        <f t="shared" si="40"/>
        <v>8.9857789290880161E-2</v>
      </c>
      <c r="J207" s="126">
        <f t="shared" si="46"/>
        <v>819487.24672493711</v>
      </c>
      <c r="K207" s="139">
        <f t="shared" si="41"/>
        <v>0</v>
      </c>
      <c r="L207" s="83">
        <f t="shared" si="59"/>
        <v>819487.24672493711</v>
      </c>
      <c r="M207" s="80">
        <f t="shared" si="47"/>
        <v>136</v>
      </c>
      <c r="N207" s="84">
        <f t="shared" si="55"/>
        <v>0</v>
      </c>
      <c r="O207" s="140">
        <f t="shared" si="42"/>
        <v>0</v>
      </c>
      <c r="P207" s="149">
        <v>0</v>
      </c>
      <c r="Q207" s="163">
        <f t="shared" si="48"/>
        <v>136</v>
      </c>
      <c r="R207" s="150">
        <f t="shared" si="56"/>
        <v>0</v>
      </c>
      <c r="S207"/>
    </row>
    <row r="208" spans="1:19" x14ac:dyDescent="0.25">
      <c r="A208" s="80" t="str">
        <f t="shared" si="53"/>
        <v>Tues</v>
      </c>
      <c r="B208" s="147">
        <f>IF(SUMIFS(CashFlow!$C$16:$C$40,CashFlow!$D$16:$D$40,CashFlowCalcs!$E208)&gt;0,SUMIFS(CashFlow!$C$16:$C$40,CashFlow!$D$16:$D$40,CashFlowCalcs!$E208),B207)</f>
        <v>6</v>
      </c>
      <c r="C208" s="147" t="str">
        <f t="shared" si="44"/>
        <v>N</v>
      </c>
      <c r="D208" s="80">
        <f t="shared" si="49"/>
        <v>137</v>
      </c>
      <c r="E208" s="81">
        <f t="shared" si="58"/>
        <v>44558</v>
      </c>
      <c r="F208" s="80">
        <f t="shared" si="51"/>
        <v>-2.1893491124260356</v>
      </c>
      <c r="G208" s="119">
        <f t="shared" si="45"/>
        <v>3.6313587326005432E-2</v>
      </c>
      <c r="H208" s="125">
        <f t="shared" si="52"/>
        <v>44558</v>
      </c>
      <c r="I208" s="82">
        <f t="shared" si="40"/>
        <v>9.1031039020887161E-2</v>
      </c>
      <c r="J208" s="126">
        <f t="shared" si="46"/>
        <v>830187.07807569334</v>
      </c>
      <c r="K208" s="139">
        <f t="shared" si="41"/>
        <v>0</v>
      </c>
      <c r="L208" s="83">
        <f t="shared" si="59"/>
        <v>830187.07807569334</v>
      </c>
      <c r="M208" s="80">
        <f t="shared" si="47"/>
        <v>137</v>
      </c>
      <c r="N208" s="84">
        <f t="shared" si="55"/>
        <v>0</v>
      </c>
      <c r="O208" s="140">
        <f t="shared" si="42"/>
        <v>0</v>
      </c>
      <c r="P208" s="149">
        <v>0</v>
      </c>
      <c r="Q208" s="163">
        <f t="shared" si="48"/>
        <v>137</v>
      </c>
      <c r="R208" s="150">
        <f t="shared" si="56"/>
        <v>0</v>
      </c>
      <c r="S208"/>
    </row>
    <row r="209" spans="1:19" x14ac:dyDescent="0.25">
      <c r="A209" s="80" t="str">
        <f t="shared" si="53"/>
        <v>Wed</v>
      </c>
      <c r="B209" s="147">
        <f>IF(SUMIFS(CashFlow!$C$16:$C$40,CashFlow!$D$16:$D$40,CashFlowCalcs!$E209)&gt;0,SUMIFS(CashFlow!$C$16:$C$40,CashFlow!$D$16:$D$40,CashFlowCalcs!$E209),B208)</f>
        <v>6</v>
      </c>
      <c r="C209" s="147" t="str">
        <f t="shared" si="44"/>
        <v>N</v>
      </c>
      <c r="D209" s="80">
        <f t="shared" si="49"/>
        <v>138</v>
      </c>
      <c r="E209" s="81">
        <f t="shared" si="58"/>
        <v>44559</v>
      </c>
      <c r="F209" s="80">
        <f t="shared" si="51"/>
        <v>-2.1834319526627217</v>
      </c>
      <c r="G209" s="119">
        <f t="shared" si="45"/>
        <v>3.6786436351299294E-2</v>
      </c>
      <c r="H209" s="125">
        <f t="shared" si="52"/>
        <v>44559</v>
      </c>
      <c r="I209" s="82">
        <f t="shared" si="40"/>
        <v>9.2216378758492451E-2</v>
      </c>
      <c r="J209" s="126">
        <f t="shared" si="46"/>
        <v>840997.16817104816</v>
      </c>
      <c r="K209" s="139">
        <f t="shared" si="41"/>
        <v>0</v>
      </c>
      <c r="L209" s="83">
        <f t="shared" si="59"/>
        <v>840997.16817104816</v>
      </c>
      <c r="M209" s="80">
        <f t="shared" si="47"/>
        <v>138</v>
      </c>
      <c r="N209" s="84">
        <f t="shared" si="55"/>
        <v>0</v>
      </c>
      <c r="O209" s="140">
        <f t="shared" si="42"/>
        <v>0</v>
      </c>
      <c r="P209" s="149">
        <v>0</v>
      </c>
      <c r="Q209" s="163">
        <f t="shared" si="48"/>
        <v>138</v>
      </c>
      <c r="R209" s="150">
        <f t="shared" si="56"/>
        <v>0</v>
      </c>
      <c r="S209"/>
    </row>
    <row r="210" spans="1:19" x14ac:dyDescent="0.25">
      <c r="A210" s="80" t="str">
        <f t="shared" si="53"/>
        <v>Thu</v>
      </c>
      <c r="B210" s="147">
        <f>IF(SUMIFS(CashFlow!$C$16:$C$40,CashFlow!$D$16:$D$40,CashFlowCalcs!$E210)&gt;0,SUMIFS(CashFlow!$C$16:$C$40,CashFlow!$D$16:$D$40,CashFlowCalcs!$E210),B209)</f>
        <v>6</v>
      </c>
      <c r="C210" s="147" t="str">
        <f t="shared" si="44"/>
        <v>N</v>
      </c>
      <c r="D210" s="80">
        <f t="shared" si="49"/>
        <v>139</v>
      </c>
      <c r="E210" s="81">
        <f t="shared" si="58"/>
        <v>44560</v>
      </c>
      <c r="F210" s="80">
        <f t="shared" si="51"/>
        <v>-2.1775147928994083</v>
      </c>
      <c r="G210" s="119">
        <f t="shared" si="45"/>
        <v>3.7264137727536555E-2</v>
      </c>
      <c r="H210" s="125">
        <f t="shared" si="52"/>
        <v>44560</v>
      </c>
      <c r="I210" s="82">
        <f t="shared" ref="I210:I273" si="60">G210/VLOOKUP($J$5,$D$18:$G$750,4)</f>
        <v>9.3413882387924405E-2</v>
      </c>
      <c r="J210" s="126">
        <f t="shared" si="46"/>
        <v>851918.19082217966</v>
      </c>
      <c r="K210" s="139">
        <f t="shared" ref="K210:K273" si="61">N210*O210</f>
        <v>0</v>
      </c>
      <c r="L210" s="83">
        <f t="shared" si="59"/>
        <v>851918.19082217966</v>
      </c>
      <c r="M210" s="80">
        <f t="shared" si="47"/>
        <v>139</v>
      </c>
      <c r="N210" s="84">
        <f t="shared" si="55"/>
        <v>0</v>
      </c>
      <c r="O210" s="140">
        <f t="shared" ref="O210:O273" si="62">IF(E210&lt;$J$6,0,IF(E210&gt;=$I$1,0,($J$5-D210)/($J$5-VLOOKUP($J$6,$H$17:$M$750,6))))</f>
        <v>0</v>
      </c>
      <c r="P210" s="149">
        <v>0</v>
      </c>
      <c r="Q210" s="163">
        <f t="shared" si="48"/>
        <v>139</v>
      </c>
      <c r="R210" s="150">
        <f t="shared" ref="R210:R273" si="63">IF(OR(E210&lt;$J$6+1,E210&gt;$I$1),0,1)</f>
        <v>0</v>
      </c>
      <c r="S210"/>
    </row>
    <row r="211" spans="1:19" x14ac:dyDescent="0.25">
      <c r="A211" s="80" t="str">
        <f t="shared" si="53"/>
        <v>Fri</v>
      </c>
      <c r="B211" s="147">
        <f>IF(SUMIFS(CashFlow!$C$16:$C$40,CashFlow!$D$16:$D$40,CashFlowCalcs!$E211)&gt;0,SUMIFS(CashFlow!$C$16:$C$40,CashFlow!$D$16:$D$40,CashFlowCalcs!$E211),B210)</f>
        <v>6</v>
      </c>
      <c r="C211" s="147" t="str">
        <f t="shared" ref="C211:C274" si="64">IF(LEFT(A211,1)="S","Y","N")</f>
        <v>N</v>
      </c>
      <c r="D211" s="80">
        <f t="shared" si="49"/>
        <v>140</v>
      </c>
      <c r="E211" s="81">
        <f t="shared" si="58"/>
        <v>44561</v>
      </c>
      <c r="F211" s="80">
        <f t="shared" si="51"/>
        <v>-2.1715976331360949</v>
      </c>
      <c r="G211" s="119">
        <f t="shared" ref="G211:G274" si="65">NORMDIST(F211,0,1,0)</f>
        <v>3.7746720798472792E-2</v>
      </c>
      <c r="H211" s="125">
        <f t="shared" si="52"/>
        <v>44561</v>
      </c>
      <c r="I211" s="82">
        <f t="shared" si="60"/>
        <v>9.4623623468221271E-2</v>
      </c>
      <c r="J211" s="126">
        <f t="shared" ref="J211:J274" si="66">(I211*$G$8)+$G$7</f>
        <v>862950.81687458965</v>
      </c>
      <c r="K211" s="139">
        <f t="shared" si="61"/>
        <v>0</v>
      </c>
      <c r="L211" s="83">
        <f t="shared" si="59"/>
        <v>862950.81687458965</v>
      </c>
      <c r="M211" s="80">
        <f t="shared" ref="M211:M274" si="67">D211</f>
        <v>140</v>
      </c>
      <c r="N211" s="84">
        <f t="shared" si="55"/>
        <v>0</v>
      </c>
      <c r="O211" s="140">
        <f t="shared" si="62"/>
        <v>0</v>
      </c>
      <c r="P211" s="149">
        <v>0</v>
      </c>
      <c r="Q211" s="163">
        <f t="shared" ref="Q211:Q274" si="68">D211</f>
        <v>140</v>
      </c>
      <c r="R211" s="150">
        <f t="shared" si="63"/>
        <v>0</v>
      </c>
      <c r="S211"/>
    </row>
    <row r="212" spans="1:19" x14ac:dyDescent="0.25">
      <c r="A212" s="80" t="str">
        <f t="shared" si="53"/>
        <v>Sat</v>
      </c>
      <c r="B212" s="147">
        <f>IF(SUMIFS(CashFlow!$C$16:$C$40,CashFlow!$D$16:$D$40,CashFlowCalcs!$E212)&gt;0,SUMIFS(CashFlow!$C$16:$C$40,CashFlow!$D$16:$D$40,CashFlowCalcs!$E212),B211)</f>
        <v>6</v>
      </c>
      <c r="C212" s="147" t="str">
        <f t="shared" si="64"/>
        <v>Y</v>
      </c>
      <c r="D212" s="80">
        <f t="shared" ref="D212:D275" si="69">IF($C212="N",$D211+1,$D211)</f>
        <v>140</v>
      </c>
      <c r="E212" s="81">
        <f t="shared" ref="E212:E227" si="70">E211+1</f>
        <v>44562</v>
      </c>
      <c r="F212" s="80">
        <f t="shared" ref="F212:F275" si="71">$F$18+((((D212)/($J$5+2)*3)))</f>
        <v>-2.1715976331360949</v>
      </c>
      <c r="G212" s="119">
        <f t="shared" si="65"/>
        <v>3.7746720798472792E-2</v>
      </c>
      <c r="H212" s="125">
        <f t="shared" ref="H212:H275" si="72">H211+1</f>
        <v>44562</v>
      </c>
      <c r="I212" s="82">
        <f t="shared" si="60"/>
        <v>9.4623623468221271E-2</v>
      </c>
      <c r="J212" s="126">
        <f t="shared" si="66"/>
        <v>862950.81687458965</v>
      </c>
      <c r="K212" s="139">
        <f t="shared" si="61"/>
        <v>0</v>
      </c>
      <c r="L212" s="83">
        <f t="shared" si="59"/>
        <v>862950.81687458965</v>
      </c>
      <c r="M212" s="80">
        <f t="shared" si="67"/>
        <v>140</v>
      </c>
      <c r="N212" s="84">
        <f t="shared" si="55"/>
        <v>0</v>
      </c>
      <c r="O212" s="140">
        <f t="shared" si="62"/>
        <v>0</v>
      </c>
      <c r="P212" s="149">
        <v>0</v>
      </c>
      <c r="Q212" s="163">
        <f t="shared" si="68"/>
        <v>140</v>
      </c>
      <c r="R212" s="150">
        <f t="shared" si="63"/>
        <v>0</v>
      </c>
      <c r="S212"/>
    </row>
    <row r="213" spans="1:19" x14ac:dyDescent="0.25">
      <c r="A213" s="80" t="str">
        <f t="shared" si="53"/>
        <v>Sun</v>
      </c>
      <c r="B213" s="147">
        <f>IF(SUMIFS(CashFlow!$C$16:$C$40,CashFlow!$D$16:$D$40,CashFlowCalcs!$E213)&gt;0,SUMIFS(CashFlow!$C$16:$C$40,CashFlow!$D$16:$D$40,CashFlowCalcs!$E213),B212)</f>
        <v>6</v>
      </c>
      <c r="C213" s="147" t="str">
        <f t="shared" si="64"/>
        <v>Y</v>
      </c>
      <c r="D213" s="80">
        <f t="shared" si="69"/>
        <v>140</v>
      </c>
      <c r="E213" s="81">
        <f t="shared" si="70"/>
        <v>44563</v>
      </c>
      <c r="F213" s="80">
        <f t="shared" si="71"/>
        <v>-2.1715976331360949</v>
      </c>
      <c r="G213" s="119">
        <f t="shared" si="65"/>
        <v>3.7746720798472792E-2</v>
      </c>
      <c r="H213" s="125">
        <f t="shared" si="72"/>
        <v>44563</v>
      </c>
      <c r="I213" s="82">
        <f t="shared" si="60"/>
        <v>9.4623623468221271E-2</v>
      </c>
      <c r="J213" s="126">
        <f t="shared" si="66"/>
        <v>862950.81687458965</v>
      </c>
      <c r="K213" s="139">
        <f t="shared" si="61"/>
        <v>0</v>
      </c>
      <c r="L213" s="83">
        <f t="shared" si="59"/>
        <v>862950.81687458965</v>
      </c>
      <c r="M213" s="80">
        <f t="shared" si="67"/>
        <v>140</v>
      </c>
      <c r="N213" s="84">
        <f t="shared" si="55"/>
        <v>0</v>
      </c>
      <c r="O213" s="140">
        <f t="shared" si="62"/>
        <v>0</v>
      </c>
      <c r="P213" s="149">
        <v>0</v>
      </c>
      <c r="Q213" s="163">
        <f t="shared" si="68"/>
        <v>140</v>
      </c>
      <c r="R213" s="150">
        <f t="shared" si="63"/>
        <v>0</v>
      </c>
      <c r="S213"/>
    </row>
    <row r="214" spans="1:19" x14ac:dyDescent="0.25">
      <c r="A214" s="80" t="str">
        <f t="shared" si="53"/>
        <v>Mon</v>
      </c>
      <c r="B214" s="147">
        <f>IF(SUMIFS(CashFlow!$C$16:$C$40,CashFlow!$D$16:$D$40,CashFlowCalcs!$E214)&gt;0,SUMIFS(CashFlow!$C$16:$C$40,CashFlow!$D$16:$D$40,CashFlowCalcs!$E214),B213)</f>
        <v>6</v>
      </c>
      <c r="C214" s="147" t="str">
        <f t="shared" si="64"/>
        <v>N</v>
      </c>
      <c r="D214" s="80">
        <f t="shared" si="69"/>
        <v>141</v>
      </c>
      <c r="E214" s="81">
        <f t="shared" si="70"/>
        <v>44564</v>
      </c>
      <c r="F214" s="80">
        <f t="shared" si="71"/>
        <v>-2.165680473372781</v>
      </c>
      <c r="G214" s="119">
        <f t="shared" si="65"/>
        <v>3.8234214772319947E-2</v>
      </c>
      <c r="H214" s="125">
        <f t="shared" si="72"/>
        <v>44564</v>
      </c>
      <c r="I214" s="82">
        <f t="shared" si="60"/>
        <v>9.5845675218639972E-2</v>
      </c>
      <c r="J214" s="126">
        <f t="shared" si="66"/>
        <v>874095.71407503355</v>
      </c>
      <c r="K214" s="139">
        <f t="shared" si="61"/>
        <v>0</v>
      </c>
      <c r="L214" s="83">
        <f t="shared" si="59"/>
        <v>874095.71407503355</v>
      </c>
      <c r="M214" s="80">
        <f t="shared" si="67"/>
        <v>141</v>
      </c>
      <c r="N214" s="84">
        <f t="shared" si="55"/>
        <v>0</v>
      </c>
      <c r="O214" s="140">
        <f t="shared" si="62"/>
        <v>0</v>
      </c>
      <c r="P214" s="149">
        <v>0</v>
      </c>
      <c r="Q214" s="163">
        <f t="shared" si="68"/>
        <v>141</v>
      </c>
      <c r="R214" s="150">
        <f t="shared" si="63"/>
        <v>0</v>
      </c>
      <c r="S214"/>
    </row>
    <row r="215" spans="1:19" x14ac:dyDescent="0.25">
      <c r="A215" s="80" t="str">
        <f t="shared" si="53"/>
        <v>Tues</v>
      </c>
      <c r="B215" s="147">
        <f>IF(SUMIFS(CashFlow!$C$16:$C$40,CashFlow!$D$16:$D$40,CashFlowCalcs!$E215)&gt;0,SUMIFS(CashFlow!$C$16:$C$40,CashFlow!$D$16:$D$40,CashFlowCalcs!$E215),B214)</f>
        <v>6</v>
      </c>
      <c r="C215" s="147" t="str">
        <f t="shared" si="64"/>
        <v>N</v>
      </c>
      <c r="D215" s="80">
        <f t="shared" si="69"/>
        <v>142</v>
      </c>
      <c r="E215" s="81">
        <f t="shared" si="70"/>
        <v>44565</v>
      </c>
      <c r="F215" s="80">
        <f t="shared" si="71"/>
        <v>-2.1597633136094676</v>
      </c>
      <c r="G215" s="119">
        <f t="shared" si="65"/>
        <v>3.8726648715873842E-2</v>
      </c>
      <c r="H215" s="125">
        <f t="shared" si="72"/>
        <v>44565</v>
      </c>
      <c r="I215" s="82">
        <f t="shared" si="60"/>
        <v>9.7080110503935016E-2</v>
      </c>
      <c r="J215" s="126">
        <f t="shared" si="66"/>
        <v>885353.54693726741</v>
      </c>
      <c r="K215" s="139">
        <f t="shared" si="61"/>
        <v>0</v>
      </c>
      <c r="L215" s="83">
        <f t="shared" si="59"/>
        <v>885353.54693726741</v>
      </c>
      <c r="M215" s="80">
        <f t="shared" si="67"/>
        <v>142</v>
      </c>
      <c r="N215" s="84">
        <f t="shared" si="55"/>
        <v>0</v>
      </c>
      <c r="O215" s="140">
        <f t="shared" si="62"/>
        <v>0</v>
      </c>
      <c r="P215" s="149">
        <v>0</v>
      </c>
      <c r="Q215" s="163">
        <f t="shared" si="68"/>
        <v>142</v>
      </c>
      <c r="R215" s="150">
        <f t="shared" si="63"/>
        <v>0</v>
      </c>
      <c r="S215"/>
    </row>
    <row r="216" spans="1:19" x14ac:dyDescent="0.25">
      <c r="A216" s="80" t="str">
        <f t="shared" si="53"/>
        <v>Wed</v>
      </c>
      <c r="B216" s="147">
        <f>IF(SUMIFS(CashFlow!$C$16:$C$40,CashFlow!$D$16:$D$40,CashFlowCalcs!$E216)&gt;0,SUMIFS(CashFlow!$C$16:$C$40,CashFlow!$D$16:$D$40,CashFlowCalcs!$E216),B215)</f>
        <v>6</v>
      </c>
      <c r="C216" s="147" t="str">
        <f t="shared" si="64"/>
        <v>N</v>
      </c>
      <c r="D216" s="80">
        <f t="shared" si="69"/>
        <v>143</v>
      </c>
      <c r="E216" s="81">
        <f t="shared" si="70"/>
        <v>44566</v>
      </c>
      <c r="F216" s="80">
        <f t="shared" si="71"/>
        <v>-2.1538461538461537</v>
      </c>
      <c r="G216" s="119">
        <f t="shared" si="65"/>
        <v>3.922405154859112E-2</v>
      </c>
      <c r="H216" s="125">
        <f t="shared" si="72"/>
        <v>44566</v>
      </c>
      <c r="I216" s="82">
        <f t="shared" si="60"/>
        <v>9.8327001819510457E-2</v>
      </c>
      <c r="J216" s="126">
        <f t="shared" si="66"/>
        <v>896724.97660663561</v>
      </c>
      <c r="K216" s="139">
        <f t="shared" si="61"/>
        <v>0</v>
      </c>
      <c r="L216" s="83">
        <f t="shared" si="59"/>
        <v>896724.97660663561</v>
      </c>
      <c r="M216" s="80">
        <f t="shared" si="67"/>
        <v>143</v>
      </c>
      <c r="N216" s="84">
        <f t="shared" si="55"/>
        <v>0</v>
      </c>
      <c r="O216" s="140">
        <f t="shared" si="62"/>
        <v>0</v>
      </c>
      <c r="P216" s="149">
        <v>0</v>
      </c>
      <c r="Q216" s="163">
        <f t="shared" si="68"/>
        <v>143</v>
      </c>
      <c r="R216" s="150">
        <f t="shared" si="63"/>
        <v>0</v>
      </c>
      <c r="S216"/>
    </row>
    <row r="217" spans="1:19" s="74" customFormat="1" x14ac:dyDescent="0.25">
      <c r="A217" s="80" t="str">
        <f t="shared" si="53"/>
        <v>Thu</v>
      </c>
      <c r="B217" s="147">
        <f>IF(SUMIFS(CashFlow!$C$16:$C$40,CashFlow!$D$16:$D$40,CashFlowCalcs!$E217)&gt;0,SUMIFS(CashFlow!$C$16:$C$40,CashFlow!$D$16:$D$40,CashFlowCalcs!$E217),B216)</f>
        <v>6</v>
      </c>
      <c r="C217" s="147" t="str">
        <f t="shared" si="64"/>
        <v>N</v>
      </c>
      <c r="D217" s="80">
        <f t="shared" si="69"/>
        <v>144</v>
      </c>
      <c r="E217" s="85">
        <f t="shared" si="70"/>
        <v>44567</v>
      </c>
      <c r="F217" s="80">
        <f t="shared" si="71"/>
        <v>-2.1479289940828403</v>
      </c>
      <c r="G217" s="121">
        <f t="shared" si="65"/>
        <v>3.9726452036615317E-2</v>
      </c>
      <c r="H217" s="129">
        <f t="shared" si="72"/>
        <v>44567</v>
      </c>
      <c r="I217" s="86">
        <f t="shared" si="60"/>
        <v>9.9586421276444459E-2</v>
      </c>
      <c r="J217" s="130">
        <f t="shared" si="66"/>
        <v>908210.66072349832</v>
      </c>
      <c r="K217" s="143">
        <f t="shared" si="61"/>
        <v>0</v>
      </c>
      <c r="L217" s="83">
        <f t="shared" si="59"/>
        <v>908210.66072349832</v>
      </c>
      <c r="M217" s="80">
        <f t="shared" si="67"/>
        <v>144</v>
      </c>
      <c r="N217" s="87">
        <f t="shared" si="55"/>
        <v>0</v>
      </c>
      <c r="O217" s="144">
        <f t="shared" si="62"/>
        <v>0</v>
      </c>
      <c r="P217" s="149">
        <v>0</v>
      </c>
      <c r="Q217" s="163">
        <f t="shared" si="68"/>
        <v>144</v>
      </c>
      <c r="R217" s="150">
        <f t="shared" si="63"/>
        <v>0</v>
      </c>
    </row>
    <row r="218" spans="1:19" x14ac:dyDescent="0.25">
      <c r="A218" s="80" t="str">
        <f t="shared" ref="A218:A281" si="73">A211</f>
        <v>Fri</v>
      </c>
      <c r="B218" s="147">
        <f>IF(SUMIFS(CashFlow!$C$16:$C$40,CashFlow!$D$16:$D$40,CashFlowCalcs!$E218)&gt;0,SUMIFS(CashFlow!$C$16:$C$40,CashFlow!$D$16:$D$40,CashFlowCalcs!$E218),B217)</f>
        <v>6</v>
      </c>
      <c r="C218" s="147" t="str">
        <f t="shared" si="64"/>
        <v>N</v>
      </c>
      <c r="D218" s="80">
        <f t="shared" si="69"/>
        <v>145</v>
      </c>
      <c r="E218" s="81">
        <f t="shared" si="70"/>
        <v>44568</v>
      </c>
      <c r="F218" s="80">
        <f t="shared" si="71"/>
        <v>-2.1420118343195265</v>
      </c>
      <c r="G218" s="119">
        <f t="shared" si="65"/>
        <v>4.0233878786753455E-2</v>
      </c>
      <c r="H218" s="125">
        <f t="shared" si="72"/>
        <v>44568</v>
      </c>
      <c r="I218" s="82">
        <f t="shared" si="60"/>
        <v>0.10085844058638985</v>
      </c>
      <c r="J218" s="126">
        <f t="shared" si="66"/>
        <v>919811.25328552676</v>
      </c>
      <c r="K218" s="139">
        <f t="shared" si="61"/>
        <v>0</v>
      </c>
      <c r="L218" s="83">
        <f t="shared" si="59"/>
        <v>919811.25328552676</v>
      </c>
      <c r="M218" s="80">
        <f t="shared" si="67"/>
        <v>145</v>
      </c>
      <c r="N218" s="84">
        <f t="shared" si="55"/>
        <v>0</v>
      </c>
      <c r="O218" s="140">
        <f t="shared" si="62"/>
        <v>0</v>
      </c>
      <c r="P218" s="149">
        <v>0</v>
      </c>
      <c r="Q218" s="163">
        <f t="shared" si="68"/>
        <v>145</v>
      </c>
      <c r="R218" s="150">
        <f t="shared" si="63"/>
        <v>0</v>
      </c>
      <c r="S218"/>
    </row>
    <row r="219" spans="1:19" x14ac:dyDescent="0.25">
      <c r="A219" s="80" t="str">
        <f t="shared" si="73"/>
        <v>Sat</v>
      </c>
      <c r="B219" s="147">
        <f>IF(SUMIFS(CashFlow!$C$16:$C$40,CashFlow!$D$16:$D$40,CashFlowCalcs!$E219)&gt;0,SUMIFS(CashFlow!$C$16:$C$40,CashFlow!$D$16:$D$40,CashFlowCalcs!$E219),B218)</f>
        <v>6</v>
      </c>
      <c r="C219" s="147" t="str">
        <f t="shared" si="64"/>
        <v>Y</v>
      </c>
      <c r="D219" s="80">
        <f t="shared" si="69"/>
        <v>145</v>
      </c>
      <c r="E219" s="81">
        <f t="shared" si="70"/>
        <v>44569</v>
      </c>
      <c r="F219" s="80">
        <f t="shared" si="71"/>
        <v>-2.1420118343195265</v>
      </c>
      <c r="G219" s="119">
        <f t="shared" si="65"/>
        <v>4.0233878786753455E-2</v>
      </c>
      <c r="H219" s="125">
        <f t="shared" si="72"/>
        <v>44569</v>
      </c>
      <c r="I219" s="82">
        <f t="shared" si="60"/>
        <v>0.10085844058638985</v>
      </c>
      <c r="J219" s="126">
        <f t="shared" si="66"/>
        <v>919811.25328552676</v>
      </c>
      <c r="K219" s="139">
        <f t="shared" si="61"/>
        <v>0</v>
      </c>
      <c r="L219" s="83">
        <f t="shared" si="59"/>
        <v>919811.25328552676</v>
      </c>
      <c r="M219" s="80">
        <f t="shared" si="67"/>
        <v>145</v>
      </c>
      <c r="N219" s="84">
        <f t="shared" si="55"/>
        <v>0</v>
      </c>
      <c r="O219" s="140">
        <f t="shared" si="62"/>
        <v>0</v>
      </c>
      <c r="P219" s="149">
        <v>0</v>
      </c>
      <c r="Q219" s="163">
        <f t="shared" si="68"/>
        <v>145</v>
      </c>
      <c r="R219" s="150">
        <f t="shared" si="63"/>
        <v>0</v>
      </c>
      <c r="S219"/>
    </row>
    <row r="220" spans="1:19" x14ac:dyDescent="0.25">
      <c r="A220" s="80" t="str">
        <f t="shared" si="73"/>
        <v>Sun</v>
      </c>
      <c r="B220" s="147">
        <f>IF(SUMIFS(CashFlow!$C$16:$C$40,CashFlow!$D$16:$D$40,CashFlowCalcs!$E220)&gt;0,SUMIFS(CashFlow!$C$16:$C$40,CashFlow!$D$16:$D$40,CashFlowCalcs!$E220),B219)</f>
        <v>6</v>
      </c>
      <c r="C220" s="147" t="str">
        <f t="shared" si="64"/>
        <v>Y</v>
      </c>
      <c r="D220" s="80">
        <f t="shared" si="69"/>
        <v>145</v>
      </c>
      <c r="E220" s="81">
        <f t="shared" si="70"/>
        <v>44570</v>
      </c>
      <c r="F220" s="80">
        <f t="shared" si="71"/>
        <v>-2.1420118343195265</v>
      </c>
      <c r="G220" s="119">
        <f t="shared" si="65"/>
        <v>4.0233878786753455E-2</v>
      </c>
      <c r="H220" s="125">
        <f t="shared" si="72"/>
        <v>44570</v>
      </c>
      <c r="I220" s="82">
        <f t="shared" si="60"/>
        <v>0.10085844058638985</v>
      </c>
      <c r="J220" s="126">
        <f t="shared" si="66"/>
        <v>919811.25328552676</v>
      </c>
      <c r="K220" s="139">
        <f t="shared" si="61"/>
        <v>0</v>
      </c>
      <c r="L220" s="83">
        <f t="shared" si="59"/>
        <v>919811.25328552676</v>
      </c>
      <c r="M220" s="80">
        <f t="shared" si="67"/>
        <v>145</v>
      </c>
      <c r="N220" s="84">
        <f t="shared" si="55"/>
        <v>0</v>
      </c>
      <c r="O220" s="140">
        <f t="shared" si="62"/>
        <v>0</v>
      </c>
      <c r="P220" s="149">
        <v>0</v>
      </c>
      <c r="Q220" s="163">
        <f t="shared" si="68"/>
        <v>145</v>
      </c>
      <c r="R220" s="150">
        <f t="shared" si="63"/>
        <v>0</v>
      </c>
      <c r="S220"/>
    </row>
    <row r="221" spans="1:19" x14ac:dyDescent="0.25">
      <c r="A221" s="80" t="str">
        <f t="shared" si="73"/>
        <v>Mon</v>
      </c>
      <c r="B221" s="147">
        <f>IF(SUMIFS(CashFlow!$C$16:$C$40,CashFlow!$D$16:$D$40,CashFlowCalcs!$E221)&gt;0,SUMIFS(CashFlow!$C$16:$C$40,CashFlow!$D$16:$D$40,CashFlowCalcs!$E221),B220)</f>
        <v>6</v>
      </c>
      <c r="C221" s="147" t="str">
        <f t="shared" si="64"/>
        <v>N</v>
      </c>
      <c r="D221" s="80">
        <f t="shared" si="69"/>
        <v>146</v>
      </c>
      <c r="E221" s="81">
        <f t="shared" si="70"/>
        <v>44571</v>
      </c>
      <c r="F221" s="80">
        <f t="shared" si="71"/>
        <v>-2.136094674556213</v>
      </c>
      <c r="G221" s="119">
        <f t="shared" si="65"/>
        <v>4.0746360240403089E-2</v>
      </c>
      <c r="H221" s="125">
        <f t="shared" si="72"/>
        <v>44571</v>
      </c>
      <c r="I221" s="82">
        <f t="shared" si="60"/>
        <v>0.10214313104635032</v>
      </c>
      <c r="J221" s="126">
        <f t="shared" si="66"/>
        <v>931527.40450886486</v>
      </c>
      <c r="K221" s="139">
        <f t="shared" si="61"/>
        <v>0</v>
      </c>
      <c r="L221" s="83">
        <f t="shared" si="59"/>
        <v>931527.40450886486</v>
      </c>
      <c r="M221" s="80">
        <f t="shared" si="67"/>
        <v>146</v>
      </c>
      <c r="N221" s="84">
        <f t="shared" si="55"/>
        <v>0</v>
      </c>
      <c r="O221" s="140">
        <f t="shared" si="62"/>
        <v>0</v>
      </c>
      <c r="P221" s="149">
        <v>0</v>
      </c>
      <c r="Q221" s="163">
        <f t="shared" si="68"/>
        <v>146</v>
      </c>
      <c r="R221" s="150">
        <f t="shared" si="63"/>
        <v>0</v>
      </c>
      <c r="S221"/>
    </row>
    <row r="222" spans="1:19" x14ac:dyDescent="0.25">
      <c r="A222" s="80" t="str">
        <f t="shared" si="73"/>
        <v>Tues</v>
      </c>
      <c r="B222" s="147">
        <f>IF(SUMIFS(CashFlow!$C$16:$C$40,CashFlow!$D$16:$D$40,CashFlowCalcs!$E222)&gt;0,SUMIFS(CashFlow!$C$16:$C$40,CashFlow!$D$16:$D$40,CashFlowCalcs!$E222),B221)</f>
        <v>6</v>
      </c>
      <c r="C222" s="147" t="str">
        <f t="shared" si="64"/>
        <v>N</v>
      </c>
      <c r="D222" s="80">
        <f t="shared" si="69"/>
        <v>147</v>
      </c>
      <c r="E222" s="81">
        <f t="shared" si="70"/>
        <v>44572</v>
      </c>
      <c r="F222" s="80">
        <f t="shared" si="71"/>
        <v>-2.1301775147928996</v>
      </c>
      <c r="G222" s="119">
        <f t="shared" si="65"/>
        <v>4.126392466743125E-2</v>
      </c>
      <c r="H222" s="125">
        <f t="shared" si="72"/>
        <v>44572</v>
      </c>
      <c r="I222" s="82">
        <f t="shared" si="60"/>
        <v>0.10344056352333623</v>
      </c>
      <c r="J222" s="126">
        <f t="shared" si="66"/>
        <v>943359.76068819279</v>
      </c>
      <c r="K222" s="139">
        <f t="shared" si="61"/>
        <v>0</v>
      </c>
      <c r="L222" s="83">
        <f t="shared" si="59"/>
        <v>943359.76068819279</v>
      </c>
      <c r="M222" s="80">
        <f t="shared" si="67"/>
        <v>147</v>
      </c>
      <c r="N222" s="84">
        <f t="shared" si="55"/>
        <v>0</v>
      </c>
      <c r="O222" s="140">
        <f t="shared" si="62"/>
        <v>0</v>
      </c>
      <c r="P222" s="149">
        <v>0</v>
      </c>
      <c r="Q222" s="163">
        <f t="shared" si="68"/>
        <v>147</v>
      </c>
      <c r="R222" s="150">
        <f t="shared" si="63"/>
        <v>0</v>
      </c>
      <c r="S222"/>
    </row>
    <row r="223" spans="1:19" x14ac:dyDescent="0.25">
      <c r="A223" s="80" t="str">
        <f t="shared" si="73"/>
        <v>Wed</v>
      </c>
      <c r="B223" s="147">
        <f>IF(SUMIFS(CashFlow!$C$16:$C$40,CashFlow!$D$16:$D$40,CashFlowCalcs!$E223)&gt;0,SUMIFS(CashFlow!$C$16:$C$40,CashFlow!$D$16:$D$40,CashFlowCalcs!$E223),B222)</f>
        <v>6</v>
      </c>
      <c r="C223" s="147" t="str">
        <f t="shared" si="64"/>
        <v>N</v>
      </c>
      <c r="D223" s="80">
        <f t="shared" si="69"/>
        <v>148</v>
      </c>
      <c r="E223" s="81">
        <f t="shared" si="70"/>
        <v>44573</v>
      </c>
      <c r="F223" s="80">
        <f t="shared" si="71"/>
        <v>-2.1242603550295858</v>
      </c>
      <c r="G223" s="119">
        <f t="shared" si="65"/>
        <v>4.1786600160005218E-2</v>
      </c>
      <c r="H223" s="125">
        <f t="shared" si="72"/>
        <v>44573</v>
      </c>
      <c r="I223" s="82">
        <f t="shared" si="60"/>
        <v>0.10475080843889953</v>
      </c>
      <c r="J223" s="126">
        <f t="shared" si="66"/>
        <v>955308.96405568859</v>
      </c>
      <c r="K223" s="139">
        <f t="shared" si="61"/>
        <v>0</v>
      </c>
      <c r="L223" s="83">
        <f t="shared" si="59"/>
        <v>955308.96405568859</v>
      </c>
      <c r="M223" s="80">
        <f t="shared" si="67"/>
        <v>148</v>
      </c>
      <c r="N223" s="84">
        <f t="shared" si="55"/>
        <v>0</v>
      </c>
      <c r="O223" s="140">
        <f t="shared" si="62"/>
        <v>0</v>
      </c>
      <c r="P223" s="149">
        <v>0</v>
      </c>
      <c r="Q223" s="163">
        <f t="shared" si="68"/>
        <v>148</v>
      </c>
      <c r="R223" s="150">
        <f t="shared" si="63"/>
        <v>0</v>
      </c>
      <c r="S223"/>
    </row>
    <row r="224" spans="1:19" x14ac:dyDescent="0.25">
      <c r="A224" s="80" t="str">
        <f t="shared" si="73"/>
        <v>Thu</v>
      </c>
      <c r="B224" s="147">
        <f>IF(SUMIFS(CashFlow!$C$16:$C$40,CashFlow!$D$16:$D$40,CashFlowCalcs!$E224)&gt;0,SUMIFS(CashFlow!$C$16:$C$40,CashFlow!$D$16:$D$40,CashFlowCalcs!$E224),B223)</f>
        <v>6</v>
      </c>
      <c r="C224" s="147" t="str">
        <f t="shared" si="64"/>
        <v>N</v>
      </c>
      <c r="D224" s="80">
        <f t="shared" si="69"/>
        <v>149</v>
      </c>
      <c r="E224" s="81">
        <f t="shared" si="70"/>
        <v>44574</v>
      </c>
      <c r="F224" s="80">
        <f t="shared" si="71"/>
        <v>-2.1183431952662719</v>
      </c>
      <c r="G224" s="119">
        <f t="shared" si="65"/>
        <v>4.2314414626376112E-2</v>
      </c>
      <c r="H224" s="125">
        <f t="shared" si="72"/>
        <v>44574</v>
      </c>
      <c r="I224" s="82">
        <f t="shared" si="60"/>
        <v>0.10607393575355041</v>
      </c>
      <c r="J224" s="126">
        <f t="shared" si="66"/>
        <v>967375.65263891034</v>
      </c>
      <c r="K224" s="139">
        <f t="shared" si="61"/>
        <v>0</v>
      </c>
      <c r="L224" s="83">
        <f t="shared" si="59"/>
        <v>967375.65263891034</v>
      </c>
      <c r="M224" s="80">
        <f t="shared" si="67"/>
        <v>149</v>
      </c>
      <c r="N224" s="84">
        <f t="shared" si="55"/>
        <v>0</v>
      </c>
      <c r="O224" s="140">
        <f t="shared" si="62"/>
        <v>0</v>
      </c>
      <c r="P224" s="149">
        <v>0</v>
      </c>
      <c r="Q224" s="163">
        <f t="shared" si="68"/>
        <v>149</v>
      </c>
      <c r="R224" s="150">
        <f t="shared" si="63"/>
        <v>0</v>
      </c>
      <c r="S224"/>
    </row>
    <row r="225" spans="1:19" x14ac:dyDescent="0.25">
      <c r="A225" s="80" t="str">
        <f t="shared" si="73"/>
        <v>Fri</v>
      </c>
      <c r="B225" s="147">
        <f>IF(SUMIFS(CashFlow!$C$16:$C$40,CashFlow!$D$16:$D$40,CashFlowCalcs!$E225)&gt;0,SUMIFS(CashFlow!$C$16:$C$40,CashFlow!$D$16:$D$40,CashFlowCalcs!$E225),B224)</f>
        <v>6</v>
      </c>
      <c r="C225" s="147" t="str">
        <f t="shared" si="64"/>
        <v>N</v>
      </c>
      <c r="D225" s="80">
        <f t="shared" si="69"/>
        <v>150</v>
      </c>
      <c r="E225" s="81">
        <f t="shared" si="70"/>
        <v>44575</v>
      </c>
      <c r="F225" s="80">
        <f t="shared" si="71"/>
        <v>-2.1124260355029585</v>
      </c>
      <c r="G225" s="119">
        <f t="shared" si="65"/>
        <v>4.2847395784616264E-2</v>
      </c>
      <c r="H225" s="125">
        <f t="shared" si="72"/>
        <v>44575</v>
      </c>
      <c r="I225" s="82">
        <f t="shared" si="60"/>
        <v>0.10741001495105816</v>
      </c>
      <c r="J225" s="126">
        <f t="shared" si="66"/>
        <v>979560.46011762286</v>
      </c>
      <c r="K225" s="139">
        <f t="shared" si="61"/>
        <v>0</v>
      </c>
      <c r="L225" s="83">
        <f t="shared" si="59"/>
        <v>979560.46011762286</v>
      </c>
      <c r="M225" s="80">
        <f t="shared" si="67"/>
        <v>150</v>
      </c>
      <c r="N225" s="84">
        <f t="shared" si="55"/>
        <v>0</v>
      </c>
      <c r="O225" s="140">
        <f t="shared" si="62"/>
        <v>0</v>
      </c>
      <c r="P225" s="149">
        <v>0</v>
      </c>
      <c r="Q225" s="163">
        <f t="shared" si="68"/>
        <v>150</v>
      </c>
      <c r="R225" s="150">
        <f t="shared" si="63"/>
        <v>0</v>
      </c>
      <c r="S225"/>
    </row>
    <row r="226" spans="1:19" x14ac:dyDescent="0.25">
      <c r="A226" s="80" t="str">
        <f t="shared" si="73"/>
        <v>Sat</v>
      </c>
      <c r="B226" s="147">
        <f>IF(SUMIFS(CashFlow!$C$16:$C$40,CashFlow!$D$16:$D$40,CashFlowCalcs!$E226)&gt;0,SUMIFS(CashFlow!$C$16:$C$40,CashFlow!$D$16:$D$40,CashFlowCalcs!$E226),B225)</f>
        <v>6</v>
      </c>
      <c r="C226" s="147" t="str">
        <f t="shared" si="64"/>
        <v>Y</v>
      </c>
      <c r="D226" s="80">
        <f t="shared" si="69"/>
        <v>150</v>
      </c>
      <c r="E226" s="81">
        <f t="shared" si="70"/>
        <v>44576</v>
      </c>
      <c r="F226" s="80">
        <f t="shared" si="71"/>
        <v>-2.1124260355029585</v>
      </c>
      <c r="G226" s="119">
        <f t="shared" si="65"/>
        <v>4.2847395784616264E-2</v>
      </c>
      <c r="H226" s="125">
        <f t="shared" si="72"/>
        <v>44576</v>
      </c>
      <c r="I226" s="82">
        <f t="shared" si="60"/>
        <v>0.10741001495105816</v>
      </c>
      <c r="J226" s="126">
        <f t="shared" si="66"/>
        <v>979560.46011762286</v>
      </c>
      <c r="K226" s="139">
        <f t="shared" si="61"/>
        <v>0</v>
      </c>
      <c r="L226" s="83">
        <f t="shared" si="59"/>
        <v>979560.46011762286</v>
      </c>
      <c r="M226" s="80">
        <f t="shared" si="67"/>
        <v>150</v>
      </c>
      <c r="N226" s="84">
        <f t="shared" si="55"/>
        <v>0</v>
      </c>
      <c r="O226" s="140">
        <f t="shared" si="62"/>
        <v>0</v>
      </c>
      <c r="P226" s="149">
        <v>0</v>
      </c>
      <c r="Q226" s="163">
        <f t="shared" si="68"/>
        <v>150</v>
      </c>
      <c r="R226" s="150">
        <f t="shared" si="63"/>
        <v>0</v>
      </c>
      <c r="S226"/>
    </row>
    <row r="227" spans="1:19" x14ac:dyDescent="0.25">
      <c r="A227" s="80" t="str">
        <f t="shared" si="73"/>
        <v>Sun</v>
      </c>
      <c r="B227" s="147">
        <f>IF(SUMIFS(CashFlow!$C$16:$C$40,CashFlow!$D$16:$D$40,CashFlowCalcs!$E227)&gt;0,SUMIFS(CashFlow!$C$16:$C$40,CashFlow!$D$16:$D$40,CashFlowCalcs!$E227),B226)</f>
        <v>6</v>
      </c>
      <c r="C227" s="147" t="str">
        <f t="shared" si="64"/>
        <v>Y</v>
      </c>
      <c r="D227" s="80">
        <f t="shared" si="69"/>
        <v>150</v>
      </c>
      <c r="E227" s="81">
        <f t="shared" si="70"/>
        <v>44577</v>
      </c>
      <c r="F227" s="80">
        <f t="shared" si="71"/>
        <v>-2.1124260355029585</v>
      </c>
      <c r="G227" s="119">
        <f t="shared" si="65"/>
        <v>4.2847395784616264E-2</v>
      </c>
      <c r="H227" s="125">
        <f t="shared" si="72"/>
        <v>44577</v>
      </c>
      <c r="I227" s="82">
        <f t="shared" si="60"/>
        <v>0.10741001495105816</v>
      </c>
      <c r="J227" s="126">
        <f t="shared" si="66"/>
        <v>979560.46011762286</v>
      </c>
      <c r="K227" s="139">
        <f t="shared" si="61"/>
        <v>0</v>
      </c>
      <c r="L227" s="83">
        <f t="shared" si="59"/>
        <v>979560.46011762286</v>
      </c>
      <c r="M227" s="80">
        <f t="shared" si="67"/>
        <v>150</v>
      </c>
      <c r="N227" s="84">
        <f t="shared" si="55"/>
        <v>0</v>
      </c>
      <c r="O227" s="140">
        <f t="shared" si="62"/>
        <v>0</v>
      </c>
      <c r="P227" s="149">
        <v>0</v>
      </c>
      <c r="Q227" s="163">
        <f t="shared" si="68"/>
        <v>150</v>
      </c>
      <c r="R227" s="150">
        <f t="shared" si="63"/>
        <v>0</v>
      </c>
      <c r="S227"/>
    </row>
    <row r="228" spans="1:19" x14ac:dyDescent="0.25">
      <c r="A228" s="80" t="str">
        <f t="shared" si="73"/>
        <v>Mon</v>
      </c>
      <c r="B228" s="147">
        <f>IF(SUMIFS(CashFlow!$C$16:$C$40,CashFlow!$D$16:$D$40,CashFlowCalcs!$E228)&gt;0,SUMIFS(CashFlow!$C$16:$C$40,CashFlow!$D$16:$D$40,CashFlowCalcs!$E228),B227)</f>
        <v>6</v>
      </c>
      <c r="C228" s="147" t="str">
        <f t="shared" si="64"/>
        <v>N</v>
      </c>
      <c r="D228" s="80">
        <f t="shared" si="69"/>
        <v>151</v>
      </c>
      <c r="E228" s="81">
        <f t="shared" ref="E228:E243" si="74">E227+1</f>
        <v>44578</v>
      </c>
      <c r="F228" s="80">
        <f t="shared" si="71"/>
        <v>-2.1065088757396451</v>
      </c>
      <c r="G228" s="119">
        <f t="shared" si="65"/>
        <v>4.3385571156310747E-2</v>
      </c>
      <c r="H228" s="125">
        <f t="shared" si="72"/>
        <v>44578</v>
      </c>
      <c r="I228" s="82">
        <f t="shared" si="60"/>
        <v>0.10875911502263706</v>
      </c>
      <c r="J228" s="126">
        <f t="shared" si="66"/>
        <v>991864.01567957585</v>
      </c>
      <c r="K228" s="139">
        <f t="shared" si="61"/>
        <v>0</v>
      </c>
      <c r="L228" s="83">
        <f t="shared" si="59"/>
        <v>991864.01567957585</v>
      </c>
      <c r="M228" s="80">
        <f t="shared" si="67"/>
        <v>151</v>
      </c>
      <c r="N228" s="84">
        <f t="shared" ref="N228:N291" si="75">IF(E228&lt;$J$6,0,IF(E228&gt;=$I$1,0,1))*$I$10</f>
        <v>0</v>
      </c>
      <c r="O228" s="140">
        <f t="shared" si="62"/>
        <v>0</v>
      </c>
      <c r="P228" s="149">
        <v>0</v>
      </c>
      <c r="Q228" s="163">
        <f t="shared" si="68"/>
        <v>151</v>
      </c>
      <c r="R228" s="150">
        <f t="shared" si="63"/>
        <v>0</v>
      </c>
      <c r="S228"/>
    </row>
    <row r="229" spans="1:19" x14ac:dyDescent="0.25">
      <c r="A229" s="80" t="str">
        <f t="shared" si="73"/>
        <v>Tues</v>
      </c>
      <c r="B229" s="147">
        <f>IF(SUMIFS(CashFlow!$C$16:$C$40,CashFlow!$D$16:$D$40,CashFlowCalcs!$E229)&gt;0,SUMIFS(CashFlow!$C$16:$C$40,CashFlow!$D$16:$D$40,CashFlowCalcs!$E229),B228)</f>
        <v>6</v>
      </c>
      <c r="C229" s="147" t="str">
        <f t="shared" si="64"/>
        <v>N</v>
      </c>
      <c r="D229" s="80">
        <f t="shared" si="69"/>
        <v>152</v>
      </c>
      <c r="E229" s="81">
        <f t="shared" si="74"/>
        <v>44579</v>
      </c>
      <c r="F229" s="80">
        <f t="shared" si="71"/>
        <v>-2.1005917159763312</v>
      </c>
      <c r="G229" s="119">
        <f t="shared" si="65"/>
        <v>4.3928968060203931E-2</v>
      </c>
      <c r="H229" s="125">
        <f t="shared" si="72"/>
        <v>44579</v>
      </c>
      <c r="I229" s="82">
        <f t="shared" si="60"/>
        <v>0.11012130445101957</v>
      </c>
      <c r="J229" s="126">
        <f t="shared" si="66"/>
        <v>1004286.9438752542</v>
      </c>
      <c r="K229" s="139">
        <f t="shared" si="61"/>
        <v>0</v>
      </c>
      <c r="L229" s="83">
        <f t="shared" si="59"/>
        <v>1004286.9438752542</v>
      </c>
      <c r="M229" s="80">
        <f t="shared" si="67"/>
        <v>152</v>
      </c>
      <c r="N229" s="84">
        <f t="shared" si="75"/>
        <v>0</v>
      </c>
      <c r="O229" s="140">
        <f t="shared" si="62"/>
        <v>0</v>
      </c>
      <c r="P229" s="149">
        <v>0</v>
      </c>
      <c r="Q229" s="163">
        <f t="shared" si="68"/>
        <v>152</v>
      </c>
      <c r="R229" s="150">
        <f t="shared" si="63"/>
        <v>0</v>
      </c>
      <c r="S229"/>
    </row>
    <row r="230" spans="1:19" x14ac:dyDescent="0.25">
      <c r="A230" s="80" t="str">
        <f t="shared" si="73"/>
        <v>Wed</v>
      </c>
      <c r="B230" s="147">
        <f>IF(SUMIFS(CashFlow!$C$16:$C$40,CashFlow!$D$16:$D$40,CashFlowCalcs!$E230)&gt;0,SUMIFS(CashFlow!$C$16:$C$40,CashFlow!$D$16:$D$40,CashFlowCalcs!$E230),B229)</f>
        <v>6</v>
      </c>
      <c r="C230" s="147" t="str">
        <f t="shared" si="64"/>
        <v>N</v>
      </c>
      <c r="D230" s="80">
        <f t="shared" si="69"/>
        <v>153</v>
      </c>
      <c r="E230" s="81">
        <f t="shared" si="74"/>
        <v>44580</v>
      </c>
      <c r="F230" s="80">
        <f t="shared" si="71"/>
        <v>-2.0946745562130178</v>
      </c>
      <c r="G230" s="119">
        <f t="shared" si="65"/>
        <v>4.4477613605801811E-2</v>
      </c>
      <c r="H230" s="125">
        <f t="shared" si="72"/>
        <v>44580</v>
      </c>
      <c r="I230" s="82">
        <f t="shared" si="60"/>
        <v>0.11149665119441857</v>
      </c>
      <c r="J230" s="126">
        <f t="shared" si="66"/>
        <v>1016829.8644716163</v>
      </c>
      <c r="K230" s="139">
        <f t="shared" si="61"/>
        <v>0</v>
      </c>
      <c r="L230" s="83">
        <f t="shared" si="59"/>
        <v>1016829.8644716163</v>
      </c>
      <c r="M230" s="80">
        <f t="shared" si="67"/>
        <v>153</v>
      </c>
      <c r="N230" s="84">
        <f t="shared" si="75"/>
        <v>0</v>
      </c>
      <c r="O230" s="140">
        <f t="shared" si="62"/>
        <v>0</v>
      </c>
      <c r="P230" s="149">
        <v>0</v>
      </c>
      <c r="Q230" s="163">
        <f t="shared" si="68"/>
        <v>153</v>
      </c>
      <c r="R230" s="150">
        <f t="shared" si="63"/>
        <v>0</v>
      </c>
      <c r="S230"/>
    </row>
    <row r="231" spans="1:19" x14ac:dyDescent="0.25">
      <c r="A231" s="80" t="str">
        <f t="shared" si="73"/>
        <v>Thu</v>
      </c>
      <c r="B231" s="147">
        <f>IF(SUMIFS(CashFlow!$C$16:$C$40,CashFlow!$D$16:$D$40,CashFlowCalcs!$E231)&gt;0,SUMIFS(CashFlow!$C$16:$C$40,CashFlow!$D$16:$D$40,CashFlowCalcs!$E231),B230)</f>
        <v>6</v>
      </c>
      <c r="C231" s="147" t="str">
        <f t="shared" si="64"/>
        <v>N</v>
      </c>
      <c r="D231" s="80">
        <f t="shared" si="69"/>
        <v>154</v>
      </c>
      <c r="E231" s="81">
        <f t="shared" si="74"/>
        <v>44581</v>
      </c>
      <c r="F231" s="80">
        <f t="shared" si="71"/>
        <v>-2.0887573964497044</v>
      </c>
      <c r="G231" s="119">
        <f t="shared" si="65"/>
        <v>4.5031534686931107E-2</v>
      </c>
      <c r="H231" s="125">
        <f t="shared" si="72"/>
        <v>44581</v>
      </c>
      <c r="I231" s="82">
        <f t="shared" si="60"/>
        <v>0.1128852226703813</v>
      </c>
      <c r="J231" s="126">
        <f t="shared" si="66"/>
        <v>1029493.3923048454</v>
      </c>
      <c r="K231" s="139">
        <f t="shared" si="61"/>
        <v>0</v>
      </c>
      <c r="L231" s="83">
        <f t="shared" si="59"/>
        <v>1029493.3923048454</v>
      </c>
      <c r="M231" s="80">
        <f t="shared" si="67"/>
        <v>154</v>
      </c>
      <c r="N231" s="84">
        <f t="shared" si="75"/>
        <v>0</v>
      </c>
      <c r="O231" s="140">
        <f t="shared" si="62"/>
        <v>0</v>
      </c>
      <c r="P231" s="149">
        <v>0</v>
      </c>
      <c r="Q231" s="163">
        <f t="shared" si="68"/>
        <v>154</v>
      </c>
      <c r="R231" s="150">
        <f t="shared" si="63"/>
        <v>0</v>
      </c>
      <c r="S231"/>
    </row>
    <row r="232" spans="1:19" x14ac:dyDescent="0.25">
      <c r="A232" s="80" t="str">
        <f t="shared" si="73"/>
        <v>Fri</v>
      </c>
      <c r="B232" s="147">
        <f>IF(SUMIFS(CashFlow!$C$16:$C$40,CashFlow!$D$16:$D$40,CashFlowCalcs!$E232)&gt;0,SUMIFS(CashFlow!$C$16:$C$40,CashFlow!$D$16:$D$40,CashFlowCalcs!$E232),B231)</f>
        <v>6</v>
      </c>
      <c r="C232" s="147" t="str">
        <f t="shared" si="64"/>
        <v>N</v>
      </c>
      <c r="D232" s="80">
        <f t="shared" si="69"/>
        <v>155</v>
      </c>
      <c r="E232" s="81">
        <f t="shared" si="74"/>
        <v>44582</v>
      </c>
      <c r="F232" s="80">
        <f t="shared" si="71"/>
        <v>-2.0828402366863905</v>
      </c>
      <c r="G232" s="119">
        <f t="shared" si="65"/>
        <v>4.5590757975255761E-2</v>
      </c>
      <c r="H232" s="125">
        <f t="shared" si="72"/>
        <v>44582</v>
      </c>
      <c r="I232" s="82">
        <f t="shared" si="60"/>
        <v>0.11428708573953653</v>
      </c>
      <c r="J232" s="126">
        <f t="shared" si="66"/>
        <v>1042278.1371321252</v>
      </c>
      <c r="K232" s="139">
        <f t="shared" si="61"/>
        <v>0</v>
      </c>
      <c r="L232" s="83">
        <f t="shared" si="59"/>
        <v>1042278.1371321252</v>
      </c>
      <c r="M232" s="80">
        <f t="shared" si="67"/>
        <v>155</v>
      </c>
      <c r="N232" s="84">
        <f t="shared" si="75"/>
        <v>0</v>
      </c>
      <c r="O232" s="140">
        <f t="shared" si="62"/>
        <v>0</v>
      </c>
      <c r="P232" s="149">
        <v>0</v>
      </c>
      <c r="Q232" s="163">
        <f t="shared" si="68"/>
        <v>155</v>
      </c>
      <c r="R232" s="150">
        <f t="shared" si="63"/>
        <v>0</v>
      </c>
      <c r="S232"/>
    </row>
    <row r="233" spans="1:19" x14ac:dyDescent="0.25">
      <c r="A233" s="80" t="str">
        <f t="shared" si="73"/>
        <v>Sat</v>
      </c>
      <c r="B233" s="147">
        <f>IF(SUMIFS(CashFlow!$C$16:$C$40,CashFlow!$D$16:$D$40,CashFlowCalcs!$E233)&gt;0,SUMIFS(CashFlow!$C$16:$C$40,CashFlow!$D$16:$D$40,CashFlowCalcs!$E233),B232)</f>
        <v>6</v>
      </c>
      <c r="C233" s="147" t="str">
        <f t="shared" si="64"/>
        <v>Y</v>
      </c>
      <c r="D233" s="80">
        <f t="shared" si="69"/>
        <v>155</v>
      </c>
      <c r="E233" s="81">
        <f t="shared" si="74"/>
        <v>44583</v>
      </c>
      <c r="F233" s="80">
        <f t="shared" si="71"/>
        <v>-2.0828402366863905</v>
      </c>
      <c r="G233" s="119">
        <f t="shared" si="65"/>
        <v>4.5590757975255761E-2</v>
      </c>
      <c r="H233" s="125">
        <f t="shared" si="72"/>
        <v>44583</v>
      </c>
      <c r="I233" s="82">
        <f t="shared" si="60"/>
        <v>0.11428708573953653</v>
      </c>
      <c r="J233" s="126">
        <f t="shared" si="66"/>
        <v>1042278.1371321252</v>
      </c>
      <c r="K233" s="139">
        <f t="shared" si="61"/>
        <v>0</v>
      </c>
      <c r="L233" s="83">
        <f t="shared" si="59"/>
        <v>1042278.1371321252</v>
      </c>
      <c r="M233" s="80">
        <f t="shared" si="67"/>
        <v>155</v>
      </c>
      <c r="N233" s="84">
        <f t="shared" si="75"/>
        <v>0</v>
      </c>
      <c r="O233" s="140">
        <f t="shared" si="62"/>
        <v>0</v>
      </c>
      <c r="P233" s="149">
        <v>0</v>
      </c>
      <c r="Q233" s="163">
        <f t="shared" si="68"/>
        <v>155</v>
      </c>
      <c r="R233" s="150">
        <f t="shared" si="63"/>
        <v>0</v>
      </c>
      <c r="S233"/>
    </row>
    <row r="234" spans="1:19" x14ac:dyDescent="0.25">
      <c r="A234" s="80" t="str">
        <f t="shared" si="73"/>
        <v>Sun</v>
      </c>
      <c r="B234" s="147">
        <f>IF(SUMIFS(CashFlow!$C$16:$C$40,CashFlow!$D$16:$D$40,CashFlowCalcs!$E234)&gt;0,SUMIFS(CashFlow!$C$16:$C$40,CashFlow!$D$16:$D$40,CashFlowCalcs!$E234),B233)</f>
        <v>6</v>
      </c>
      <c r="C234" s="147" t="str">
        <f t="shared" si="64"/>
        <v>Y</v>
      </c>
      <c r="D234" s="80">
        <f t="shared" si="69"/>
        <v>155</v>
      </c>
      <c r="E234" s="81">
        <f t="shared" si="74"/>
        <v>44584</v>
      </c>
      <c r="F234" s="80">
        <f t="shared" si="71"/>
        <v>-2.0828402366863905</v>
      </c>
      <c r="G234" s="119">
        <f t="shared" si="65"/>
        <v>4.5590757975255761E-2</v>
      </c>
      <c r="H234" s="125">
        <f t="shared" si="72"/>
        <v>44584</v>
      </c>
      <c r="I234" s="82">
        <f t="shared" si="60"/>
        <v>0.11428708573953653</v>
      </c>
      <c r="J234" s="126">
        <f t="shared" si="66"/>
        <v>1042278.1371321252</v>
      </c>
      <c r="K234" s="139">
        <f t="shared" si="61"/>
        <v>0</v>
      </c>
      <c r="L234" s="83">
        <f t="shared" si="59"/>
        <v>1042278.1371321252</v>
      </c>
      <c r="M234" s="80">
        <f t="shared" si="67"/>
        <v>155</v>
      </c>
      <c r="N234" s="84">
        <f t="shared" si="75"/>
        <v>0</v>
      </c>
      <c r="O234" s="140">
        <f t="shared" si="62"/>
        <v>0</v>
      </c>
      <c r="P234" s="149">
        <v>0</v>
      </c>
      <c r="Q234" s="163">
        <f t="shared" si="68"/>
        <v>155</v>
      </c>
      <c r="R234" s="150">
        <f t="shared" si="63"/>
        <v>0</v>
      </c>
      <c r="S234"/>
    </row>
    <row r="235" spans="1:19" x14ac:dyDescent="0.25">
      <c r="A235" s="80" t="str">
        <f t="shared" si="73"/>
        <v>Mon</v>
      </c>
      <c r="B235" s="147">
        <f>IF(SUMIFS(CashFlow!$C$16:$C$40,CashFlow!$D$16:$D$40,CashFlowCalcs!$E235)&gt;0,SUMIFS(CashFlow!$C$16:$C$40,CashFlow!$D$16:$D$40,CashFlowCalcs!$E235),B234)</f>
        <v>7</v>
      </c>
      <c r="C235" s="147" t="str">
        <f t="shared" si="64"/>
        <v>N</v>
      </c>
      <c r="D235" s="80">
        <f t="shared" si="69"/>
        <v>156</v>
      </c>
      <c r="E235" s="81">
        <f t="shared" si="74"/>
        <v>44585</v>
      </c>
      <c r="F235" s="80">
        <f t="shared" si="71"/>
        <v>-2.0769230769230766</v>
      </c>
      <c r="G235" s="119">
        <f t="shared" si="65"/>
        <v>4.6155309913751448E-2</v>
      </c>
      <c r="H235" s="125">
        <f t="shared" si="72"/>
        <v>44585</v>
      </c>
      <c r="I235" s="82">
        <f t="shared" si="60"/>
        <v>0.11570230668923639</v>
      </c>
      <c r="J235" s="126">
        <f t="shared" si="66"/>
        <v>1055184.7034824584</v>
      </c>
      <c r="K235" s="139">
        <f t="shared" si="61"/>
        <v>0</v>
      </c>
      <c r="L235" s="83">
        <f t="shared" si="59"/>
        <v>1055184.7034824584</v>
      </c>
      <c r="M235" s="80">
        <f t="shared" si="67"/>
        <v>156</v>
      </c>
      <c r="N235" s="84">
        <f t="shared" si="75"/>
        <v>0</v>
      </c>
      <c r="O235" s="140">
        <f t="shared" si="62"/>
        <v>0</v>
      </c>
      <c r="P235" s="149">
        <v>0</v>
      </c>
      <c r="Q235" s="163">
        <f t="shared" si="68"/>
        <v>156</v>
      </c>
      <c r="R235" s="150">
        <f t="shared" si="63"/>
        <v>0</v>
      </c>
      <c r="S235"/>
    </row>
    <row r="236" spans="1:19" x14ac:dyDescent="0.25">
      <c r="A236" s="80" t="str">
        <f t="shared" si="73"/>
        <v>Tues</v>
      </c>
      <c r="B236" s="147">
        <f>IF(SUMIFS(CashFlow!$C$16:$C$40,CashFlow!$D$16:$D$40,CashFlowCalcs!$E236)&gt;0,SUMIFS(CashFlow!$C$16:$C$40,CashFlow!$D$16:$D$40,CashFlowCalcs!$E236),B235)</f>
        <v>7</v>
      </c>
      <c r="C236" s="147" t="str">
        <f t="shared" si="64"/>
        <v>N</v>
      </c>
      <c r="D236" s="80">
        <f t="shared" si="69"/>
        <v>157</v>
      </c>
      <c r="E236" s="81">
        <f t="shared" si="74"/>
        <v>44586</v>
      </c>
      <c r="F236" s="80">
        <f t="shared" si="71"/>
        <v>-2.0710059171597632</v>
      </c>
      <c r="G236" s="119">
        <f t="shared" si="65"/>
        <v>4.6725216710139635E-2</v>
      </c>
      <c r="H236" s="125">
        <f t="shared" si="72"/>
        <v>44586</v>
      </c>
      <c r="I236" s="82">
        <f t="shared" si="60"/>
        <v>0.11713095121709689</v>
      </c>
      <c r="J236" s="126">
        <f t="shared" si="66"/>
        <v>1068213.6905065568</v>
      </c>
      <c r="K236" s="139">
        <f t="shared" si="61"/>
        <v>0</v>
      </c>
      <c r="L236" s="83">
        <f t="shared" si="59"/>
        <v>1068213.6905065568</v>
      </c>
      <c r="M236" s="80">
        <f t="shared" si="67"/>
        <v>157</v>
      </c>
      <c r="N236" s="84">
        <f t="shared" si="75"/>
        <v>0</v>
      </c>
      <c r="O236" s="140">
        <f t="shared" si="62"/>
        <v>0</v>
      </c>
      <c r="P236" s="149">
        <v>0</v>
      </c>
      <c r="Q236" s="163">
        <f t="shared" si="68"/>
        <v>157</v>
      </c>
      <c r="R236" s="150">
        <f t="shared" si="63"/>
        <v>0</v>
      </c>
      <c r="S236"/>
    </row>
    <row r="237" spans="1:19" x14ac:dyDescent="0.25">
      <c r="A237" s="80" t="str">
        <f t="shared" si="73"/>
        <v>Wed</v>
      </c>
      <c r="B237" s="147">
        <f>IF(SUMIFS(CashFlow!$C$16:$C$40,CashFlow!$D$16:$D$40,CashFlowCalcs!$E237)&gt;0,SUMIFS(CashFlow!$C$16:$C$40,CashFlow!$D$16:$D$40,CashFlowCalcs!$E237),B236)</f>
        <v>7</v>
      </c>
      <c r="C237" s="147" t="str">
        <f t="shared" si="64"/>
        <v>N</v>
      </c>
      <c r="D237" s="80">
        <f t="shared" si="69"/>
        <v>158</v>
      </c>
      <c r="E237" s="81">
        <f t="shared" si="74"/>
        <v>44587</v>
      </c>
      <c r="F237" s="80">
        <f t="shared" si="71"/>
        <v>-2.0650887573964498</v>
      </c>
      <c r="G237" s="119">
        <f t="shared" si="65"/>
        <v>4.7300504330281358E-2</v>
      </c>
      <c r="H237" s="125">
        <f t="shared" si="72"/>
        <v>44587</v>
      </c>
      <c r="I237" s="82">
        <f t="shared" si="60"/>
        <v>0.11857308441443735</v>
      </c>
      <c r="J237" s="126">
        <f t="shared" si="66"/>
        <v>1081365.6918258136</v>
      </c>
      <c r="K237" s="139">
        <f t="shared" si="61"/>
        <v>0</v>
      </c>
      <c r="L237" s="83">
        <f t="shared" si="59"/>
        <v>1081365.6918258136</v>
      </c>
      <c r="M237" s="80">
        <f t="shared" si="67"/>
        <v>158</v>
      </c>
      <c r="N237" s="84">
        <f t="shared" si="75"/>
        <v>0</v>
      </c>
      <c r="O237" s="140">
        <f t="shared" si="62"/>
        <v>0</v>
      </c>
      <c r="P237" s="149">
        <v>0</v>
      </c>
      <c r="Q237" s="163">
        <f t="shared" si="68"/>
        <v>158</v>
      </c>
      <c r="R237" s="150">
        <f t="shared" si="63"/>
        <v>0</v>
      </c>
      <c r="S237"/>
    </row>
    <row r="238" spans="1:19" x14ac:dyDescent="0.25">
      <c r="A238" s="80" t="str">
        <f t="shared" si="73"/>
        <v>Thu</v>
      </c>
      <c r="B238" s="147">
        <f>IF(SUMIFS(CashFlow!$C$16:$C$40,CashFlow!$D$16:$D$40,CashFlowCalcs!$E238)&gt;0,SUMIFS(CashFlow!$C$16:$C$40,CashFlow!$D$16:$D$40,CashFlowCalcs!$E238),B237)</f>
        <v>7</v>
      </c>
      <c r="C238" s="147" t="str">
        <f t="shared" si="64"/>
        <v>N</v>
      </c>
      <c r="D238" s="80">
        <f t="shared" si="69"/>
        <v>159</v>
      </c>
      <c r="E238" s="81">
        <f t="shared" si="74"/>
        <v>44588</v>
      </c>
      <c r="F238" s="80">
        <f t="shared" si="71"/>
        <v>-2.059171597633136</v>
      </c>
      <c r="G238" s="119">
        <f t="shared" si="65"/>
        <v>4.7881198491532155E-2</v>
      </c>
      <c r="H238" s="125">
        <f t="shared" si="72"/>
        <v>44588</v>
      </c>
      <c r="I238" s="82">
        <f t="shared" si="60"/>
        <v>0.12002877074962262</v>
      </c>
      <c r="J238" s="126">
        <f t="shared" si="66"/>
        <v>1094641.2953803868</v>
      </c>
      <c r="K238" s="139">
        <f t="shared" si="61"/>
        <v>0</v>
      </c>
      <c r="L238" s="83">
        <f t="shared" si="59"/>
        <v>1094641.2953803868</v>
      </c>
      <c r="M238" s="80">
        <f t="shared" si="67"/>
        <v>159</v>
      </c>
      <c r="N238" s="84">
        <f t="shared" si="75"/>
        <v>0</v>
      </c>
      <c r="O238" s="140">
        <f t="shared" si="62"/>
        <v>0</v>
      </c>
      <c r="P238" s="149">
        <v>0</v>
      </c>
      <c r="Q238" s="163">
        <f t="shared" si="68"/>
        <v>159</v>
      </c>
      <c r="R238" s="150">
        <f t="shared" si="63"/>
        <v>0</v>
      </c>
      <c r="S238"/>
    </row>
    <row r="239" spans="1:19" x14ac:dyDescent="0.25">
      <c r="A239" s="80" t="str">
        <f t="shared" si="73"/>
        <v>Fri</v>
      </c>
      <c r="B239" s="147">
        <f>IF(SUMIFS(CashFlow!$C$16:$C$40,CashFlow!$D$16:$D$40,CashFlowCalcs!$E239)&gt;0,SUMIFS(CashFlow!$C$16:$C$40,CashFlow!$D$16:$D$40,CashFlowCalcs!$E239),B238)</f>
        <v>7</v>
      </c>
      <c r="C239" s="147" t="str">
        <f t="shared" si="64"/>
        <v>N</v>
      </c>
      <c r="D239" s="80">
        <f t="shared" si="69"/>
        <v>160</v>
      </c>
      <c r="E239" s="81">
        <f t="shared" si="74"/>
        <v>44589</v>
      </c>
      <c r="F239" s="80">
        <f t="shared" si="71"/>
        <v>-2.0532544378698225</v>
      </c>
      <c r="G239" s="119">
        <f t="shared" si="65"/>
        <v>4.8467324656058339E-2</v>
      </c>
      <c r="H239" s="125">
        <f t="shared" si="72"/>
        <v>44589</v>
      </c>
      <c r="I239" s="82">
        <f t="shared" si="60"/>
        <v>0.12149807405130815</v>
      </c>
      <c r="J239" s="126">
        <f t="shared" si="66"/>
        <v>1108041.0832763966</v>
      </c>
      <c r="K239" s="139">
        <f t="shared" si="61"/>
        <v>0</v>
      </c>
      <c r="L239" s="83">
        <f t="shared" si="59"/>
        <v>1108041.0832763966</v>
      </c>
      <c r="M239" s="80">
        <f t="shared" si="67"/>
        <v>160</v>
      </c>
      <c r="N239" s="84">
        <f t="shared" si="75"/>
        <v>0</v>
      </c>
      <c r="O239" s="140">
        <f t="shared" si="62"/>
        <v>0</v>
      </c>
      <c r="P239" s="149">
        <v>0</v>
      </c>
      <c r="Q239" s="163">
        <f t="shared" si="68"/>
        <v>160</v>
      </c>
      <c r="R239" s="150">
        <f t="shared" si="63"/>
        <v>0</v>
      </c>
      <c r="S239"/>
    </row>
    <row r="240" spans="1:19" x14ac:dyDescent="0.25">
      <c r="A240" s="80" t="str">
        <f t="shared" si="73"/>
        <v>Sat</v>
      </c>
      <c r="B240" s="147">
        <f>IF(SUMIFS(CashFlow!$C$16:$C$40,CashFlow!$D$16:$D$40,CashFlowCalcs!$E240)&gt;0,SUMIFS(CashFlow!$C$16:$C$40,CashFlow!$D$16:$D$40,CashFlowCalcs!$E240),B239)</f>
        <v>7</v>
      </c>
      <c r="C240" s="147" t="str">
        <f t="shared" si="64"/>
        <v>Y</v>
      </c>
      <c r="D240" s="80">
        <f t="shared" si="69"/>
        <v>160</v>
      </c>
      <c r="E240" s="81">
        <f t="shared" si="74"/>
        <v>44590</v>
      </c>
      <c r="F240" s="80">
        <f t="shared" si="71"/>
        <v>-2.0532544378698225</v>
      </c>
      <c r="G240" s="119">
        <f t="shared" si="65"/>
        <v>4.8467324656058339E-2</v>
      </c>
      <c r="H240" s="125">
        <f t="shared" si="72"/>
        <v>44590</v>
      </c>
      <c r="I240" s="82">
        <f t="shared" si="60"/>
        <v>0.12149807405130815</v>
      </c>
      <c r="J240" s="126">
        <f t="shared" si="66"/>
        <v>1108041.0832763966</v>
      </c>
      <c r="K240" s="139">
        <f t="shared" si="61"/>
        <v>0</v>
      </c>
      <c r="L240" s="83">
        <f t="shared" si="59"/>
        <v>1108041.0832763966</v>
      </c>
      <c r="M240" s="80">
        <f t="shared" si="67"/>
        <v>160</v>
      </c>
      <c r="N240" s="84">
        <f t="shared" si="75"/>
        <v>0</v>
      </c>
      <c r="O240" s="140">
        <f t="shared" si="62"/>
        <v>0</v>
      </c>
      <c r="P240" s="149">
        <v>0</v>
      </c>
      <c r="Q240" s="163">
        <f t="shared" si="68"/>
        <v>160</v>
      </c>
      <c r="R240" s="150">
        <f t="shared" si="63"/>
        <v>0</v>
      </c>
      <c r="S240"/>
    </row>
    <row r="241" spans="1:19" x14ac:dyDescent="0.25">
      <c r="A241" s="80" t="str">
        <f t="shared" si="73"/>
        <v>Sun</v>
      </c>
      <c r="B241" s="147">
        <f>IF(SUMIFS(CashFlow!$C$16:$C$40,CashFlow!$D$16:$D$40,CashFlowCalcs!$E241)&gt;0,SUMIFS(CashFlow!$C$16:$C$40,CashFlow!$D$16:$D$40,CashFlowCalcs!$E241),B240)</f>
        <v>7</v>
      </c>
      <c r="C241" s="147" t="str">
        <f t="shared" si="64"/>
        <v>Y</v>
      </c>
      <c r="D241" s="80">
        <f t="shared" si="69"/>
        <v>160</v>
      </c>
      <c r="E241" s="81">
        <f t="shared" si="74"/>
        <v>44591</v>
      </c>
      <c r="F241" s="80">
        <f t="shared" si="71"/>
        <v>-2.0532544378698225</v>
      </c>
      <c r="G241" s="119">
        <f t="shared" si="65"/>
        <v>4.8467324656058339E-2</v>
      </c>
      <c r="H241" s="125">
        <f t="shared" si="72"/>
        <v>44591</v>
      </c>
      <c r="I241" s="82">
        <f t="shared" si="60"/>
        <v>0.12149807405130815</v>
      </c>
      <c r="J241" s="126">
        <f t="shared" si="66"/>
        <v>1108041.0832763966</v>
      </c>
      <c r="K241" s="139">
        <f t="shared" si="61"/>
        <v>0</v>
      </c>
      <c r="L241" s="83">
        <f t="shared" si="59"/>
        <v>1108041.0832763966</v>
      </c>
      <c r="M241" s="80">
        <f t="shared" si="67"/>
        <v>160</v>
      </c>
      <c r="N241" s="84">
        <f t="shared" si="75"/>
        <v>0</v>
      </c>
      <c r="O241" s="140">
        <f t="shared" si="62"/>
        <v>0</v>
      </c>
      <c r="P241" s="149">
        <v>0</v>
      </c>
      <c r="Q241" s="163">
        <f t="shared" si="68"/>
        <v>160</v>
      </c>
      <c r="R241" s="150">
        <f t="shared" si="63"/>
        <v>0</v>
      </c>
      <c r="S241"/>
    </row>
    <row r="242" spans="1:19" x14ac:dyDescent="0.25">
      <c r="A242" s="80" t="str">
        <f t="shared" si="73"/>
        <v>Mon</v>
      </c>
      <c r="B242" s="147">
        <f>IF(SUMIFS(CashFlow!$C$16:$C$40,CashFlow!$D$16:$D$40,CashFlowCalcs!$E242)&gt;0,SUMIFS(CashFlow!$C$16:$C$40,CashFlow!$D$16:$D$40,CashFlowCalcs!$E242),B241)</f>
        <v>7</v>
      </c>
      <c r="C242" s="147" t="str">
        <f t="shared" si="64"/>
        <v>N</v>
      </c>
      <c r="D242" s="80">
        <f t="shared" si="69"/>
        <v>161</v>
      </c>
      <c r="E242" s="81">
        <f t="shared" si="74"/>
        <v>44592</v>
      </c>
      <c r="F242" s="80">
        <f t="shared" si="71"/>
        <v>-2.0473372781065091</v>
      </c>
      <c r="G242" s="119">
        <f t="shared" si="65"/>
        <v>4.9058908024116825E-2</v>
      </c>
      <c r="H242" s="125">
        <f t="shared" si="72"/>
        <v>44592</v>
      </c>
      <c r="I242" s="82">
        <f t="shared" si="60"/>
        <v>0.12298105749159399</v>
      </c>
      <c r="J242" s="126">
        <f t="shared" si="66"/>
        <v>1121565.6316322936</v>
      </c>
      <c r="K242" s="139">
        <f t="shared" si="61"/>
        <v>0</v>
      </c>
      <c r="L242" s="83">
        <f t="shared" si="59"/>
        <v>1121565.6316322936</v>
      </c>
      <c r="M242" s="80">
        <f t="shared" si="67"/>
        <v>161</v>
      </c>
      <c r="N242" s="84">
        <f t="shared" si="75"/>
        <v>0</v>
      </c>
      <c r="O242" s="140">
        <f t="shared" si="62"/>
        <v>0</v>
      </c>
      <c r="P242" s="149">
        <v>0</v>
      </c>
      <c r="Q242" s="163">
        <f t="shared" si="68"/>
        <v>161</v>
      </c>
      <c r="R242" s="150">
        <f t="shared" si="63"/>
        <v>0</v>
      </c>
      <c r="S242"/>
    </row>
    <row r="243" spans="1:19" x14ac:dyDescent="0.25">
      <c r="A243" s="80" t="str">
        <f t="shared" si="73"/>
        <v>Tues</v>
      </c>
      <c r="B243" s="147">
        <f>IF(SUMIFS(CashFlow!$C$16:$C$40,CashFlow!$D$16:$D$40,CashFlowCalcs!$E243)&gt;0,SUMIFS(CashFlow!$C$16:$C$40,CashFlow!$D$16:$D$40,CashFlowCalcs!$E243),B242)</f>
        <v>7</v>
      </c>
      <c r="C243" s="147" t="str">
        <f t="shared" si="64"/>
        <v>N</v>
      </c>
      <c r="D243" s="80">
        <f t="shared" si="69"/>
        <v>162</v>
      </c>
      <c r="E243" s="81">
        <f t="shared" si="74"/>
        <v>44593</v>
      </c>
      <c r="F243" s="80">
        <f t="shared" si="71"/>
        <v>-2.0414201183431953</v>
      </c>
      <c r="G243" s="119">
        <f t="shared" si="65"/>
        <v>4.9655973527298045E-2</v>
      </c>
      <c r="H243" s="125">
        <f t="shared" si="72"/>
        <v>44593</v>
      </c>
      <c r="I243" s="82">
        <f t="shared" si="60"/>
        <v>0.124477783569086</v>
      </c>
      <c r="J243" s="126">
        <f t="shared" si="66"/>
        <v>1135215.5104243797</v>
      </c>
      <c r="K243" s="139">
        <f t="shared" si="61"/>
        <v>0</v>
      </c>
      <c r="L243" s="83">
        <f t="shared" si="59"/>
        <v>1135215.5104243797</v>
      </c>
      <c r="M243" s="80">
        <f t="shared" si="67"/>
        <v>162</v>
      </c>
      <c r="N243" s="84">
        <f t="shared" si="75"/>
        <v>0</v>
      </c>
      <c r="O243" s="140">
        <f t="shared" si="62"/>
        <v>0</v>
      </c>
      <c r="P243" s="149">
        <v>0</v>
      </c>
      <c r="Q243" s="163">
        <f t="shared" si="68"/>
        <v>162</v>
      </c>
      <c r="R243" s="150">
        <f t="shared" si="63"/>
        <v>0</v>
      </c>
      <c r="S243"/>
    </row>
    <row r="244" spans="1:19" x14ac:dyDescent="0.25">
      <c r="A244" s="80" t="str">
        <f t="shared" si="73"/>
        <v>Wed</v>
      </c>
      <c r="B244" s="147">
        <f>IF(SUMIFS(CashFlow!$C$16:$C$40,CashFlow!$D$16:$D$40,CashFlowCalcs!$E244)&gt;0,SUMIFS(CashFlow!$C$16:$C$40,CashFlow!$D$16:$D$40,CashFlowCalcs!$E244),B243)</f>
        <v>7</v>
      </c>
      <c r="C244" s="147" t="str">
        <f t="shared" si="64"/>
        <v>N</v>
      </c>
      <c r="D244" s="80">
        <f t="shared" si="69"/>
        <v>163</v>
      </c>
      <c r="E244" s="81">
        <f t="shared" ref="E244:E259" si="76">E243+1</f>
        <v>44594</v>
      </c>
      <c r="F244" s="80">
        <f t="shared" si="71"/>
        <v>-2.0355029585798818</v>
      </c>
      <c r="G244" s="119">
        <f t="shared" si="65"/>
        <v>5.0258545821733724E-2</v>
      </c>
      <c r="H244" s="125">
        <f t="shared" si="72"/>
        <v>44594</v>
      </c>
      <c r="I244" s="82">
        <f t="shared" si="60"/>
        <v>0.12598831409186909</v>
      </c>
      <c r="J244" s="126">
        <f t="shared" si="66"/>
        <v>1148991.2833315276</v>
      </c>
      <c r="K244" s="139">
        <f t="shared" si="61"/>
        <v>0</v>
      </c>
      <c r="L244" s="83">
        <f t="shared" si="59"/>
        <v>1148991.2833315276</v>
      </c>
      <c r="M244" s="80">
        <f t="shared" si="67"/>
        <v>163</v>
      </c>
      <c r="N244" s="84">
        <f t="shared" si="75"/>
        <v>0</v>
      </c>
      <c r="O244" s="140">
        <f t="shared" si="62"/>
        <v>0</v>
      </c>
      <c r="P244" s="149">
        <v>0</v>
      </c>
      <c r="Q244" s="163">
        <f t="shared" si="68"/>
        <v>163</v>
      </c>
      <c r="R244" s="150">
        <f t="shared" si="63"/>
        <v>0</v>
      </c>
      <c r="S244"/>
    </row>
    <row r="245" spans="1:19" s="74" customFormat="1" x14ac:dyDescent="0.25">
      <c r="A245" s="80" t="str">
        <f t="shared" si="73"/>
        <v>Thu</v>
      </c>
      <c r="B245" s="147">
        <f>IF(SUMIFS(CashFlow!$C$16:$C$40,CashFlow!$D$16:$D$40,CashFlowCalcs!$E245)&gt;0,SUMIFS(CashFlow!$C$16:$C$40,CashFlow!$D$16:$D$40,CashFlowCalcs!$E245),B244)</f>
        <v>7</v>
      </c>
      <c r="C245" s="147" t="str">
        <f t="shared" si="64"/>
        <v>N</v>
      </c>
      <c r="D245" s="80">
        <f t="shared" si="69"/>
        <v>164</v>
      </c>
      <c r="E245" s="85">
        <f t="shared" si="76"/>
        <v>44595</v>
      </c>
      <c r="F245" s="80">
        <f t="shared" si="71"/>
        <v>-2.029585798816568</v>
      </c>
      <c r="G245" s="121">
        <f t="shared" si="65"/>
        <v>5.0866649281270798E-2</v>
      </c>
      <c r="H245" s="129">
        <f t="shared" si="72"/>
        <v>44595</v>
      </c>
      <c r="I245" s="86">
        <f t="shared" si="60"/>
        <v>0.12751271016039556</v>
      </c>
      <c r="J245" s="130">
        <f t="shared" si="66"/>
        <v>1162893.5075791238</v>
      </c>
      <c r="K245" s="143">
        <f t="shared" si="61"/>
        <v>0</v>
      </c>
      <c r="L245" s="83">
        <f t="shared" si="59"/>
        <v>1162893.5075791238</v>
      </c>
      <c r="M245" s="80">
        <f t="shared" si="67"/>
        <v>164</v>
      </c>
      <c r="N245" s="87">
        <f t="shared" si="75"/>
        <v>0</v>
      </c>
      <c r="O245" s="144">
        <f t="shared" si="62"/>
        <v>0</v>
      </c>
      <c r="P245" s="149">
        <v>0</v>
      </c>
      <c r="Q245" s="163">
        <f t="shared" si="68"/>
        <v>164</v>
      </c>
      <c r="R245" s="150">
        <f t="shared" si="63"/>
        <v>0</v>
      </c>
    </row>
    <row r="246" spans="1:19" x14ac:dyDescent="0.25">
      <c r="A246" s="80" t="str">
        <f t="shared" si="73"/>
        <v>Fri</v>
      </c>
      <c r="B246" s="147">
        <f>IF(SUMIFS(CashFlow!$C$16:$C$40,CashFlow!$D$16:$D$40,CashFlowCalcs!$E246)&gt;0,SUMIFS(CashFlow!$C$16:$C$40,CashFlow!$D$16:$D$40,CashFlowCalcs!$E246),B245)</f>
        <v>7</v>
      </c>
      <c r="C246" s="147" t="str">
        <f t="shared" si="64"/>
        <v>N</v>
      </c>
      <c r="D246" s="80">
        <f t="shared" si="69"/>
        <v>165</v>
      </c>
      <c r="E246" s="81">
        <f t="shared" si="76"/>
        <v>44596</v>
      </c>
      <c r="F246" s="80">
        <f t="shared" si="71"/>
        <v>-2.0236686390532546</v>
      </c>
      <c r="G246" s="119">
        <f t="shared" si="65"/>
        <v>5.1480307990611401E-2</v>
      </c>
      <c r="H246" s="125">
        <f t="shared" si="72"/>
        <v>44596</v>
      </c>
      <c r="I246" s="82">
        <f t="shared" si="60"/>
        <v>0.12905103215028849</v>
      </c>
      <c r="J246" s="126">
        <f t="shared" si="66"/>
        <v>1176922.7337822409</v>
      </c>
      <c r="K246" s="139">
        <f t="shared" si="61"/>
        <v>0</v>
      </c>
      <c r="L246" s="83">
        <f t="shared" si="59"/>
        <v>1176922.7337822409</v>
      </c>
      <c r="M246" s="80">
        <f t="shared" si="67"/>
        <v>165</v>
      </c>
      <c r="N246" s="84">
        <f t="shared" si="75"/>
        <v>0</v>
      </c>
      <c r="O246" s="140">
        <f t="shared" si="62"/>
        <v>0</v>
      </c>
      <c r="P246" s="149">
        <v>0</v>
      </c>
      <c r="Q246" s="163">
        <f t="shared" si="68"/>
        <v>165</v>
      </c>
      <c r="R246" s="150">
        <f t="shared" si="63"/>
        <v>0</v>
      </c>
      <c r="S246"/>
    </row>
    <row r="247" spans="1:19" x14ac:dyDescent="0.25">
      <c r="A247" s="80" t="str">
        <f t="shared" si="73"/>
        <v>Sat</v>
      </c>
      <c r="B247" s="147">
        <f>IF(SUMIFS(CashFlow!$C$16:$C$40,CashFlow!$D$16:$D$40,CashFlowCalcs!$E247)&gt;0,SUMIFS(CashFlow!$C$16:$C$40,CashFlow!$D$16:$D$40,CashFlowCalcs!$E247),B246)</f>
        <v>7</v>
      </c>
      <c r="C247" s="147" t="str">
        <f t="shared" si="64"/>
        <v>Y</v>
      </c>
      <c r="D247" s="80">
        <f t="shared" si="69"/>
        <v>165</v>
      </c>
      <c r="E247" s="81">
        <f t="shared" si="76"/>
        <v>44597</v>
      </c>
      <c r="F247" s="80">
        <f t="shared" si="71"/>
        <v>-2.0236686390532546</v>
      </c>
      <c r="G247" s="119">
        <f t="shared" si="65"/>
        <v>5.1480307990611401E-2</v>
      </c>
      <c r="H247" s="125">
        <f t="shared" si="72"/>
        <v>44597</v>
      </c>
      <c r="I247" s="82">
        <f t="shared" si="60"/>
        <v>0.12905103215028849</v>
      </c>
      <c r="J247" s="126">
        <f t="shared" si="66"/>
        <v>1176922.7337822409</v>
      </c>
      <c r="K247" s="139">
        <f t="shared" si="61"/>
        <v>0</v>
      </c>
      <c r="L247" s="83">
        <f t="shared" si="59"/>
        <v>1176922.7337822409</v>
      </c>
      <c r="M247" s="80">
        <f t="shared" si="67"/>
        <v>165</v>
      </c>
      <c r="N247" s="84">
        <f t="shared" si="75"/>
        <v>0</v>
      </c>
      <c r="O247" s="140">
        <f t="shared" si="62"/>
        <v>0</v>
      </c>
      <c r="P247" s="149">
        <v>0</v>
      </c>
      <c r="Q247" s="163">
        <f t="shared" si="68"/>
        <v>165</v>
      </c>
      <c r="R247" s="150">
        <f t="shared" si="63"/>
        <v>0</v>
      </c>
      <c r="S247"/>
    </row>
    <row r="248" spans="1:19" x14ac:dyDescent="0.25">
      <c r="A248" s="80" t="str">
        <f t="shared" si="73"/>
        <v>Sun</v>
      </c>
      <c r="B248" s="147">
        <f>IF(SUMIFS(CashFlow!$C$16:$C$40,CashFlow!$D$16:$D$40,CashFlowCalcs!$E248)&gt;0,SUMIFS(CashFlow!$C$16:$C$40,CashFlow!$D$16:$D$40,CashFlowCalcs!$E248),B247)</f>
        <v>7</v>
      </c>
      <c r="C248" s="147" t="str">
        <f t="shared" si="64"/>
        <v>Y</v>
      </c>
      <c r="D248" s="80">
        <f t="shared" si="69"/>
        <v>165</v>
      </c>
      <c r="E248" s="81">
        <f t="shared" si="76"/>
        <v>44598</v>
      </c>
      <c r="F248" s="80">
        <f t="shared" si="71"/>
        <v>-2.0236686390532546</v>
      </c>
      <c r="G248" s="119">
        <f t="shared" si="65"/>
        <v>5.1480307990611401E-2</v>
      </c>
      <c r="H248" s="125">
        <f t="shared" si="72"/>
        <v>44598</v>
      </c>
      <c r="I248" s="82">
        <f t="shared" si="60"/>
        <v>0.12905103215028849</v>
      </c>
      <c r="J248" s="126">
        <f t="shared" si="66"/>
        <v>1176922.7337822409</v>
      </c>
      <c r="K248" s="139">
        <f t="shared" si="61"/>
        <v>0</v>
      </c>
      <c r="L248" s="83">
        <f t="shared" si="59"/>
        <v>1176922.7337822409</v>
      </c>
      <c r="M248" s="80">
        <f t="shared" si="67"/>
        <v>165</v>
      </c>
      <c r="N248" s="84">
        <f t="shared" si="75"/>
        <v>0</v>
      </c>
      <c r="O248" s="140">
        <f t="shared" si="62"/>
        <v>0</v>
      </c>
      <c r="P248" s="149">
        <v>0</v>
      </c>
      <c r="Q248" s="163">
        <f t="shared" si="68"/>
        <v>165</v>
      </c>
      <c r="R248" s="150">
        <f t="shared" si="63"/>
        <v>0</v>
      </c>
      <c r="S248"/>
    </row>
    <row r="249" spans="1:19" x14ac:dyDescent="0.25">
      <c r="A249" s="80" t="str">
        <f t="shared" si="73"/>
        <v>Mon</v>
      </c>
      <c r="B249" s="147">
        <f>IF(SUMIFS(CashFlow!$C$16:$C$40,CashFlow!$D$16:$D$40,CashFlowCalcs!$E249)&gt;0,SUMIFS(CashFlow!$C$16:$C$40,CashFlow!$D$16:$D$40,CashFlowCalcs!$E249),B248)</f>
        <v>7</v>
      </c>
      <c r="C249" s="147" t="str">
        <f t="shared" si="64"/>
        <v>N</v>
      </c>
      <c r="D249" s="80">
        <f t="shared" si="69"/>
        <v>166</v>
      </c>
      <c r="E249" s="81">
        <f t="shared" si="76"/>
        <v>44599</v>
      </c>
      <c r="F249" s="80">
        <f t="shared" si="71"/>
        <v>-2.0177514792899407</v>
      </c>
      <c r="G249" s="119">
        <f t="shared" si="65"/>
        <v>5.2099545738421446E-2</v>
      </c>
      <c r="H249" s="125">
        <f t="shared" si="72"/>
        <v>44599</v>
      </c>
      <c r="I249" s="82">
        <f t="shared" si="60"/>
        <v>0.13060333969506621</v>
      </c>
      <c r="J249" s="126">
        <f t="shared" si="66"/>
        <v>1191079.5057880857</v>
      </c>
      <c r="K249" s="139">
        <f t="shared" si="61"/>
        <v>0</v>
      </c>
      <c r="L249" s="83">
        <f t="shared" si="59"/>
        <v>1191079.5057880857</v>
      </c>
      <c r="M249" s="80">
        <f t="shared" si="67"/>
        <v>166</v>
      </c>
      <c r="N249" s="84">
        <f t="shared" si="75"/>
        <v>0</v>
      </c>
      <c r="O249" s="140">
        <f t="shared" si="62"/>
        <v>0</v>
      </c>
      <c r="P249" s="149">
        <v>0</v>
      </c>
      <c r="Q249" s="163">
        <f t="shared" si="68"/>
        <v>166</v>
      </c>
      <c r="R249" s="150">
        <f t="shared" si="63"/>
        <v>0</v>
      </c>
      <c r="S249"/>
    </row>
    <row r="250" spans="1:19" x14ac:dyDescent="0.25">
      <c r="A250" s="80" t="str">
        <f t="shared" si="73"/>
        <v>Tues</v>
      </c>
      <c r="B250" s="147">
        <f>IF(SUMIFS(CashFlow!$C$16:$C$40,CashFlow!$D$16:$D$40,CashFlowCalcs!$E250)&gt;0,SUMIFS(CashFlow!$C$16:$C$40,CashFlow!$D$16:$D$40,CashFlowCalcs!$E250),B249)</f>
        <v>7</v>
      </c>
      <c r="C250" s="147" t="str">
        <f t="shared" si="64"/>
        <v>N</v>
      </c>
      <c r="D250" s="80">
        <f t="shared" si="69"/>
        <v>167</v>
      </c>
      <c r="E250" s="81">
        <f t="shared" si="76"/>
        <v>44600</v>
      </c>
      <c r="F250" s="80">
        <f t="shared" si="71"/>
        <v>-2.0118343195266273</v>
      </c>
      <c r="G250" s="119">
        <f t="shared" si="65"/>
        <v>5.272438601040725E-2</v>
      </c>
      <c r="H250" s="125">
        <f t="shared" si="72"/>
        <v>44600</v>
      </c>
      <c r="I250" s="82">
        <f t="shared" si="60"/>
        <v>0.13216969166878673</v>
      </c>
      <c r="J250" s="126">
        <f t="shared" si="66"/>
        <v>1205364.3605177212</v>
      </c>
      <c r="K250" s="139">
        <f t="shared" si="61"/>
        <v>0</v>
      </c>
      <c r="L250" s="83">
        <f t="shared" si="59"/>
        <v>1205364.3605177212</v>
      </c>
      <c r="M250" s="80">
        <f t="shared" si="67"/>
        <v>167</v>
      </c>
      <c r="N250" s="84">
        <f t="shared" si="75"/>
        <v>0</v>
      </c>
      <c r="O250" s="140">
        <f t="shared" si="62"/>
        <v>0</v>
      </c>
      <c r="P250" s="149">
        <v>0</v>
      </c>
      <c r="Q250" s="163">
        <f t="shared" si="68"/>
        <v>167</v>
      </c>
      <c r="R250" s="150">
        <f t="shared" si="63"/>
        <v>0</v>
      </c>
      <c r="S250"/>
    </row>
    <row r="251" spans="1:19" x14ac:dyDescent="0.25">
      <c r="A251" s="80" t="str">
        <f t="shared" si="73"/>
        <v>Wed</v>
      </c>
      <c r="B251" s="147">
        <f>IF(SUMIFS(CashFlow!$C$16:$C$40,CashFlow!$D$16:$D$40,CashFlowCalcs!$E251)&gt;0,SUMIFS(CashFlow!$C$16:$C$40,CashFlow!$D$16:$D$40,CashFlowCalcs!$E251),B250)</f>
        <v>7</v>
      </c>
      <c r="C251" s="147" t="str">
        <f t="shared" si="64"/>
        <v>N</v>
      </c>
      <c r="D251" s="80">
        <f t="shared" si="69"/>
        <v>168</v>
      </c>
      <c r="E251" s="81">
        <f t="shared" si="76"/>
        <v>44601</v>
      </c>
      <c r="F251" s="80">
        <f t="shared" si="71"/>
        <v>-2.0059171597633134</v>
      </c>
      <c r="G251" s="119">
        <f t="shared" si="65"/>
        <v>5.3354851982362922E-2</v>
      </c>
      <c r="H251" s="125">
        <f t="shared" si="72"/>
        <v>44601</v>
      </c>
      <c r="I251" s="82">
        <f t="shared" si="60"/>
        <v>0.13375014616861902</v>
      </c>
      <c r="J251" s="126">
        <f t="shared" si="66"/>
        <v>1219777.8278071177</v>
      </c>
      <c r="K251" s="139">
        <f t="shared" si="61"/>
        <v>0</v>
      </c>
      <c r="L251" s="83">
        <f t="shared" si="59"/>
        <v>1219777.8278071177</v>
      </c>
      <c r="M251" s="80">
        <f t="shared" si="67"/>
        <v>168</v>
      </c>
      <c r="N251" s="84">
        <f t="shared" si="75"/>
        <v>0</v>
      </c>
      <c r="O251" s="140">
        <f t="shared" si="62"/>
        <v>0</v>
      </c>
      <c r="P251" s="149">
        <v>0</v>
      </c>
      <c r="Q251" s="163">
        <f t="shared" si="68"/>
        <v>168</v>
      </c>
      <c r="R251" s="150">
        <f t="shared" si="63"/>
        <v>0</v>
      </c>
      <c r="S251"/>
    </row>
    <row r="252" spans="1:19" x14ac:dyDescent="0.25">
      <c r="A252" s="80" t="str">
        <f t="shared" si="73"/>
        <v>Thu</v>
      </c>
      <c r="B252" s="147">
        <f>IF(SUMIFS(CashFlow!$C$16:$C$40,CashFlow!$D$16:$D$40,CashFlowCalcs!$E252)&gt;0,SUMIFS(CashFlow!$C$16:$C$40,CashFlow!$D$16:$D$40,CashFlowCalcs!$E252),B251)</f>
        <v>7</v>
      </c>
      <c r="C252" s="147" t="str">
        <f t="shared" si="64"/>
        <v>N</v>
      </c>
      <c r="D252" s="80">
        <f t="shared" si="69"/>
        <v>169</v>
      </c>
      <c r="E252" s="81">
        <f t="shared" si="76"/>
        <v>44602</v>
      </c>
      <c r="F252" s="80">
        <f t="shared" si="71"/>
        <v>-2</v>
      </c>
      <c r="G252" s="119">
        <f t="shared" si="65"/>
        <v>5.3990966513188063E-2</v>
      </c>
      <c r="H252" s="125">
        <f t="shared" si="72"/>
        <v>44602</v>
      </c>
      <c r="I252" s="82">
        <f t="shared" si="60"/>
        <v>0.13534476049733968</v>
      </c>
      <c r="J252" s="126">
        <f t="shared" si="66"/>
        <v>1234320.430247528</v>
      </c>
      <c r="K252" s="139">
        <f t="shared" si="61"/>
        <v>0</v>
      </c>
      <c r="L252" s="83">
        <f t="shared" si="59"/>
        <v>1234320.430247528</v>
      </c>
      <c r="M252" s="80">
        <f t="shared" si="67"/>
        <v>169</v>
      </c>
      <c r="N252" s="84">
        <f t="shared" si="75"/>
        <v>0</v>
      </c>
      <c r="O252" s="140">
        <f t="shared" si="62"/>
        <v>0</v>
      </c>
      <c r="P252" s="149">
        <v>0</v>
      </c>
      <c r="Q252" s="163">
        <f t="shared" si="68"/>
        <v>169</v>
      </c>
      <c r="R252" s="150">
        <f t="shared" si="63"/>
        <v>0</v>
      </c>
      <c r="S252"/>
    </row>
    <row r="253" spans="1:19" x14ac:dyDescent="0.25">
      <c r="A253" s="80" t="str">
        <f t="shared" si="73"/>
        <v>Fri</v>
      </c>
      <c r="B253" s="147">
        <f>IF(SUMIFS(CashFlow!$C$16:$C$40,CashFlow!$D$16:$D$40,CashFlowCalcs!$E253)&gt;0,SUMIFS(CashFlow!$C$16:$C$40,CashFlow!$D$16:$D$40,CashFlowCalcs!$E253),B252)</f>
        <v>7</v>
      </c>
      <c r="C253" s="147" t="str">
        <f t="shared" si="64"/>
        <v>N</v>
      </c>
      <c r="D253" s="80">
        <f t="shared" si="69"/>
        <v>170</v>
      </c>
      <c r="E253" s="81">
        <f t="shared" si="76"/>
        <v>44603</v>
      </c>
      <c r="F253" s="80">
        <f t="shared" si="71"/>
        <v>-1.9940828402366864</v>
      </c>
      <c r="G253" s="119">
        <f t="shared" si="65"/>
        <v>5.4632752137878333E-2</v>
      </c>
      <c r="H253" s="125">
        <f t="shared" si="72"/>
        <v>44603</v>
      </c>
      <c r="I253" s="82">
        <f t="shared" si="60"/>
        <v>0.13695359114576164</v>
      </c>
      <c r="J253" s="126">
        <f t="shared" si="66"/>
        <v>1248992.6830252381</v>
      </c>
      <c r="K253" s="139">
        <f t="shared" si="61"/>
        <v>0</v>
      </c>
      <c r="L253" s="83">
        <f t="shared" si="59"/>
        <v>1248992.6830252381</v>
      </c>
      <c r="M253" s="80">
        <f t="shared" si="67"/>
        <v>170</v>
      </c>
      <c r="N253" s="84">
        <f t="shared" si="75"/>
        <v>0</v>
      </c>
      <c r="O253" s="140">
        <f t="shared" si="62"/>
        <v>0</v>
      </c>
      <c r="P253" s="149">
        <v>0</v>
      </c>
      <c r="Q253" s="163">
        <f t="shared" si="68"/>
        <v>170</v>
      </c>
      <c r="R253" s="150">
        <f t="shared" si="63"/>
        <v>0</v>
      </c>
      <c r="S253"/>
    </row>
    <row r="254" spans="1:19" x14ac:dyDescent="0.25">
      <c r="A254" s="80" t="str">
        <f t="shared" si="73"/>
        <v>Sat</v>
      </c>
      <c r="B254" s="147">
        <f>IF(SUMIFS(CashFlow!$C$16:$C$40,CashFlow!$D$16:$D$40,CashFlowCalcs!$E254)&gt;0,SUMIFS(CashFlow!$C$16:$C$40,CashFlow!$D$16:$D$40,CashFlowCalcs!$E254),B253)</f>
        <v>7</v>
      </c>
      <c r="C254" s="147" t="str">
        <f t="shared" si="64"/>
        <v>Y</v>
      </c>
      <c r="D254" s="80">
        <f t="shared" si="69"/>
        <v>170</v>
      </c>
      <c r="E254" s="81">
        <f t="shared" si="76"/>
        <v>44604</v>
      </c>
      <c r="F254" s="80">
        <f t="shared" si="71"/>
        <v>-1.9940828402366864</v>
      </c>
      <c r="G254" s="119">
        <f t="shared" si="65"/>
        <v>5.4632752137878333E-2</v>
      </c>
      <c r="H254" s="125">
        <f t="shared" si="72"/>
        <v>44604</v>
      </c>
      <c r="I254" s="82">
        <f t="shared" si="60"/>
        <v>0.13695359114576164</v>
      </c>
      <c r="J254" s="126">
        <f t="shared" si="66"/>
        <v>1248992.6830252381</v>
      </c>
      <c r="K254" s="139">
        <f t="shared" si="61"/>
        <v>0</v>
      </c>
      <c r="L254" s="83">
        <f t="shared" si="59"/>
        <v>1248992.6830252381</v>
      </c>
      <c r="M254" s="80">
        <f t="shared" si="67"/>
        <v>170</v>
      </c>
      <c r="N254" s="84">
        <f t="shared" si="75"/>
        <v>0</v>
      </c>
      <c r="O254" s="140">
        <f t="shared" si="62"/>
        <v>0</v>
      </c>
      <c r="P254" s="149">
        <v>0</v>
      </c>
      <c r="Q254" s="163">
        <f t="shared" si="68"/>
        <v>170</v>
      </c>
      <c r="R254" s="150">
        <f t="shared" si="63"/>
        <v>0</v>
      </c>
      <c r="S254"/>
    </row>
    <row r="255" spans="1:19" x14ac:dyDescent="0.25">
      <c r="A255" s="80" t="str">
        <f t="shared" si="73"/>
        <v>Sun</v>
      </c>
      <c r="B255" s="147">
        <f>IF(SUMIFS(CashFlow!$C$16:$C$40,CashFlow!$D$16:$D$40,CashFlowCalcs!$E255)&gt;0,SUMIFS(CashFlow!$C$16:$C$40,CashFlow!$D$16:$D$40,CashFlowCalcs!$E255),B254)</f>
        <v>7</v>
      </c>
      <c r="C255" s="147" t="str">
        <f t="shared" si="64"/>
        <v>Y</v>
      </c>
      <c r="D255" s="80">
        <f t="shared" si="69"/>
        <v>170</v>
      </c>
      <c r="E255" s="81">
        <f t="shared" si="76"/>
        <v>44605</v>
      </c>
      <c r="F255" s="80">
        <f t="shared" si="71"/>
        <v>-1.9940828402366864</v>
      </c>
      <c r="G255" s="119">
        <f t="shared" si="65"/>
        <v>5.4632752137878333E-2</v>
      </c>
      <c r="H255" s="125">
        <f t="shared" si="72"/>
        <v>44605</v>
      </c>
      <c r="I255" s="82">
        <f t="shared" si="60"/>
        <v>0.13695359114576164</v>
      </c>
      <c r="J255" s="126">
        <f t="shared" si="66"/>
        <v>1248992.6830252381</v>
      </c>
      <c r="K255" s="139">
        <f t="shared" si="61"/>
        <v>0</v>
      </c>
      <c r="L255" s="83">
        <f t="shared" si="59"/>
        <v>1248992.6830252381</v>
      </c>
      <c r="M255" s="80">
        <f t="shared" si="67"/>
        <v>170</v>
      </c>
      <c r="N255" s="84">
        <f t="shared" si="75"/>
        <v>0</v>
      </c>
      <c r="O255" s="140">
        <f t="shared" si="62"/>
        <v>0</v>
      </c>
      <c r="P255" s="149">
        <v>0</v>
      </c>
      <c r="Q255" s="163">
        <f t="shared" si="68"/>
        <v>170</v>
      </c>
      <c r="R255" s="150">
        <f t="shared" si="63"/>
        <v>0</v>
      </c>
      <c r="S255"/>
    </row>
    <row r="256" spans="1:19" x14ac:dyDescent="0.25">
      <c r="A256" s="80" t="str">
        <f t="shared" si="73"/>
        <v>Mon</v>
      </c>
      <c r="B256" s="147">
        <f>IF(SUMIFS(CashFlow!$C$16:$C$40,CashFlow!$D$16:$D$40,CashFlowCalcs!$E256)&gt;0,SUMIFS(CashFlow!$C$16:$C$40,CashFlow!$D$16:$D$40,CashFlowCalcs!$E256),B255)</f>
        <v>7</v>
      </c>
      <c r="C256" s="147" t="str">
        <f t="shared" si="64"/>
        <v>N</v>
      </c>
      <c r="D256" s="80">
        <f t="shared" si="69"/>
        <v>171</v>
      </c>
      <c r="E256" s="81">
        <f t="shared" si="76"/>
        <v>44606</v>
      </c>
      <c r="F256" s="80">
        <f t="shared" si="71"/>
        <v>-1.9881656804733727</v>
      </c>
      <c r="G256" s="119">
        <f t="shared" si="65"/>
        <v>5.5280231060488891E-2</v>
      </c>
      <c r="H256" s="125">
        <f t="shared" si="72"/>
        <v>44606</v>
      </c>
      <c r="I256" s="82">
        <f t="shared" si="60"/>
        <v>0.13857669377509493</v>
      </c>
      <c r="J256" s="126">
        <f t="shared" si="66"/>
        <v>1263795.0937607018</v>
      </c>
      <c r="K256" s="139">
        <f t="shared" si="61"/>
        <v>0</v>
      </c>
      <c r="L256" s="83">
        <f t="shared" si="59"/>
        <v>1263795.0937607018</v>
      </c>
      <c r="M256" s="80">
        <f t="shared" si="67"/>
        <v>171</v>
      </c>
      <c r="N256" s="84">
        <f t="shared" si="75"/>
        <v>0</v>
      </c>
      <c r="O256" s="140">
        <f t="shared" si="62"/>
        <v>0</v>
      </c>
      <c r="P256" s="149">
        <v>0</v>
      </c>
      <c r="Q256" s="163">
        <f t="shared" si="68"/>
        <v>171</v>
      </c>
      <c r="R256" s="150">
        <f t="shared" si="63"/>
        <v>0</v>
      </c>
      <c r="S256"/>
    </row>
    <row r="257" spans="1:19" x14ac:dyDescent="0.25">
      <c r="A257" s="80" t="str">
        <f t="shared" si="73"/>
        <v>Tues</v>
      </c>
      <c r="B257" s="147">
        <f>IF(SUMIFS(CashFlow!$C$16:$C$40,CashFlow!$D$16:$D$40,CashFlowCalcs!$E257)&gt;0,SUMIFS(CashFlow!$C$16:$C$40,CashFlow!$D$16:$D$40,CashFlowCalcs!$E257),B256)</f>
        <v>7</v>
      </c>
      <c r="C257" s="147" t="str">
        <f t="shared" si="64"/>
        <v>N</v>
      </c>
      <c r="D257" s="80">
        <f t="shared" si="69"/>
        <v>172</v>
      </c>
      <c r="E257" s="81">
        <f t="shared" si="76"/>
        <v>44607</v>
      </c>
      <c r="F257" s="80">
        <f t="shared" si="71"/>
        <v>-1.9822485207100591</v>
      </c>
      <c r="G257" s="119">
        <f t="shared" si="65"/>
        <v>5.5933425147072564E-2</v>
      </c>
      <c r="H257" s="125">
        <f t="shared" si="72"/>
        <v>44607</v>
      </c>
      <c r="I257" s="82">
        <f t="shared" si="60"/>
        <v>0.14021412319924409</v>
      </c>
      <c r="J257" s="126">
        <f t="shared" si="66"/>
        <v>1278728.1623470951</v>
      </c>
      <c r="K257" s="139">
        <f t="shared" si="61"/>
        <v>0</v>
      </c>
      <c r="L257" s="83">
        <f t="shared" si="59"/>
        <v>1278728.1623470951</v>
      </c>
      <c r="M257" s="80">
        <f t="shared" si="67"/>
        <v>172</v>
      </c>
      <c r="N257" s="84">
        <f t="shared" si="75"/>
        <v>0</v>
      </c>
      <c r="O257" s="140">
        <f t="shared" si="62"/>
        <v>0</v>
      </c>
      <c r="P257" s="149">
        <v>0</v>
      </c>
      <c r="Q257" s="163">
        <f t="shared" si="68"/>
        <v>172</v>
      </c>
      <c r="R257" s="150">
        <f t="shared" si="63"/>
        <v>0</v>
      </c>
      <c r="S257"/>
    </row>
    <row r="258" spans="1:19" x14ac:dyDescent="0.25">
      <c r="A258" s="80" t="str">
        <f t="shared" si="73"/>
        <v>Wed</v>
      </c>
      <c r="B258" s="147">
        <f>IF(SUMIFS(CashFlow!$C$16:$C$40,CashFlow!$D$16:$D$40,CashFlowCalcs!$E258)&gt;0,SUMIFS(CashFlow!$C$16:$C$40,CashFlow!$D$16:$D$40,CashFlowCalcs!$E258),B257)</f>
        <v>7</v>
      </c>
      <c r="C258" s="147" t="str">
        <f t="shared" si="64"/>
        <v>N</v>
      </c>
      <c r="D258" s="80">
        <f t="shared" si="69"/>
        <v>173</v>
      </c>
      <c r="E258" s="81">
        <f t="shared" si="76"/>
        <v>44608</v>
      </c>
      <c r="F258" s="80">
        <f t="shared" si="71"/>
        <v>-1.9763313609467454</v>
      </c>
      <c r="G258" s="119">
        <f t="shared" si="65"/>
        <v>5.6592355918593663E-2</v>
      </c>
      <c r="H258" s="125">
        <f t="shared" si="72"/>
        <v>44608</v>
      </c>
      <c r="I258" s="82">
        <f t="shared" si="60"/>
        <v>0.14186593336704439</v>
      </c>
      <c r="J258" s="126">
        <f t="shared" si="66"/>
        <v>1293792.3807883149</v>
      </c>
      <c r="K258" s="139">
        <f t="shared" si="61"/>
        <v>0</v>
      </c>
      <c r="L258" s="83">
        <f t="shared" si="59"/>
        <v>1293792.3807883149</v>
      </c>
      <c r="M258" s="80">
        <f t="shared" si="67"/>
        <v>173</v>
      </c>
      <c r="N258" s="84">
        <f t="shared" si="75"/>
        <v>0</v>
      </c>
      <c r="O258" s="140">
        <f t="shared" si="62"/>
        <v>0</v>
      </c>
      <c r="P258" s="149">
        <v>0</v>
      </c>
      <c r="Q258" s="163">
        <f t="shared" si="68"/>
        <v>173</v>
      </c>
      <c r="R258" s="150">
        <f t="shared" si="63"/>
        <v>0</v>
      </c>
      <c r="S258"/>
    </row>
    <row r="259" spans="1:19" x14ac:dyDescent="0.25">
      <c r="A259" s="80" t="str">
        <f t="shared" si="73"/>
        <v>Thu</v>
      </c>
      <c r="B259" s="147">
        <f>IF(SUMIFS(CashFlow!$C$16:$C$40,CashFlow!$D$16:$D$40,CashFlowCalcs!$E259)&gt;0,SUMIFS(CashFlow!$C$16:$C$40,CashFlow!$D$16:$D$40,CashFlowCalcs!$E259),B258)</f>
        <v>7</v>
      </c>
      <c r="C259" s="147" t="str">
        <f t="shared" si="64"/>
        <v>N</v>
      </c>
      <c r="D259" s="80">
        <f t="shared" si="69"/>
        <v>174</v>
      </c>
      <c r="E259" s="81">
        <f t="shared" si="76"/>
        <v>44609</v>
      </c>
      <c r="F259" s="80">
        <f t="shared" si="71"/>
        <v>-1.970414201183432</v>
      </c>
      <c r="G259" s="119">
        <f t="shared" si="65"/>
        <v>5.7257044543818712E-2</v>
      </c>
      <c r="H259" s="125">
        <f t="shared" si="72"/>
        <v>44609</v>
      </c>
      <c r="I259" s="82">
        <f t="shared" si="60"/>
        <v>0.14353217734444043</v>
      </c>
      <c r="J259" s="126">
        <f t="shared" si="66"/>
        <v>1308988.2330364501</v>
      </c>
      <c r="K259" s="139">
        <f t="shared" si="61"/>
        <v>0</v>
      </c>
      <c r="L259" s="83">
        <f t="shared" si="59"/>
        <v>1308988.2330364501</v>
      </c>
      <c r="M259" s="80">
        <f t="shared" si="67"/>
        <v>174</v>
      </c>
      <c r="N259" s="84">
        <f t="shared" si="75"/>
        <v>0</v>
      </c>
      <c r="O259" s="140">
        <f t="shared" si="62"/>
        <v>0</v>
      </c>
      <c r="P259" s="149">
        <v>0</v>
      </c>
      <c r="Q259" s="163">
        <f t="shared" si="68"/>
        <v>174</v>
      </c>
      <c r="R259" s="150">
        <f t="shared" si="63"/>
        <v>0</v>
      </c>
      <c r="S259"/>
    </row>
    <row r="260" spans="1:19" x14ac:dyDescent="0.25">
      <c r="A260" s="80" t="str">
        <f t="shared" si="73"/>
        <v>Fri</v>
      </c>
      <c r="B260" s="147">
        <f>IF(SUMIFS(CashFlow!$C$16:$C$40,CashFlow!$D$16:$D$40,CashFlowCalcs!$E260)&gt;0,SUMIFS(CashFlow!$C$16:$C$40,CashFlow!$D$16:$D$40,CashFlowCalcs!$E260),B259)</f>
        <v>7</v>
      </c>
      <c r="C260" s="147" t="str">
        <f t="shared" si="64"/>
        <v>N</v>
      </c>
      <c r="D260" s="80">
        <f t="shared" si="69"/>
        <v>175</v>
      </c>
      <c r="E260" s="81">
        <f t="shared" ref="E260:E275" si="77">E259+1</f>
        <v>44610</v>
      </c>
      <c r="F260" s="80">
        <f t="shared" si="71"/>
        <v>-1.9644970414201184</v>
      </c>
      <c r="G260" s="119">
        <f t="shared" si="65"/>
        <v>5.7927511832185377E-2</v>
      </c>
      <c r="H260" s="125">
        <f t="shared" si="72"/>
        <v>44610</v>
      </c>
      <c r="I260" s="82">
        <f t="shared" si="60"/>
        <v>0.14521290729660977</v>
      </c>
      <c r="J260" s="126">
        <f t="shared" si="66"/>
        <v>1324316.1948287527</v>
      </c>
      <c r="K260" s="139">
        <f t="shared" si="61"/>
        <v>0</v>
      </c>
      <c r="L260" s="83">
        <f t="shared" si="59"/>
        <v>1324316.1948287527</v>
      </c>
      <c r="M260" s="80">
        <f t="shared" si="67"/>
        <v>175</v>
      </c>
      <c r="N260" s="84">
        <f t="shared" si="75"/>
        <v>0</v>
      </c>
      <c r="O260" s="140">
        <f t="shared" si="62"/>
        <v>0</v>
      </c>
      <c r="P260" s="149">
        <v>0</v>
      </c>
      <c r="Q260" s="163">
        <f t="shared" si="68"/>
        <v>175</v>
      </c>
      <c r="R260" s="150">
        <f t="shared" si="63"/>
        <v>0</v>
      </c>
      <c r="S260"/>
    </row>
    <row r="261" spans="1:19" x14ac:dyDescent="0.25">
      <c r="A261" s="80" t="str">
        <f t="shared" si="73"/>
        <v>Sat</v>
      </c>
      <c r="B261" s="147">
        <f>IF(SUMIFS(CashFlow!$C$16:$C$40,CashFlow!$D$16:$D$40,CashFlowCalcs!$E261)&gt;0,SUMIFS(CashFlow!$C$16:$C$40,CashFlow!$D$16:$D$40,CashFlowCalcs!$E261),B260)</f>
        <v>7</v>
      </c>
      <c r="C261" s="147" t="str">
        <f t="shared" si="64"/>
        <v>Y</v>
      </c>
      <c r="D261" s="80">
        <f t="shared" si="69"/>
        <v>175</v>
      </c>
      <c r="E261" s="81">
        <f t="shared" si="77"/>
        <v>44611</v>
      </c>
      <c r="F261" s="80">
        <f t="shared" si="71"/>
        <v>-1.9644970414201184</v>
      </c>
      <c r="G261" s="119">
        <f t="shared" si="65"/>
        <v>5.7927511832185377E-2</v>
      </c>
      <c r="H261" s="125">
        <f t="shared" si="72"/>
        <v>44611</v>
      </c>
      <c r="I261" s="82">
        <f t="shared" si="60"/>
        <v>0.14521290729660977</v>
      </c>
      <c r="J261" s="126">
        <f t="shared" si="66"/>
        <v>1324316.1948287527</v>
      </c>
      <c r="K261" s="139">
        <f t="shared" si="61"/>
        <v>0</v>
      </c>
      <c r="L261" s="83">
        <f t="shared" si="59"/>
        <v>1324316.1948287527</v>
      </c>
      <c r="M261" s="80">
        <f t="shared" si="67"/>
        <v>175</v>
      </c>
      <c r="N261" s="84">
        <f t="shared" si="75"/>
        <v>0</v>
      </c>
      <c r="O261" s="140">
        <f t="shared" si="62"/>
        <v>0</v>
      </c>
      <c r="P261" s="149">
        <v>0</v>
      </c>
      <c r="Q261" s="163">
        <f t="shared" si="68"/>
        <v>175</v>
      </c>
      <c r="R261" s="150">
        <f t="shared" si="63"/>
        <v>0</v>
      </c>
      <c r="S261"/>
    </row>
    <row r="262" spans="1:19" x14ac:dyDescent="0.25">
      <c r="A262" s="80" t="str">
        <f t="shared" si="73"/>
        <v>Sun</v>
      </c>
      <c r="B262" s="147">
        <f>IF(SUMIFS(CashFlow!$C$16:$C$40,CashFlow!$D$16:$D$40,CashFlowCalcs!$E262)&gt;0,SUMIFS(CashFlow!$C$16:$C$40,CashFlow!$D$16:$D$40,CashFlowCalcs!$E262),B261)</f>
        <v>7</v>
      </c>
      <c r="C262" s="147" t="str">
        <f t="shared" si="64"/>
        <v>Y</v>
      </c>
      <c r="D262" s="80">
        <f t="shared" si="69"/>
        <v>175</v>
      </c>
      <c r="E262" s="81">
        <f t="shared" si="77"/>
        <v>44612</v>
      </c>
      <c r="F262" s="80">
        <f t="shared" si="71"/>
        <v>-1.9644970414201184</v>
      </c>
      <c r="G262" s="119">
        <f t="shared" si="65"/>
        <v>5.7927511832185377E-2</v>
      </c>
      <c r="H262" s="125">
        <f t="shared" si="72"/>
        <v>44612</v>
      </c>
      <c r="I262" s="82">
        <f t="shared" si="60"/>
        <v>0.14521290729660977</v>
      </c>
      <c r="J262" s="126">
        <f t="shared" si="66"/>
        <v>1324316.1948287527</v>
      </c>
      <c r="K262" s="139">
        <f t="shared" si="61"/>
        <v>0</v>
      </c>
      <c r="L262" s="83">
        <f t="shared" si="59"/>
        <v>1324316.1948287527</v>
      </c>
      <c r="M262" s="80">
        <f t="shared" si="67"/>
        <v>175</v>
      </c>
      <c r="N262" s="84">
        <f t="shared" si="75"/>
        <v>0</v>
      </c>
      <c r="O262" s="140">
        <f t="shared" si="62"/>
        <v>0</v>
      </c>
      <c r="P262" s="149">
        <v>0</v>
      </c>
      <c r="Q262" s="163">
        <f t="shared" si="68"/>
        <v>175</v>
      </c>
      <c r="R262" s="150">
        <f t="shared" si="63"/>
        <v>0</v>
      </c>
      <c r="S262"/>
    </row>
    <row r="263" spans="1:19" x14ac:dyDescent="0.25">
      <c r="A263" s="80" t="str">
        <f t="shared" si="73"/>
        <v>Mon</v>
      </c>
      <c r="B263" s="147">
        <f>IF(SUMIFS(CashFlow!$C$16:$C$40,CashFlow!$D$16:$D$40,CashFlowCalcs!$E263)&gt;0,SUMIFS(CashFlow!$C$16:$C$40,CashFlow!$D$16:$D$40,CashFlowCalcs!$E263),B262)</f>
        <v>8</v>
      </c>
      <c r="C263" s="147" t="str">
        <f t="shared" si="64"/>
        <v>N</v>
      </c>
      <c r="D263" s="80">
        <f t="shared" si="69"/>
        <v>176</v>
      </c>
      <c r="E263" s="81">
        <f t="shared" si="77"/>
        <v>44613</v>
      </c>
      <c r="F263" s="80">
        <f t="shared" si="71"/>
        <v>-1.9585798816568047</v>
      </c>
      <c r="G263" s="119">
        <f t="shared" si="65"/>
        <v>5.8603778226650673E-2</v>
      </c>
      <c r="H263" s="125">
        <f t="shared" si="72"/>
        <v>44613</v>
      </c>
      <c r="I263" s="82">
        <f t="shared" si="60"/>
        <v>0.14690817447003493</v>
      </c>
      <c r="J263" s="126">
        <f t="shared" si="66"/>
        <v>1339776.7335241372</v>
      </c>
      <c r="K263" s="139">
        <f t="shared" si="61"/>
        <v>0</v>
      </c>
      <c r="L263" s="83">
        <f t="shared" si="59"/>
        <v>1339776.7335241372</v>
      </c>
      <c r="M263" s="80">
        <f t="shared" si="67"/>
        <v>176</v>
      </c>
      <c r="N263" s="84">
        <f t="shared" si="75"/>
        <v>0</v>
      </c>
      <c r="O263" s="140">
        <f t="shared" si="62"/>
        <v>0</v>
      </c>
      <c r="P263" s="149">
        <v>0</v>
      </c>
      <c r="Q263" s="163">
        <f t="shared" si="68"/>
        <v>176</v>
      </c>
      <c r="R263" s="150">
        <f t="shared" si="63"/>
        <v>0</v>
      </c>
      <c r="S263"/>
    </row>
    <row r="264" spans="1:19" x14ac:dyDescent="0.25">
      <c r="A264" s="80" t="str">
        <f t="shared" si="73"/>
        <v>Tues</v>
      </c>
      <c r="B264" s="147">
        <f>IF(SUMIFS(CashFlow!$C$16:$C$40,CashFlow!$D$16:$D$40,CashFlowCalcs!$E264)&gt;0,SUMIFS(CashFlow!$C$16:$C$40,CashFlow!$D$16:$D$40,CashFlowCalcs!$E264),B263)</f>
        <v>8</v>
      </c>
      <c r="C264" s="147" t="str">
        <f t="shared" si="64"/>
        <v>N</v>
      </c>
      <c r="D264" s="80">
        <f t="shared" si="69"/>
        <v>177</v>
      </c>
      <c r="E264" s="81">
        <f t="shared" si="77"/>
        <v>44614</v>
      </c>
      <c r="F264" s="80">
        <f t="shared" si="71"/>
        <v>-1.9526627218934911</v>
      </c>
      <c r="G264" s="119">
        <f t="shared" si="65"/>
        <v>5.9285863796519907E-2</v>
      </c>
      <c r="H264" s="125">
        <f t="shared" si="72"/>
        <v>44614</v>
      </c>
      <c r="I264" s="82">
        <f t="shared" si="60"/>
        <v>0.14861802917452691</v>
      </c>
      <c r="J264" s="126">
        <f t="shared" si="66"/>
        <v>1355370.3079392381</v>
      </c>
      <c r="K264" s="139">
        <f t="shared" si="61"/>
        <v>0</v>
      </c>
      <c r="L264" s="83">
        <f t="shared" si="59"/>
        <v>1355370.3079392381</v>
      </c>
      <c r="M264" s="80">
        <f t="shared" si="67"/>
        <v>177</v>
      </c>
      <c r="N264" s="84">
        <f t="shared" si="75"/>
        <v>0</v>
      </c>
      <c r="O264" s="140">
        <f t="shared" si="62"/>
        <v>0</v>
      </c>
      <c r="P264" s="149">
        <v>0</v>
      </c>
      <c r="Q264" s="163">
        <f t="shared" si="68"/>
        <v>177</v>
      </c>
      <c r="R264" s="150">
        <f t="shared" si="63"/>
        <v>0</v>
      </c>
      <c r="S264"/>
    </row>
    <row r="265" spans="1:19" x14ac:dyDescent="0.25">
      <c r="A265" s="80" t="str">
        <f t="shared" si="73"/>
        <v>Wed</v>
      </c>
      <c r="B265" s="147">
        <f>IF(SUMIFS(CashFlow!$C$16:$C$40,CashFlow!$D$16:$D$40,CashFlowCalcs!$E265)&gt;0,SUMIFS(CashFlow!$C$16:$C$40,CashFlow!$D$16:$D$40,CashFlowCalcs!$E265),B264)</f>
        <v>8</v>
      </c>
      <c r="C265" s="147" t="str">
        <f t="shared" si="64"/>
        <v>N</v>
      </c>
      <c r="D265" s="80">
        <f t="shared" si="69"/>
        <v>178</v>
      </c>
      <c r="E265" s="81">
        <f t="shared" si="77"/>
        <v>44615</v>
      </c>
      <c r="F265" s="80">
        <f t="shared" si="71"/>
        <v>-1.9467455621301775</v>
      </c>
      <c r="G265" s="119">
        <f t="shared" si="65"/>
        <v>5.9973788230257591E-2</v>
      </c>
      <c r="H265" s="125">
        <f t="shared" si="72"/>
        <v>44615</v>
      </c>
      <c r="I265" s="82">
        <f t="shared" si="60"/>
        <v>0.15034252076520349</v>
      </c>
      <c r="J265" s="126">
        <f t="shared" si="66"/>
        <v>1371097.3681840566</v>
      </c>
      <c r="K265" s="139">
        <f t="shared" si="61"/>
        <v>0</v>
      </c>
      <c r="L265" s="83">
        <f t="shared" si="59"/>
        <v>1371097.3681840566</v>
      </c>
      <c r="M265" s="80">
        <f t="shared" si="67"/>
        <v>178</v>
      </c>
      <c r="N265" s="84">
        <f t="shared" si="75"/>
        <v>0</v>
      </c>
      <c r="O265" s="140">
        <f t="shared" si="62"/>
        <v>0</v>
      </c>
      <c r="P265" s="149">
        <v>0</v>
      </c>
      <c r="Q265" s="163">
        <f t="shared" si="68"/>
        <v>178</v>
      </c>
      <c r="R265" s="150">
        <f t="shared" si="63"/>
        <v>0</v>
      </c>
      <c r="S265"/>
    </row>
    <row r="266" spans="1:19" x14ac:dyDescent="0.25">
      <c r="A266" s="80" t="str">
        <f t="shared" si="73"/>
        <v>Thu</v>
      </c>
      <c r="B266" s="147">
        <f>IF(SUMIFS(CashFlow!$C$16:$C$40,CashFlow!$D$16:$D$40,CashFlowCalcs!$E266)&gt;0,SUMIFS(CashFlow!$C$16:$C$40,CashFlow!$D$16:$D$40,CashFlowCalcs!$E266),B265)</f>
        <v>8</v>
      </c>
      <c r="C266" s="147" t="str">
        <f t="shared" si="64"/>
        <v>N</v>
      </c>
      <c r="D266" s="80">
        <f t="shared" si="69"/>
        <v>179</v>
      </c>
      <c r="E266" s="81">
        <f t="shared" si="77"/>
        <v>44616</v>
      </c>
      <c r="F266" s="80">
        <f t="shared" si="71"/>
        <v>-1.9408284023668638</v>
      </c>
      <c r="G266" s="119">
        <f t="shared" si="65"/>
        <v>6.0667570828281517E-2</v>
      </c>
      <c r="H266" s="125">
        <f t="shared" si="72"/>
        <v>44616</v>
      </c>
      <c r="I266" s="82">
        <f t="shared" si="60"/>
        <v>0.15208169762442558</v>
      </c>
      <c r="J266" s="126">
        <f t="shared" si="66"/>
        <v>1386958.3554972208</v>
      </c>
      <c r="K266" s="139">
        <f t="shared" si="61"/>
        <v>0</v>
      </c>
      <c r="L266" s="83">
        <f t="shared" si="59"/>
        <v>1386958.3554972208</v>
      </c>
      <c r="M266" s="80">
        <f t="shared" si="67"/>
        <v>179</v>
      </c>
      <c r="N266" s="84">
        <f t="shared" si="75"/>
        <v>0</v>
      </c>
      <c r="O266" s="140">
        <f t="shared" si="62"/>
        <v>0</v>
      </c>
      <c r="P266" s="149">
        <v>0</v>
      </c>
      <c r="Q266" s="163">
        <f t="shared" si="68"/>
        <v>179</v>
      </c>
      <c r="R266" s="150">
        <f t="shared" si="63"/>
        <v>0</v>
      </c>
      <c r="S266"/>
    </row>
    <row r="267" spans="1:19" x14ac:dyDescent="0.25">
      <c r="A267" s="80" t="str">
        <f t="shared" si="73"/>
        <v>Fri</v>
      </c>
      <c r="B267" s="147">
        <f>IF(SUMIFS(CashFlow!$C$16:$C$40,CashFlow!$D$16:$D$40,CashFlowCalcs!$E267)&gt;0,SUMIFS(CashFlow!$C$16:$C$40,CashFlow!$D$16:$D$40,CashFlowCalcs!$E267),B266)</f>
        <v>8</v>
      </c>
      <c r="C267" s="147" t="str">
        <f t="shared" si="64"/>
        <v>N</v>
      </c>
      <c r="D267" s="80">
        <f t="shared" si="69"/>
        <v>180</v>
      </c>
      <c r="E267" s="81">
        <f t="shared" si="77"/>
        <v>44617</v>
      </c>
      <c r="F267" s="80">
        <f t="shared" si="71"/>
        <v>-1.9349112426035504</v>
      </c>
      <c r="G267" s="119">
        <f t="shared" si="65"/>
        <v>6.1367230495741533E-2</v>
      </c>
      <c r="H267" s="125">
        <f t="shared" si="72"/>
        <v>44617</v>
      </c>
      <c r="I267" s="82">
        <f t="shared" si="60"/>
        <v>0.15383560714369476</v>
      </c>
      <c r="J267" s="126">
        <f t="shared" si="66"/>
        <v>1402953.7020808968</v>
      </c>
      <c r="K267" s="139">
        <f t="shared" si="61"/>
        <v>0</v>
      </c>
      <c r="L267" s="83">
        <f t="shared" si="59"/>
        <v>1402953.7020808968</v>
      </c>
      <c r="M267" s="80">
        <f t="shared" si="67"/>
        <v>180</v>
      </c>
      <c r="N267" s="84">
        <f t="shared" si="75"/>
        <v>0</v>
      </c>
      <c r="O267" s="140">
        <f t="shared" si="62"/>
        <v>0</v>
      </c>
      <c r="P267" s="149">
        <v>0</v>
      </c>
      <c r="Q267" s="163">
        <f t="shared" si="68"/>
        <v>180</v>
      </c>
      <c r="R267" s="150">
        <f t="shared" si="63"/>
        <v>0</v>
      </c>
      <c r="S267"/>
    </row>
    <row r="268" spans="1:19" x14ac:dyDescent="0.25">
      <c r="A268" s="80" t="str">
        <f t="shared" si="73"/>
        <v>Sat</v>
      </c>
      <c r="B268" s="147">
        <f>IF(SUMIFS(CashFlow!$C$16:$C$40,CashFlow!$D$16:$D$40,CashFlowCalcs!$E268)&gt;0,SUMIFS(CashFlow!$C$16:$C$40,CashFlow!$D$16:$D$40,CashFlowCalcs!$E268),B267)</f>
        <v>8</v>
      </c>
      <c r="C268" s="147" t="str">
        <f t="shared" si="64"/>
        <v>Y</v>
      </c>
      <c r="D268" s="80">
        <f t="shared" si="69"/>
        <v>180</v>
      </c>
      <c r="E268" s="81">
        <f t="shared" si="77"/>
        <v>44618</v>
      </c>
      <c r="F268" s="80">
        <f t="shared" si="71"/>
        <v>-1.9349112426035504</v>
      </c>
      <c r="G268" s="119">
        <f t="shared" si="65"/>
        <v>6.1367230495741533E-2</v>
      </c>
      <c r="H268" s="125">
        <f t="shared" si="72"/>
        <v>44618</v>
      </c>
      <c r="I268" s="82">
        <f t="shared" si="60"/>
        <v>0.15383560714369476</v>
      </c>
      <c r="J268" s="126">
        <f t="shared" si="66"/>
        <v>1402953.7020808968</v>
      </c>
      <c r="K268" s="139">
        <f t="shared" si="61"/>
        <v>0</v>
      </c>
      <c r="L268" s="83">
        <f t="shared" ref="L268:L331" si="78">IF(AND(E268&gt;=$H$3,P268=0,E268&lt;=$I$1),J268+K268,0)</f>
        <v>1402953.7020808968</v>
      </c>
      <c r="M268" s="80">
        <f t="shared" si="67"/>
        <v>180</v>
      </c>
      <c r="N268" s="84">
        <f t="shared" si="75"/>
        <v>0</v>
      </c>
      <c r="O268" s="140">
        <f t="shared" si="62"/>
        <v>0</v>
      </c>
      <c r="P268" s="149">
        <v>0</v>
      </c>
      <c r="Q268" s="163">
        <f t="shared" si="68"/>
        <v>180</v>
      </c>
      <c r="R268" s="150">
        <f t="shared" si="63"/>
        <v>0</v>
      </c>
      <c r="S268"/>
    </row>
    <row r="269" spans="1:19" x14ac:dyDescent="0.25">
      <c r="A269" s="80" t="str">
        <f t="shared" si="73"/>
        <v>Sun</v>
      </c>
      <c r="B269" s="147">
        <f>IF(SUMIFS(CashFlow!$C$16:$C$40,CashFlow!$D$16:$D$40,CashFlowCalcs!$E269)&gt;0,SUMIFS(CashFlow!$C$16:$C$40,CashFlow!$D$16:$D$40,CashFlowCalcs!$E269),B268)</f>
        <v>8</v>
      </c>
      <c r="C269" s="147" t="str">
        <f t="shared" si="64"/>
        <v>Y</v>
      </c>
      <c r="D269" s="80">
        <f t="shared" si="69"/>
        <v>180</v>
      </c>
      <c r="E269" s="81">
        <f t="shared" si="77"/>
        <v>44619</v>
      </c>
      <c r="F269" s="80">
        <f t="shared" si="71"/>
        <v>-1.9349112426035504</v>
      </c>
      <c r="G269" s="119">
        <f t="shared" si="65"/>
        <v>6.1367230495741533E-2</v>
      </c>
      <c r="H269" s="125">
        <f t="shared" si="72"/>
        <v>44619</v>
      </c>
      <c r="I269" s="82">
        <f t="shared" si="60"/>
        <v>0.15383560714369476</v>
      </c>
      <c r="J269" s="126">
        <f t="shared" si="66"/>
        <v>1402953.7020808968</v>
      </c>
      <c r="K269" s="139">
        <f t="shared" si="61"/>
        <v>0</v>
      </c>
      <c r="L269" s="83">
        <f t="shared" si="78"/>
        <v>1402953.7020808968</v>
      </c>
      <c r="M269" s="80">
        <f t="shared" si="67"/>
        <v>180</v>
      </c>
      <c r="N269" s="84">
        <f t="shared" si="75"/>
        <v>0</v>
      </c>
      <c r="O269" s="140">
        <f t="shared" si="62"/>
        <v>0</v>
      </c>
      <c r="P269" s="149">
        <v>0</v>
      </c>
      <c r="Q269" s="163">
        <f t="shared" si="68"/>
        <v>180</v>
      </c>
      <c r="R269" s="150">
        <f t="shared" si="63"/>
        <v>0</v>
      </c>
      <c r="S269"/>
    </row>
    <row r="270" spans="1:19" x14ac:dyDescent="0.25">
      <c r="A270" s="80" t="str">
        <f t="shared" si="73"/>
        <v>Mon</v>
      </c>
      <c r="B270" s="147">
        <f>IF(SUMIFS(CashFlow!$C$16:$C$40,CashFlow!$D$16:$D$40,CashFlowCalcs!$E270)&gt;0,SUMIFS(CashFlow!$C$16:$C$40,CashFlow!$D$16:$D$40,CashFlowCalcs!$E270),B269)</f>
        <v>8</v>
      </c>
      <c r="C270" s="147" t="str">
        <f t="shared" si="64"/>
        <v>N</v>
      </c>
      <c r="D270" s="80">
        <f t="shared" si="69"/>
        <v>181</v>
      </c>
      <c r="E270" s="81">
        <f t="shared" si="77"/>
        <v>44620</v>
      </c>
      <c r="F270" s="80">
        <f t="shared" si="71"/>
        <v>-1.9289940828402368</v>
      </c>
      <c r="G270" s="119">
        <f t="shared" si="65"/>
        <v>6.2072785735284228E-2</v>
      </c>
      <c r="H270" s="125">
        <f t="shared" si="72"/>
        <v>44620</v>
      </c>
      <c r="I270" s="82">
        <f t="shared" si="60"/>
        <v>0.15560429570551598</v>
      </c>
      <c r="J270" s="126">
        <f t="shared" si="66"/>
        <v>1419083.8309353783</v>
      </c>
      <c r="K270" s="139">
        <f t="shared" si="61"/>
        <v>0</v>
      </c>
      <c r="L270" s="83">
        <f t="shared" si="78"/>
        <v>1419083.8309353783</v>
      </c>
      <c r="M270" s="80">
        <f t="shared" si="67"/>
        <v>181</v>
      </c>
      <c r="N270" s="84">
        <f t="shared" si="75"/>
        <v>0</v>
      </c>
      <c r="O270" s="140">
        <f t="shared" si="62"/>
        <v>0</v>
      </c>
      <c r="P270" s="149">
        <v>0</v>
      </c>
      <c r="Q270" s="163">
        <f t="shared" si="68"/>
        <v>181</v>
      </c>
      <c r="R270" s="150">
        <f t="shared" si="63"/>
        <v>0</v>
      </c>
      <c r="S270"/>
    </row>
    <row r="271" spans="1:19" x14ac:dyDescent="0.25">
      <c r="A271" s="80" t="str">
        <f t="shared" si="73"/>
        <v>Tues</v>
      </c>
      <c r="B271" s="147">
        <f>IF(SUMIFS(CashFlow!$C$16:$C$40,CashFlow!$D$16:$D$40,CashFlowCalcs!$E271)&gt;0,SUMIFS(CashFlow!$C$16:$C$40,CashFlow!$D$16:$D$40,CashFlowCalcs!$E271),B270)</f>
        <v>8</v>
      </c>
      <c r="C271" s="147" t="str">
        <f t="shared" si="64"/>
        <v>N</v>
      </c>
      <c r="D271" s="80">
        <f t="shared" si="69"/>
        <v>182</v>
      </c>
      <c r="E271" s="81">
        <f t="shared" si="77"/>
        <v>44621</v>
      </c>
      <c r="F271" s="80">
        <f t="shared" si="71"/>
        <v>-1.9230769230769231</v>
      </c>
      <c r="G271" s="119">
        <f t="shared" si="65"/>
        <v>6.278425463980479E-2</v>
      </c>
      <c r="H271" s="125">
        <f t="shared" si="72"/>
        <v>44621</v>
      </c>
      <c r="I271" s="82">
        <f t="shared" si="60"/>
        <v>0.15738780866522786</v>
      </c>
      <c r="J271" s="126">
        <f t="shared" si="66"/>
        <v>1435349.1556933832</v>
      </c>
      <c r="K271" s="139">
        <f t="shared" si="61"/>
        <v>0</v>
      </c>
      <c r="L271" s="83">
        <f t="shared" si="78"/>
        <v>1435349.1556933832</v>
      </c>
      <c r="M271" s="80">
        <f t="shared" si="67"/>
        <v>182</v>
      </c>
      <c r="N271" s="84">
        <f t="shared" si="75"/>
        <v>0</v>
      </c>
      <c r="O271" s="140">
        <f t="shared" si="62"/>
        <v>0</v>
      </c>
      <c r="P271" s="149">
        <v>0</v>
      </c>
      <c r="Q271" s="163">
        <f t="shared" si="68"/>
        <v>182</v>
      </c>
      <c r="R271" s="150">
        <f t="shared" si="63"/>
        <v>0</v>
      </c>
      <c r="S271"/>
    </row>
    <row r="272" spans="1:19" x14ac:dyDescent="0.25">
      <c r="A272" s="80" t="str">
        <f t="shared" si="73"/>
        <v>Wed</v>
      </c>
      <c r="B272" s="147">
        <f>IF(SUMIFS(CashFlow!$C$16:$C$40,CashFlow!$D$16:$D$40,CashFlowCalcs!$E272)&gt;0,SUMIFS(CashFlow!$C$16:$C$40,CashFlow!$D$16:$D$40,CashFlowCalcs!$E272),B271)</f>
        <v>8</v>
      </c>
      <c r="C272" s="147" t="str">
        <f t="shared" si="64"/>
        <v>N</v>
      </c>
      <c r="D272" s="80">
        <f t="shared" si="69"/>
        <v>183</v>
      </c>
      <c r="E272" s="81">
        <f t="shared" si="77"/>
        <v>44622</v>
      </c>
      <c r="F272" s="80">
        <f t="shared" si="71"/>
        <v>-1.9171597633136095</v>
      </c>
      <c r="G272" s="119">
        <f t="shared" si="65"/>
        <v>6.3501654885187664E-2</v>
      </c>
      <c r="H272" s="125">
        <f t="shared" si="72"/>
        <v>44622</v>
      </c>
      <c r="I272" s="82">
        <f t="shared" si="60"/>
        <v>0.15918619033280479</v>
      </c>
      <c r="J272" s="126">
        <f t="shared" si="66"/>
        <v>1451750.0804540906</v>
      </c>
      <c r="K272" s="139">
        <f t="shared" si="61"/>
        <v>0</v>
      </c>
      <c r="L272" s="83">
        <f t="shared" si="78"/>
        <v>1451750.0804540906</v>
      </c>
      <c r="M272" s="80">
        <f t="shared" si="67"/>
        <v>183</v>
      </c>
      <c r="N272" s="84">
        <f t="shared" si="75"/>
        <v>0</v>
      </c>
      <c r="O272" s="140">
        <f t="shared" si="62"/>
        <v>0</v>
      </c>
      <c r="P272" s="149">
        <v>0</v>
      </c>
      <c r="Q272" s="163">
        <f t="shared" si="68"/>
        <v>183</v>
      </c>
      <c r="R272" s="150">
        <f t="shared" si="63"/>
        <v>0</v>
      </c>
      <c r="S272"/>
    </row>
    <row r="273" spans="1:19" s="74" customFormat="1" x14ac:dyDescent="0.25">
      <c r="A273" s="80" t="str">
        <f t="shared" si="73"/>
        <v>Thu</v>
      </c>
      <c r="B273" s="147">
        <f>IF(SUMIFS(CashFlow!$C$16:$C$40,CashFlow!$D$16:$D$40,CashFlowCalcs!$E273)&gt;0,SUMIFS(CashFlow!$C$16:$C$40,CashFlow!$D$16:$D$40,CashFlowCalcs!$E273),B272)</f>
        <v>8</v>
      </c>
      <c r="C273" s="147" t="str">
        <f t="shared" si="64"/>
        <v>N</v>
      </c>
      <c r="D273" s="80">
        <f t="shared" si="69"/>
        <v>184</v>
      </c>
      <c r="E273" s="85">
        <f t="shared" si="77"/>
        <v>44623</v>
      </c>
      <c r="F273" s="80">
        <f t="shared" si="71"/>
        <v>-1.9112426035502958</v>
      </c>
      <c r="G273" s="121">
        <f t="shared" si="65"/>
        <v>6.4225003723037327E-2</v>
      </c>
      <c r="H273" s="129">
        <f t="shared" si="72"/>
        <v>44623</v>
      </c>
      <c r="I273" s="86">
        <f t="shared" si="60"/>
        <v>0.16099948395463462</v>
      </c>
      <c r="J273" s="130">
        <f t="shared" si="66"/>
        <v>1468286.9996169575</v>
      </c>
      <c r="K273" s="143">
        <f t="shared" si="61"/>
        <v>0</v>
      </c>
      <c r="L273" s="83">
        <f t="shared" si="78"/>
        <v>1468286.9996169575</v>
      </c>
      <c r="M273" s="80">
        <f t="shared" si="67"/>
        <v>184</v>
      </c>
      <c r="N273" s="87">
        <f t="shared" si="75"/>
        <v>0</v>
      </c>
      <c r="O273" s="144">
        <f t="shared" si="62"/>
        <v>0</v>
      </c>
      <c r="P273" s="149">
        <v>0</v>
      </c>
      <c r="Q273" s="163">
        <f t="shared" si="68"/>
        <v>184</v>
      </c>
      <c r="R273" s="150">
        <f t="shared" si="63"/>
        <v>0</v>
      </c>
    </row>
    <row r="274" spans="1:19" x14ac:dyDescent="0.25">
      <c r="A274" s="80" t="str">
        <f t="shared" si="73"/>
        <v>Fri</v>
      </c>
      <c r="B274" s="147">
        <f>IF(SUMIFS(CashFlow!$C$16:$C$40,CashFlow!$D$16:$D$40,CashFlowCalcs!$E274)&gt;0,SUMIFS(CashFlow!$C$16:$C$40,CashFlow!$D$16:$D$40,CashFlowCalcs!$E274),B273)</f>
        <v>8</v>
      </c>
      <c r="C274" s="147" t="str">
        <f t="shared" si="64"/>
        <v>N</v>
      </c>
      <c r="D274" s="80">
        <f t="shared" si="69"/>
        <v>185</v>
      </c>
      <c r="E274" s="81">
        <f t="shared" si="77"/>
        <v>44624</v>
      </c>
      <c r="F274" s="80">
        <f t="shared" si="71"/>
        <v>-1.9053254437869822</v>
      </c>
      <c r="G274" s="119">
        <f t="shared" si="65"/>
        <v>6.4954317973400483E-2</v>
      </c>
      <c r="H274" s="125">
        <f t="shared" si="72"/>
        <v>44624</v>
      </c>
      <c r="I274" s="82">
        <f t="shared" ref="I274:I337" si="79">G274/VLOOKUP($J$5,$D$18:$G$750,4)</f>
        <v>0.16282773169527448</v>
      </c>
      <c r="J274" s="126">
        <f t="shared" si="66"/>
        <v>1484960.2977153352</v>
      </c>
      <c r="K274" s="139">
        <f t="shared" ref="K274:K337" si="80">N274*O274</f>
        <v>0</v>
      </c>
      <c r="L274" s="83">
        <f t="shared" si="78"/>
        <v>1484960.2977153352</v>
      </c>
      <c r="M274" s="80">
        <f t="shared" si="67"/>
        <v>185</v>
      </c>
      <c r="N274" s="84">
        <f t="shared" si="75"/>
        <v>0</v>
      </c>
      <c r="O274" s="140">
        <f t="shared" ref="O274:O337" si="81">IF(E274&lt;$J$6,0,IF(E274&gt;=$I$1,0,($J$5-D274)/($J$5-VLOOKUP($J$6,$H$17:$M$750,6))))</f>
        <v>0</v>
      </c>
      <c r="P274" s="149">
        <v>0</v>
      </c>
      <c r="Q274" s="163">
        <f t="shared" si="68"/>
        <v>185</v>
      </c>
      <c r="R274" s="150">
        <f t="shared" ref="R274:R337" si="82">IF(OR(E274&lt;$J$6+1,E274&gt;$I$1),0,1)</f>
        <v>0</v>
      </c>
      <c r="S274"/>
    </row>
    <row r="275" spans="1:19" x14ac:dyDescent="0.25">
      <c r="A275" s="80" t="str">
        <f t="shared" si="73"/>
        <v>Sat</v>
      </c>
      <c r="B275" s="147">
        <f>IF(SUMIFS(CashFlow!$C$16:$C$40,CashFlow!$D$16:$D$40,CashFlowCalcs!$E275)&gt;0,SUMIFS(CashFlow!$C$16:$C$40,CashFlow!$D$16:$D$40,CashFlowCalcs!$E275),B274)</f>
        <v>8</v>
      </c>
      <c r="C275" s="147" t="str">
        <f t="shared" ref="C275:C338" si="83">IF(LEFT(A275,1)="S","Y","N")</f>
        <v>Y</v>
      </c>
      <c r="D275" s="80">
        <f t="shared" si="69"/>
        <v>185</v>
      </c>
      <c r="E275" s="81">
        <f t="shared" si="77"/>
        <v>44625</v>
      </c>
      <c r="F275" s="80">
        <f t="shared" si="71"/>
        <v>-1.9053254437869822</v>
      </c>
      <c r="G275" s="119">
        <f t="shared" ref="G275:G338" si="84">NORMDIST(F275,0,1,0)</f>
        <v>6.4954317973400483E-2</v>
      </c>
      <c r="H275" s="125">
        <f t="shared" si="72"/>
        <v>44625</v>
      </c>
      <c r="I275" s="82">
        <f t="shared" si="79"/>
        <v>0.16282773169527448</v>
      </c>
      <c r="J275" s="126">
        <f t="shared" ref="J275:J338" si="85">(I275*$G$8)+$G$7</f>
        <v>1484960.2977153352</v>
      </c>
      <c r="K275" s="139">
        <f t="shared" si="80"/>
        <v>0</v>
      </c>
      <c r="L275" s="83">
        <f t="shared" si="78"/>
        <v>1484960.2977153352</v>
      </c>
      <c r="M275" s="80">
        <f t="shared" ref="M275:M338" si="86">D275</f>
        <v>185</v>
      </c>
      <c r="N275" s="84">
        <f t="shared" si="75"/>
        <v>0</v>
      </c>
      <c r="O275" s="140">
        <f t="shared" si="81"/>
        <v>0</v>
      </c>
      <c r="P275" s="149">
        <v>0</v>
      </c>
      <c r="Q275" s="163">
        <f t="shared" ref="Q275:Q338" si="87">D275</f>
        <v>185</v>
      </c>
      <c r="R275" s="150">
        <f t="shared" si="82"/>
        <v>0</v>
      </c>
      <c r="S275"/>
    </row>
    <row r="276" spans="1:19" x14ac:dyDescent="0.25">
      <c r="A276" s="80" t="str">
        <f t="shared" si="73"/>
        <v>Sun</v>
      </c>
      <c r="B276" s="147">
        <f>IF(SUMIFS(CashFlow!$C$16:$C$40,CashFlow!$D$16:$D$40,CashFlowCalcs!$E276)&gt;0,SUMIFS(CashFlow!$C$16:$C$40,CashFlow!$D$16:$D$40,CashFlowCalcs!$E276),B275)</f>
        <v>8</v>
      </c>
      <c r="C276" s="147" t="str">
        <f t="shared" si="83"/>
        <v>Y</v>
      </c>
      <c r="D276" s="80">
        <f t="shared" ref="D276:D339" si="88">IF($C276="N",$D275+1,$D275)</f>
        <v>185</v>
      </c>
      <c r="E276" s="81">
        <f t="shared" ref="E276:E291" si="89">E275+1</f>
        <v>44626</v>
      </c>
      <c r="F276" s="80">
        <f t="shared" ref="F276:F339" si="90">$F$18+((((D276)/($J$5+2)*3)))</f>
        <v>-1.9053254437869822</v>
      </c>
      <c r="G276" s="119">
        <f t="shared" si="84"/>
        <v>6.4954317973400483E-2</v>
      </c>
      <c r="H276" s="125">
        <f t="shared" ref="H276:H339" si="91">H275+1</f>
        <v>44626</v>
      </c>
      <c r="I276" s="82">
        <f t="shared" si="79"/>
        <v>0.16282773169527448</v>
      </c>
      <c r="J276" s="126">
        <f t="shared" si="85"/>
        <v>1484960.2977153352</v>
      </c>
      <c r="K276" s="139">
        <f t="shared" si="80"/>
        <v>0</v>
      </c>
      <c r="L276" s="83">
        <f t="shared" si="78"/>
        <v>1484960.2977153352</v>
      </c>
      <c r="M276" s="80">
        <f t="shared" si="86"/>
        <v>185</v>
      </c>
      <c r="N276" s="84">
        <f t="shared" si="75"/>
        <v>0</v>
      </c>
      <c r="O276" s="140">
        <f t="shared" si="81"/>
        <v>0</v>
      </c>
      <c r="P276" s="149">
        <v>0</v>
      </c>
      <c r="Q276" s="163">
        <f t="shared" si="87"/>
        <v>185</v>
      </c>
      <c r="R276" s="150">
        <f t="shared" si="82"/>
        <v>0</v>
      </c>
      <c r="S276"/>
    </row>
    <row r="277" spans="1:19" x14ac:dyDescent="0.25">
      <c r="A277" s="80" t="str">
        <f t="shared" si="73"/>
        <v>Mon</v>
      </c>
      <c r="B277" s="147">
        <f>IF(SUMIFS(CashFlow!$C$16:$C$40,CashFlow!$D$16:$D$40,CashFlowCalcs!$E277)&gt;0,SUMIFS(CashFlow!$C$16:$C$40,CashFlow!$D$16:$D$40,CashFlowCalcs!$E277),B276)</f>
        <v>8</v>
      </c>
      <c r="C277" s="147" t="str">
        <f t="shared" si="83"/>
        <v>N</v>
      </c>
      <c r="D277" s="80">
        <f t="shared" si="88"/>
        <v>186</v>
      </c>
      <c r="E277" s="81">
        <f t="shared" si="89"/>
        <v>44627</v>
      </c>
      <c r="F277" s="80">
        <f t="shared" si="90"/>
        <v>-1.8994082840236688</v>
      </c>
      <c r="G277" s="119">
        <f t="shared" si="84"/>
        <v>6.568961401748119E-2</v>
      </c>
      <c r="H277" s="125">
        <f t="shared" si="91"/>
        <v>44627</v>
      </c>
      <c r="I277" s="82">
        <f t="shared" si="79"/>
        <v>0.16467097461918909</v>
      </c>
      <c r="J277" s="126">
        <f t="shared" si="85"/>
        <v>1501770.3492499248</v>
      </c>
      <c r="K277" s="139">
        <f t="shared" si="80"/>
        <v>0</v>
      </c>
      <c r="L277" s="83">
        <f t="shared" si="78"/>
        <v>1501770.3492499248</v>
      </c>
      <c r="M277" s="80">
        <f t="shared" si="86"/>
        <v>186</v>
      </c>
      <c r="N277" s="84">
        <f t="shared" si="75"/>
        <v>0</v>
      </c>
      <c r="O277" s="140">
        <f t="shared" si="81"/>
        <v>0</v>
      </c>
      <c r="P277" s="149">
        <v>0</v>
      </c>
      <c r="Q277" s="163">
        <f t="shared" si="87"/>
        <v>186</v>
      </c>
      <c r="R277" s="150">
        <f t="shared" si="82"/>
        <v>0</v>
      </c>
      <c r="S277"/>
    </row>
    <row r="278" spans="1:19" x14ac:dyDescent="0.25">
      <c r="A278" s="80" t="str">
        <f t="shared" si="73"/>
        <v>Tues</v>
      </c>
      <c r="B278" s="147">
        <f>IF(SUMIFS(CashFlow!$C$16:$C$40,CashFlow!$D$16:$D$40,CashFlowCalcs!$E278)&gt;0,SUMIFS(CashFlow!$C$16:$C$40,CashFlow!$D$16:$D$40,CashFlowCalcs!$E278),B277)</f>
        <v>8</v>
      </c>
      <c r="C278" s="147" t="str">
        <f t="shared" si="83"/>
        <v>N</v>
      </c>
      <c r="D278" s="80">
        <f t="shared" si="88"/>
        <v>187</v>
      </c>
      <c r="E278" s="81">
        <f t="shared" si="89"/>
        <v>44628</v>
      </c>
      <c r="F278" s="80">
        <f t="shared" si="90"/>
        <v>-1.8934911242603549</v>
      </c>
      <c r="G278" s="119">
        <f t="shared" si="84"/>
        <v>6.643090779035063E-2</v>
      </c>
      <c r="H278" s="125">
        <f t="shared" si="91"/>
        <v>44628</v>
      </c>
      <c r="I278" s="82">
        <f t="shared" si="79"/>
        <v>0.16652925267247559</v>
      </c>
      <c r="J278" s="126">
        <f t="shared" si="85"/>
        <v>1518717.5185221126</v>
      </c>
      <c r="K278" s="139">
        <f t="shared" si="80"/>
        <v>0</v>
      </c>
      <c r="L278" s="83">
        <f t="shared" si="78"/>
        <v>1518717.5185221126</v>
      </c>
      <c r="M278" s="80">
        <f t="shared" si="86"/>
        <v>187</v>
      </c>
      <c r="N278" s="84">
        <f t="shared" si="75"/>
        <v>0</v>
      </c>
      <c r="O278" s="140">
        <f t="shared" si="81"/>
        <v>0</v>
      </c>
      <c r="P278" s="149">
        <v>0</v>
      </c>
      <c r="Q278" s="163">
        <f t="shared" si="87"/>
        <v>187</v>
      </c>
      <c r="R278" s="150">
        <f t="shared" si="82"/>
        <v>0</v>
      </c>
      <c r="S278"/>
    </row>
    <row r="279" spans="1:19" x14ac:dyDescent="0.25">
      <c r="A279" s="80" t="str">
        <f t="shared" si="73"/>
        <v>Wed</v>
      </c>
      <c r="B279" s="147">
        <f>IF(SUMIFS(CashFlow!$C$16:$C$40,CashFlow!$D$16:$D$40,CashFlowCalcs!$E279)&gt;0,SUMIFS(CashFlow!$C$16:$C$40,CashFlow!$D$16:$D$40,CashFlowCalcs!$E279),B278)</f>
        <v>8</v>
      </c>
      <c r="C279" s="147" t="str">
        <f t="shared" si="83"/>
        <v>N</v>
      </c>
      <c r="D279" s="80">
        <f t="shared" si="88"/>
        <v>188</v>
      </c>
      <c r="E279" s="81">
        <f t="shared" si="89"/>
        <v>44629</v>
      </c>
      <c r="F279" s="80">
        <f t="shared" si="90"/>
        <v>-1.8875739644970415</v>
      </c>
      <c r="G279" s="119">
        <f t="shared" si="84"/>
        <v>6.7178214773652239E-2</v>
      </c>
      <c r="H279" s="125">
        <f t="shared" si="91"/>
        <v>44629</v>
      </c>
      <c r="I279" s="82">
        <f t="shared" si="79"/>
        <v>0.16840260466457671</v>
      </c>
      <c r="J279" s="126">
        <f t="shared" si="85"/>
        <v>1535802.1594671959</v>
      </c>
      <c r="K279" s="139">
        <f t="shared" si="80"/>
        <v>0</v>
      </c>
      <c r="L279" s="83">
        <f t="shared" si="78"/>
        <v>1535802.1594671959</v>
      </c>
      <c r="M279" s="80">
        <f t="shared" si="86"/>
        <v>188</v>
      </c>
      <c r="N279" s="84">
        <f t="shared" si="75"/>
        <v>0</v>
      </c>
      <c r="O279" s="140">
        <f t="shared" si="81"/>
        <v>0</v>
      </c>
      <c r="P279" s="149">
        <v>0</v>
      </c>
      <c r="Q279" s="163">
        <f t="shared" si="87"/>
        <v>188</v>
      </c>
      <c r="R279" s="150">
        <f t="shared" si="82"/>
        <v>0</v>
      </c>
      <c r="S279"/>
    </row>
    <row r="280" spans="1:19" x14ac:dyDescent="0.25">
      <c r="A280" s="80" t="str">
        <f t="shared" si="73"/>
        <v>Thu</v>
      </c>
      <c r="B280" s="147">
        <f>IF(SUMIFS(CashFlow!$C$16:$C$40,CashFlow!$D$16:$D$40,CashFlowCalcs!$E280)&gt;0,SUMIFS(CashFlow!$C$16:$C$40,CashFlow!$D$16:$D$40,CashFlowCalcs!$E280),B279)</f>
        <v>8</v>
      </c>
      <c r="C280" s="147" t="str">
        <f t="shared" si="83"/>
        <v>N</v>
      </c>
      <c r="D280" s="80">
        <f t="shared" si="88"/>
        <v>189</v>
      </c>
      <c r="E280" s="81">
        <f t="shared" si="89"/>
        <v>44630</v>
      </c>
      <c r="F280" s="80">
        <f t="shared" si="90"/>
        <v>-1.8816568047337277</v>
      </c>
      <c r="G280" s="119">
        <f t="shared" si="84"/>
        <v>6.7931549988304987E-2</v>
      </c>
      <c r="H280" s="125">
        <f t="shared" si="91"/>
        <v>44630</v>
      </c>
      <c r="I280" s="82">
        <f t="shared" si="79"/>
        <v>0.17029106824998932</v>
      </c>
      <c r="J280" s="126">
        <f t="shared" si="85"/>
        <v>1553024.6154875683</v>
      </c>
      <c r="K280" s="139">
        <f t="shared" si="80"/>
        <v>0</v>
      </c>
      <c r="L280" s="83">
        <f t="shared" si="78"/>
        <v>1553024.6154875683</v>
      </c>
      <c r="M280" s="80">
        <f t="shared" si="86"/>
        <v>189</v>
      </c>
      <c r="N280" s="84">
        <f t="shared" si="75"/>
        <v>0</v>
      </c>
      <c r="O280" s="140">
        <f t="shared" si="81"/>
        <v>0</v>
      </c>
      <c r="P280" s="149">
        <v>0</v>
      </c>
      <c r="Q280" s="163">
        <f t="shared" si="87"/>
        <v>189</v>
      </c>
      <c r="R280" s="150">
        <f t="shared" si="82"/>
        <v>0</v>
      </c>
      <c r="S280"/>
    </row>
    <row r="281" spans="1:19" x14ac:dyDescent="0.25">
      <c r="A281" s="80" t="str">
        <f t="shared" si="73"/>
        <v>Fri</v>
      </c>
      <c r="B281" s="147">
        <f>IF(SUMIFS(CashFlow!$C$16:$C$40,CashFlow!$D$16:$D$40,CashFlowCalcs!$E281)&gt;0,SUMIFS(CashFlow!$C$16:$C$40,CashFlow!$D$16:$D$40,CashFlowCalcs!$E281),B280)</f>
        <v>8</v>
      </c>
      <c r="C281" s="147" t="str">
        <f t="shared" si="83"/>
        <v>N</v>
      </c>
      <c r="D281" s="80">
        <f t="shared" si="88"/>
        <v>190</v>
      </c>
      <c r="E281" s="81">
        <f t="shared" si="89"/>
        <v>44631</v>
      </c>
      <c r="F281" s="80">
        <f t="shared" si="90"/>
        <v>-1.8757396449704142</v>
      </c>
      <c r="G281" s="119">
        <f t="shared" si="84"/>
        <v>6.8690927987204636E-2</v>
      </c>
      <c r="H281" s="125">
        <f t="shared" si="91"/>
        <v>44631</v>
      </c>
      <c r="I281" s="82">
        <f t="shared" si="79"/>
        <v>0.17219467990996798</v>
      </c>
      <c r="J281" s="126">
        <f t="shared" si="85"/>
        <v>1570385.2192858607</v>
      </c>
      <c r="K281" s="139">
        <f t="shared" si="80"/>
        <v>0</v>
      </c>
      <c r="L281" s="83">
        <f t="shared" si="78"/>
        <v>1570385.2192858607</v>
      </c>
      <c r="M281" s="80">
        <f t="shared" si="86"/>
        <v>190</v>
      </c>
      <c r="N281" s="84">
        <f t="shared" si="75"/>
        <v>0</v>
      </c>
      <c r="O281" s="140">
        <f t="shared" si="81"/>
        <v>0</v>
      </c>
      <c r="P281" s="149">
        <v>0</v>
      </c>
      <c r="Q281" s="163">
        <f t="shared" si="87"/>
        <v>190</v>
      </c>
      <c r="R281" s="150">
        <f t="shared" si="82"/>
        <v>0</v>
      </c>
      <c r="S281"/>
    </row>
    <row r="282" spans="1:19" x14ac:dyDescent="0.25">
      <c r="A282" s="80" t="str">
        <f t="shared" ref="A282:A345" si="92">A275</f>
        <v>Sat</v>
      </c>
      <c r="B282" s="147">
        <f>IF(SUMIFS(CashFlow!$C$16:$C$40,CashFlow!$D$16:$D$40,CashFlowCalcs!$E282)&gt;0,SUMIFS(CashFlow!$C$16:$C$40,CashFlow!$D$16:$D$40,CashFlowCalcs!$E282),B281)</f>
        <v>8</v>
      </c>
      <c r="C282" s="147" t="str">
        <f t="shared" si="83"/>
        <v>Y</v>
      </c>
      <c r="D282" s="80">
        <f t="shared" si="88"/>
        <v>190</v>
      </c>
      <c r="E282" s="81">
        <f t="shared" si="89"/>
        <v>44632</v>
      </c>
      <c r="F282" s="80">
        <f t="shared" si="90"/>
        <v>-1.8757396449704142</v>
      </c>
      <c r="G282" s="119">
        <f t="shared" si="84"/>
        <v>6.8690927987204636E-2</v>
      </c>
      <c r="H282" s="125">
        <f t="shared" si="91"/>
        <v>44632</v>
      </c>
      <c r="I282" s="82">
        <f t="shared" si="79"/>
        <v>0.17219467990996798</v>
      </c>
      <c r="J282" s="126">
        <f t="shared" si="85"/>
        <v>1570385.2192858607</v>
      </c>
      <c r="K282" s="139">
        <f t="shared" si="80"/>
        <v>0</v>
      </c>
      <c r="L282" s="83">
        <f t="shared" si="78"/>
        <v>1570385.2192858607</v>
      </c>
      <c r="M282" s="80">
        <f t="shared" si="86"/>
        <v>190</v>
      </c>
      <c r="N282" s="84">
        <f t="shared" si="75"/>
        <v>0</v>
      </c>
      <c r="O282" s="140">
        <f t="shared" si="81"/>
        <v>0</v>
      </c>
      <c r="P282" s="149">
        <v>0</v>
      </c>
      <c r="Q282" s="163">
        <f t="shared" si="87"/>
        <v>190</v>
      </c>
      <c r="R282" s="150">
        <f t="shared" si="82"/>
        <v>0</v>
      </c>
      <c r="S282"/>
    </row>
    <row r="283" spans="1:19" x14ac:dyDescent="0.25">
      <c r="A283" s="80" t="str">
        <f t="shared" si="92"/>
        <v>Sun</v>
      </c>
      <c r="B283" s="147">
        <f>IF(SUMIFS(CashFlow!$C$16:$C$40,CashFlow!$D$16:$D$40,CashFlowCalcs!$E283)&gt;0,SUMIFS(CashFlow!$C$16:$C$40,CashFlow!$D$16:$D$40,CashFlowCalcs!$E283),B282)</f>
        <v>8</v>
      </c>
      <c r="C283" s="147" t="str">
        <f t="shared" si="83"/>
        <v>Y</v>
      </c>
      <c r="D283" s="80">
        <f t="shared" si="88"/>
        <v>190</v>
      </c>
      <c r="E283" s="81">
        <f t="shared" si="89"/>
        <v>44633</v>
      </c>
      <c r="F283" s="80">
        <f t="shared" si="90"/>
        <v>-1.8757396449704142</v>
      </c>
      <c r="G283" s="119">
        <f t="shared" si="84"/>
        <v>6.8690927987204636E-2</v>
      </c>
      <c r="H283" s="125">
        <f t="shared" si="91"/>
        <v>44633</v>
      </c>
      <c r="I283" s="82">
        <f t="shared" si="79"/>
        <v>0.17219467990996798</v>
      </c>
      <c r="J283" s="126">
        <f t="shared" si="85"/>
        <v>1570385.2192858607</v>
      </c>
      <c r="K283" s="139">
        <f t="shared" si="80"/>
        <v>0</v>
      </c>
      <c r="L283" s="83">
        <f t="shared" si="78"/>
        <v>1570385.2192858607</v>
      </c>
      <c r="M283" s="80">
        <f t="shared" si="86"/>
        <v>190</v>
      </c>
      <c r="N283" s="84">
        <f t="shared" si="75"/>
        <v>0</v>
      </c>
      <c r="O283" s="140">
        <f t="shared" si="81"/>
        <v>0</v>
      </c>
      <c r="P283" s="149">
        <v>0</v>
      </c>
      <c r="Q283" s="163">
        <f t="shared" si="87"/>
        <v>190</v>
      </c>
      <c r="R283" s="150">
        <f t="shared" si="82"/>
        <v>0</v>
      </c>
      <c r="S283"/>
    </row>
    <row r="284" spans="1:19" x14ac:dyDescent="0.25">
      <c r="A284" s="80" t="str">
        <f t="shared" si="92"/>
        <v>Mon</v>
      </c>
      <c r="B284" s="147">
        <f>IF(SUMIFS(CashFlow!$C$16:$C$40,CashFlow!$D$16:$D$40,CashFlowCalcs!$E284)&gt;0,SUMIFS(CashFlow!$C$16:$C$40,CashFlow!$D$16:$D$40,CashFlowCalcs!$E284),B283)</f>
        <v>8</v>
      </c>
      <c r="C284" s="147" t="s">
        <v>39</v>
      </c>
      <c r="D284" s="80">
        <f t="shared" si="88"/>
        <v>190</v>
      </c>
      <c r="E284" s="81">
        <f t="shared" si="89"/>
        <v>44634</v>
      </c>
      <c r="F284" s="80">
        <f t="shared" si="90"/>
        <v>-1.8757396449704142</v>
      </c>
      <c r="G284" s="119">
        <f t="shared" si="84"/>
        <v>6.8690927987204636E-2</v>
      </c>
      <c r="H284" s="125">
        <f t="shared" si="91"/>
        <v>44634</v>
      </c>
      <c r="I284" s="82">
        <f t="shared" si="79"/>
        <v>0.17219467990996798</v>
      </c>
      <c r="J284" s="126">
        <f t="shared" si="85"/>
        <v>1570385.2192858607</v>
      </c>
      <c r="K284" s="139">
        <f t="shared" si="80"/>
        <v>0</v>
      </c>
      <c r="L284" s="83">
        <f t="shared" si="78"/>
        <v>1570385.2192858607</v>
      </c>
      <c r="M284" s="80">
        <f t="shared" si="86"/>
        <v>190</v>
      </c>
      <c r="N284" s="84">
        <f t="shared" si="75"/>
        <v>0</v>
      </c>
      <c r="O284" s="140">
        <f t="shared" si="81"/>
        <v>0</v>
      </c>
      <c r="P284" s="149">
        <v>0</v>
      </c>
      <c r="Q284" s="163">
        <f t="shared" si="87"/>
        <v>190</v>
      </c>
      <c r="R284" s="150">
        <f t="shared" si="82"/>
        <v>0</v>
      </c>
      <c r="S284"/>
    </row>
    <row r="285" spans="1:19" x14ac:dyDescent="0.25">
      <c r="A285" s="80" t="str">
        <f t="shared" si="92"/>
        <v>Tues</v>
      </c>
      <c r="B285" s="147">
        <f>IF(SUMIFS(CashFlow!$C$16:$C$40,CashFlow!$D$16:$D$40,CashFlowCalcs!$E285)&gt;0,SUMIFS(CashFlow!$C$16:$C$40,CashFlow!$D$16:$D$40,CashFlowCalcs!$E285),B284)</f>
        <v>8</v>
      </c>
      <c r="C285" s="147" t="s">
        <v>39</v>
      </c>
      <c r="D285" s="80">
        <f t="shared" si="88"/>
        <v>190</v>
      </c>
      <c r="E285" s="81">
        <f t="shared" si="89"/>
        <v>44635</v>
      </c>
      <c r="F285" s="80">
        <f t="shared" si="90"/>
        <v>-1.8757396449704142</v>
      </c>
      <c r="G285" s="119">
        <f t="shared" si="84"/>
        <v>6.8690927987204636E-2</v>
      </c>
      <c r="H285" s="125">
        <f t="shared" si="91"/>
        <v>44635</v>
      </c>
      <c r="I285" s="82">
        <f t="shared" si="79"/>
        <v>0.17219467990996798</v>
      </c>
      <c r="J285" s="126">
        <f t="shared" si="85"/>
        <v>1570385.2192858607</v>
      </c>
      <c r="K285" s="139">
        <f t="shared" si="80"/>
        <v>0</v>
      </c>
      <c r="L285" s="83">
        <f t="shared" si="78"/>
        <v>1570385.2192858607</v>
      </c>
      <c r="M285" s="80">
        <f t="shared" si="86"/>
        <v>190</v>
      </c>
      <c r="N285" s="84">
        <f t="shared" si="75"/>
        <v>0</v>
      </c>
      <c r="O285" s="140">
        <f t="shared" si="81"/>
        <v>0</v>
      </c>
      <c r="P285" s="149">
        <v>0</v>
      </c>
      <c r="Q285" s="163">
        <f t="shared" si="87"/>
        <v>190</v>
      </c>
      <c r="R285" s="150">
        <f t="shared" si="82"/>
        <v>0</v>
      </c>
      <c r="S285"/>
    </row>
    <row r="286" spans="1:19" x14ac:dyDescent="0.25">
      <c r="A286" s="80" t="str">
        <f t="shared" si="92"/>
        <v>Wed</v>
      </c>
      <c r="B286" s="147">
        <f>IF(SUMIFS(CashFlow!$C$16:$C$40,CashFlow!$D$16:$D$40,CashFlowCalcs!$E286)&gt;0,SUMIFS(CashFlow!$C$16:$C$40,CashFlow!$D$16:$D$40,CashFlowCalcs!$E286),B285)</f>
        <v>8</v>
      </c>
      <c r="C286" s="147" t="s">
        <v>39</v>
      </c>
      <c r="D286" s="80">
        <f t="shared" si="88"/>
        <v>190</v>
      </c>
      <c r="E286" s="81">
        <f t="shared" si="89"/>
        <v>44636</v>
      </c>
      <c r="F286" s="80">
        <f t="shared" si="90"/>
        <v>-1.8757396449704142</v>
      </c>
      <c r="G286" s="119">
        <f t="shared" si="84"/>
        <v>6.8690927987204636E-2</v>
      </c>
      <c r="H286" s="125">
        <f t="shared" si="91"/>
        <v>44636</v>
      </c>
      <c r="I286" s="82">
        <f t="shared" si="79"/>
        <v>0.17219467990996798</v>
      </c>
      <c r="J286" s="126">
        <f t="shared" si="85"/>
        <v>1570385.2192858607</v>
      </c>
      <c r="K286" s="139">
        <f t="shared" si="80"/>
        <v>0</v>
      </c>
      <c r="L286" s="83">
        <f t="shared" si="78"/>
        <v>1570385.2192858607</v>
      </c>
      <c r="M286" s="80">
        <f t="shared" si="86"/>
        <v>190</v>
      </c>
      <c r="N286" s="84">
        <f t="shared" si="75"/>
        <v>0</v>
      </c>
      <c r="O286" s="140">
        <f t="shared" si="81"/>
        <v>0</v>
      </c>
      <c r="P286" s="149">
        <v>0</v>
      </c>
      <c r="Q286" s="163">
        <f t="shared" si="87"/>
        <v>190</v>
      </c>
      <c r="R286" s="150">
        <f t="shared" si="82"/>
        <v>0</v>
      </c>
      <c r="S286"/>
    </row>
    <row r="287" spans="1:19" x14ac:dyDescent="0.25">
      <c r="A287" s="80" t="str">
        <f t="shared" si="92"/>
        <v>Thu</v>
      </c>
      <c r="B287" s="147">
        <f>IF(SUMIFS(CashFlow!$C$16:$C$40,CashFlow!$D$16:$D$40,CashFlowCalcs!$E287)&gt;0,SUMIFS(CashFlow!$C$16:$C$40,CashFlow!$D$16:$D$40,CashFlowCalcs!$E287),B286)</f>
        <v>8</v>
      </c>
      <c r="C287" s="147" t="s">
        <v>39</v>
      </c>
      <c r="D287" s="80">
        <f t="shared" si="88"/>
        <v>190</v>
      </c>
      <c r="E287" s="81">
        <f t="shared" si="89"/>
        <v>44637</v>
      </c>
      <c r="F287" s="80">
        <f t="shared" si="90"/>
        <v>-1.8757396449704142</v>
      </c>
      <c r="G287" s="119">
        <f t="shared" si="84"/>
        <v>6.8690927987204636E-2</v>
      </c>
      <c r="H287" s="125">
        <f t="shared" si="91"/>
        <v>44637</v>
      </c>
      <c r="I287" s="82">
        <f t="shared" si="79"/>
        <v>0.17219467990996798</v>
      </c>
      <c r="J287" s="126">
        <f t="shared" si="85"/>
        <v>1570385.2192858607</v>
      </c>
      <c r="K287" s="139">
        <f t="shared" si="80"/>
        <v>0</v>
      </c>
      <c r="L287" s="83">
        <f t="shared" si="78"/>
        <v>1570385.2192858607</v>
      </c>
      <c r="M287" s="80">
        <f t="shared" si="86"/>
        <v>190</v>
      </c>
      <c r="N287" s="157">
        <f t="shared" si="75"/>
        <v>0</v>
      </c>
      <c r="O287" s="140">
        <f t="shared" si="81"/>
        <v>0</v>
      </c>
      <c r="P287" s="149">
        <v>0</v>
      </c>
      <c r="Q287" s="163">
        <f t="shared" si="87"/>
        <v>190</v>
      </c>
      <c r="R287" s="150">
        <f t="shared" si="82"/>
        <v>0</v>
      </c>
      <c r="S287"/>
    </row>
    <row r="288" spans="1:19" x14ac:dyDescent="0.25">
      <c r="A288" s="80" t="str">
        <f t="shared" si="92"/>
        <v>Fri</v>
      </c>
      <c r="B288" s="147">
        <f>IF(SUMIFS(CashFlow!$C$16:$C$40,CashFlow!$D$16:$D$40,CashFlowCalcs!$E288)&gt;0,SUMIFS(CashFlow!$C$16:$C$40,CashFlow!$D$16:$D$40,CashFlowCalcs!$E288),B287)</f>
        <v>8</v>
      </c>
      <c r="C288" s="147" t="s">
        <v>39</v>
      </c>
      <c r="D288" s="80">
        <f t="shared" si="88"/>
        <v>190</v>
      </c>
      <c r="E288" s="81">
        <f t="shared" si="89"/>
        <v>44638</v>
      </c>
      <c r="F288" s="80">
        <f t="shared" si="90"/>
        <v>-1.8757396449704142</v>
      </c>
      <c r="G288" s="119">
        <f t="shared" si="84"/>
        <v>6.8690927987204636E-2</v>
      </c>
      <c r="H288" s="125">
        <f t="shared" si="91"/>
        <v>44638</v>
      </c>
      <c r="I288" s="82">
        <f t="shared" si="79"/>
        <v>0.17219467990996798</v>
      </c>
      <c r="J288" s="126">
        <f t="shared" si="85"/>
        <v>1570385.2192858607</v>
      </c>
      <c r="K288" s="139">
        <f t="shared" si="80"/>
        <v>0</v>
      </c>
      <c r="L288" s="83">
        <f t="shared" si="78"/>
        <v>1570385.2192858607</v>
      </c>
      <c r="M288" s="80">
        <f t="shared" si="86"/>
        <v>190</v>
      </c>
      <c r="N288" s="157">
        <f t="shared" si="75"/>
        <v>0</v>
      </c>
      <c r="O288" s="140">
        <f t="shared" si="81"/>
        <v>0</v>
      </c>
      <c r="P288" s="149">
        <v>0</v>
      </c>
      <c r="Q288" s="163">
        <f t="shared" si="87"/>
        <v>190</v>
      </c>
      <c r="R288" s="150">
        <f t="shared" si="82"/>
        <v>0</v>
      </c>
      <c r="S288"/>
    </row>
    <row r="289" spans="1:19" x14ac:dyDescent="0.25">
      <c r="A289" s="80" t="str">
        <f t="shared" si="92"/>
        <v>Sat</v>
      </c>
      <c r="B289" s="147">
        <f>IF(SUMIFS(CashFlow!$C$16:$C$40,CashFlow!$D$16:$D$40,CashFlowCalcs!$E289)&gt;0,SUMIFS(CashFlow!$C$16:$C$40,CashFlow!$D$16:$D$40,CashFlowCalcs!$E289),B288)</f>
        <v>8</v>
      </c>
      <c r="C289" s="147" t="str">
        <f t="shared" si="83"/>
        <v>Y</v>
      </c>
      <c r="D289" s="80">
        <f t="shared" si="88"/>
        <v>190</v>
      </c>
      <c r="E289" s="81">
        <f t="shared" si="89"/>
        <v>44639</v>
      </c>
      <c r="F289" s="80">
        <f t="shared" si="90"/>
        <v>-1.8757396449704142</v>
      </c>
      <c r="G289" s="119">
        <f t="shared" si="84"/>
        <v>6.8690927987204636E-2</v>
      </c>
      <c r="H289" s="125">
        <f t="shared" si="91"/>
        <v>44639</v>
      </c>
      <c r="I289" s="82">
        <f t="shared" si="79"/>
        <v>0.17219467990996798</v>
      </c>
      <c r="J289" s="126">
        <f t="shared" si="85"/>
        <v>1570385.2192858607</v>
      </c>
      <c r="K289" s="139">
        <f t="shared" si="80"/>
        <v>0</v>
      </c>
      <c r="L289" s="83">
        <f t="shared" si="78"/>
        <v>1570385.2192858607</v>
      </c>
      <c r="M289" s="80">
        <f t="shared" si="86"/>
        <v>190</v>
      </c>
      <c r="N289" s="157">
        <f t="shared" si="75"/>
        <v>0</v>
      </c>
      <c r="O289" s="140">
        <f t="shared" si="81"/>
        <v>0</v>
      </c>
      <c r="P289" s="149">
        <v>0</v>
      </c>
      <c r="Q289" s="163">
        <f t="shared" si="87"/>
        <v>190</v>
      </c>
      <c r="R289" s="150">
        <f t="shared" si="82"/>
        <v>0</v>
      </c>
      <c r="S289"/>
    </row>
    <row r="290" spans="1:19" x14ac:dyDescent="0.25">
      <c r="A290" s="80" t="str">
        <f t="shared" si="92"/>
        <v>Sun</v>
      </c>
      <c r="B290" s="147">
        <f>IF(SUMIFS(CashFlow!$C$16:$C$40,CashFlow!$D$16:$D$40,CashFlowCalcs!$E290)&gt;0,SUMIFS(CashFlow!$C$16:$C$40,CashFlow!$D$16:$D$40,CashFlowCalcs!$E290),B289)</f>
        <v>8</v>
      </c>
      <c r="C290" s="147" t="str">
        <f t="shared" si="83"/>
        <v>Y</v>
      </c>
      <c r="D290" s="80">
        <f t="shared" si="88"/>
        <v>190</v>
      </c>
      <c r="E290" s="81">
        <f t="shared" si="89"/>
        <v>44640</v>
      </c>
      <c r="F290" s="80">
        <f t="shared" si="90"/>
        <v>-1.8757396449704142</v>
      </c>
      <c r="G290" s="119">
        <f t="shared" si="84"/>
        <v>6.8690927987204636E-2</v>
      </c>
      <c r="H290" s="125">
        <f t="shared" si="91"/>
        <v>44640</v>
      </c>
      <c r="I290" s="82">
        <f t="shared" si="79"/>
        <v>0.17219467990996798</v>
      </c>
      <c r="J290" s="126">
        <f t="shared" si="85"/>
        <v>1570385.2192858607</v>
      </c>
      <c r="K290" s="139">
        <f t="shared" si="80"/>
        <v>0</v>
      </c>
      <c r="L290" s="83">
        <f t="shared" si="78"/>
        <v>1570385.2192858607</v>
      </c>
      <c r="M290" s="80">
        <f t="shared" si="86"/>
        <v>190</v>
      </c>
      <c r="N290" s="157">
        <f t="shared" si="75"/>
        <v>0</v>
      </c>
      <c r="O290" s="140">
        <f t="shared" si="81"/>
        <v>0</v>
      </c>
      <c r="P290" s="149">
        <v>0</v>
      </c>
      <c r="Q290" s="163">
        <f t="shared" si="87"/>
        <v>190</v>
      </c>
      <c r="R290" s="150">
        <f t="shared" si="82"/>
        <v>0</v>
      </c>
      <c r="S290"/>
    </row>
    <row r="291" spans="1:19" x14ac:dyDescent="0.25">
      <c r="A291" s="80" t="str">
        <f t="shared" si="92"/>
        <v>Mon</v>
      </c>
      <c r="B291" s="147">
        <f>IF(SUMIFS(CashFlow!$C$16:$C$40,CashFlow!$D$16:$D$40,CashFlowCalcs!$E291)&gt;0,SUMIFS(CashFlow!$C$16:$C$40,CashFlow!$D$16:$D$40,CashFlowCalcs!$E291),B290)</f>
        <v>9</v>
      </c>
      <c r="C291" s="147" t="s">
        <v>39</v>
      </c>
      <c r="D291" s="80">
        <f t="shared" si="88"/>
        <v>190</v>
      </c>
      <c r="E291" s="81">
        <f t="shared" si="89"/>
        <v>44641</v>
      </c>
      <c r="F291" s="80">
        <f t="shared" si="90"/>
        <v>-1.8757396449704142</v>
      </c>
      <c r="G291" s="119">
        <f t="shared" si="84"/>
        <v>6.8690927987204636E-2</v>
      </c>
      <c r="H291" s="125">
        <f t="shared" si="91"/>
        <v>44641</v>
      </c>
      <c r="I291" s="82">
        <f t="shared" si="79"/>
        <v>0.17219467990996798</v>
      </c>
      <c r="J291" s="126">
        <f t="shared" si="85"/>
        <v>1570385.2192858607</v>
      </c>
      <c r="K291" s="139">
        <f t="shared" si="80"/>
        <v>0</v>
      </c>
      <c r="L291" s="83">
        <f t="shared" si="78"/>
        <v>1570385.2192858607</v>
      </c>
      <c r="M291" s="80">
        <f t="shared" si="86"/>
        <v>190</v>
      </c>
      <c r="N291" s="157">
        <f t="shared" si="75"/>
        <v>0</v>
      </c>
      <c r="O291" s="140">
        <f t="shared" si="81"/>
        <v>0</v>
      </c>
      <c r="P291" s="149">
        <v>0</v>
      </c>
      <c r="Q291" s="163">
        <f t="shared" si="87"/>
        <v>190</v>
      </c>
      <c r="R291" s="150">
        <f t="shared" si="82"/>
        <v>0</v>
      </c>
      <c r="S291"/>
    </row>
    <row r="292" spans="1:19" x14ac:dyDescent="0.25">
      <c r="A292" s="80" t="str">
        <f t="shared" si="92"/>
        <v>Tues</v>
      </c>
      <c r="B292" s="147">
        <f>IF(SUMIFS(CashFlow!$C$16:$C$40,CashFlow!$D$16:$D$40,CashFlowCalcs!$E292)&gt;0,SUMIFS(CashFlow!$C$16:$C$40,CashFlow!$D$16:$D$40,CashFlowCalcs!$E292),B291)</f>
        <v>9</v>
      </c>
      <c r="C292" s="147" t="s">
        <v>39</v>
      </c>
      <c r="D292" s="80">
        <f t="shared" si="88"/>
        <v>190</v>
      </c>
      <c r="E292" s="81">
        <f t="shared" ref="E292:E307" si="93">E291+1</f>
        <v>44642</v>
      </c>
      <c r="F292" s="80">
        <f t="shared" si="90"/>
        <v>-1.8757396449704142</v>
      </c>
      <c r="G292" s="119">
        <f t="shared" si="84"/>
        <v>6.8690927987204636E-2</v>
      </c>
      <c r="H292" s="125">
        <f t="shared" si="91"/>
        <v>44642</v>
      </c>
      <c r="I292" s="82">
        <f t="shared" si="79"/>
        <v>0.17219467990996798</v>
      </c>
      <c r="J292" s="126">
        <f t="shared" si="85"/>
        <v>1570385.2192858607</v>
      </c>
      <c r="K292" s="139">
        <f t="shared" si="80"/>
        <v>0</v>
      </c>
      <c r="L292" s="83">
        <f t="shared" si="78"/>
        <v>1570385.2192858607</v>
      </c>
      <c r="M292" s="80">
        <f t="shared" si="86"/>
        <v>190</v>
      </c>
      <c r="N292" s="157">
        <f t="shared" ref="N292:N355" si="94">IF(E292&lt;$J$6,0,IF(E292&gt;=$I$1,0,1))*$I$10</f>
        <v>0</v>
      </c>
      <c r="O292" s="140">
        <f t="shared" si="81"/>
        <v>0</v>
      </c>
      <c r="P292" s="149">
        <v>0</v>
      </c>
      <c r="Q292" s="163">
        <f t="shared" si="87"/>
        <v>190</v>
      </c>
      <c r="R292" s="150">
        <f t="shared" si="82"/>
        <v>0</v>
      </c>
      <c r="S292"/>
    </row>
    <row r="293" spans="1:19" x14ac:dyDescent="0.25">
      <c r="A293" s="80" t="str">
        <f t="shared" si="92"/>
        <v>Wed</v>
      </c>
      <c r="B293" s="147">
        <f>IF(SUMIFS(CashFlow!$C$16:$C$40,CashFlow!$D$16:$D$40,CashFlowCalcs!$E293)&gt;0,SUMIFS(CashFlow!$C$16:$C$40,CashFlow!$D$16:$D$40,CashFlowCalcs!$E293),B292)</f>
        <v>9</v>
      </c>
      <c r="C293" s="147" t="s">
        <v>39</v>
      </c>
      <c r="D293" s="80">
        <f t="shared" si="88"/>
        <v>190</v>
      </c>
      <c r="E293" s="81">
        <f t="shared" si="93"/>
        <v>44643</v>
      </c>
      <c r="F293" s="80">
        <f t="shared" si="90"/>
        <v>-1.8757396449704142</v>
      </c>
      <c r="G293" s="119">
        <f t="shared" si="84"/>
        <v>6.8690927987204636E-2</v>
      </c>
      <c r="H293" s="125">
        <f t="shared" si="91"/>
        <v>44643</v>
      </c>
      <c r="I293" s="82">
        <f t="shared" si="79"/>
        <v>0.17219467990996798</v>
      </c>
      <c r="J293" s="126">
        <f t="shared" si="85"/>
        <v>1570385.2192858607</v>
      </c>
      <c r="K293" s="139">
        <f t="shared" si="80"/>
        <v>0</v>
      </c>
      <c r="L293" s="83">
        <f t="shared" si="78"/>
        <v>1570385.2192858607</v>
      </c>
      <c r="M293" s="80">
        <f t="shared" si="86"/>
        <v>190</v>
      </c>
      <c r="N293" s="157">
        <f t="shared" si="94"/>
        <v>0</v>
      </c>
      <c r="O293" s="140">
        <f t="shared" si="81"/>
        <v>0</v>
      </c>
      <c r="P293" s="149">
        <v>0</v>
      </c>
      <c r="Q293" s="163">
        <f t="shared" si="87"/>
        <v>190</v>
      </c>
      <c r="R293" s="150">
        <f t="shared" si="82"/>
        <v>0</v>
      </c>
      <c r="S293"/>
    </row>
    <row r="294" spans="1:19" x14ac:dyDescent="0.25">
      <c r="A294" s="80" t="str">
        <f t="shared" si="92"/>
        <v>Thu</v>
      </c>
      <c r="B294" s="147">
        <f>IF(SUMIFS(CashFlow!$C$16:$C$40,CashFlow!$D$16:$D$40,CashFlowCalcs!$E294)&gt;0,SUMIFS(CashFlow!$C$16:$C$40,CashFlow!$D$16:$D$40,CashFlowCalcs!$E294),B293)</f>
        <v>9</v>
      </c>
      <c r="C294" s="147" t="s">
        <v>39</v>
      </c>
      <c r="D294" s="80">
        <f t="shared" si="88"/>
        <v>190</v>
      </c>
      <c r="E294" s="81">
        <f t="shared" si="93"/>
        <v>44644</v>
      </c>
      <c r="F294" s="80">
        <f t="shared" si="90"/>
        <v>-1.8757396449704142</v>
      </c>
      <c r="G294" s="119">
        <f t="shared" si="84"/>
        <v>6.8690927987204636E-2</v>
      </c>
      <c r="H294" s="125">
        <f t="shared" si="91"/>
        <v>44644</v>
      </c>
      <c r="I294" s="82">
        <f t="shared" si="79"/>
        <v>0.17219467990996798</v>
      </c>
      <c r="J294" s="126">
        <f t="shared" si="85"/>
        <v>1570385.2192858607</v>
      </c>
      <c r="K294" s="139">
        <f t="shared" si="80"/>
        <v>0</v>
      </c>
      <c r="L294" s="83">
        <f t="shared" si="78"/>
        <v>1570385.2192858607</v>
      </c>
      <c r="M294" s="80">
        <f t="shared" si="86"/>
        <v>190</v>
      </c>
      <c r="N294" s="157">
        <f t="shared" si="94"/>
        <v>0</v>
      </c>
      <c r="O294" s="140">
        <f t="shared" si="81"/>
        <v>0</v>
      </c>
      <c r="P294" s="149">
        <v>0</v>
      </c>
      <c r="Q294" s="163">
        <f t="shared" si="87"/>
        <v>190</v>
      </c>
      <c r="R294" s="150">
        <f t="shared" si="82"/>
        <v>0</v>
      </c>
      <c r="S294"/>
    </row>
    <row r="295" spans="1:19" x14ac:dyDescent="0.25">
      <c r="A295" s="80" t="str">
        <f t="shared" si="92"/>
        <v>Fri</v>
      </c>
      <c r="B295" s="147">
        <f>IF(SUMIFS(CashFlow!$C$16:$C$40,CashFlow!$D$16:$D$40,CashFlowCalcs!$E295)&gt;0,SUMIFS(CashFlow!$C$16:$C$40,CashFlow!$D$16:$D$40,CashFlowCalcs!$E295),B294)</f>
        <v>9</v>
      </c>
      <c r="C295" s="147" t="s">
        <v>39</v>
      </c>
      <c r="D295" s="80">
        <f t="shared" si="88"/>
        <v>190</v>
      </c>
      <c r="E295" s="85">
        <f t="shared" si="93"/>
        <v>44645</v>
      </c>
      <c r="F295" s="80">
        <f t="shared" si="90"/>
        <v>-1.8757396449704142</v>
      </c>
      <c r="G295" s="119">
        <f t="shared" si="84"/>
        <v>6.8690927987204636E-2</v>
      </c>
      <c r="H295" s="125">
        <f t="shared" si="91"/>
        <v>44645</v>
      </c>
      <c r="I295" s="82">
        <f t="shared" si="79"/>
        <v>0.17219467990996798</v>
      </c>
      <c r="J295" s="126">
        <f t="shared" si="85"/>
        <v>1570385.2192858607</v>
      </c>
      <c r="K295" s="139">
        <f t="shared" si="80"/>
        <v>0</v>
      </c>
      <c r="L295" s="83">
        <f t="shared" si="78"/>
        <v>1570385.2192858607</v>
      </c>
      <c r="M295" s="80">
        <f t="shared" si="86"/>
        <v>190</v>
      </c>
      <c r="N295" s="157">
        <f t="shared" si="94"/>
        <v>0</v>
      </c>
      <c r="O295" s="140">
        <f t="shared" si="81"/>
        <v>0</v>
      </c>
      <c r="P295" s="149">
        <v>0</v>
      </c>
      <c r="Q295" s="163">
        <f t="shared" si="87"/>
        <v>190</v>
      </c>
      <c r="R295" s="150">
        <f t="shared" si="82"/>
        <v>0</v>
      </c>
      <c r="S295"/>
    </row>
    <row r="296" spans="1:19" x14ac:dyDescent="0.25">
      <c r="A296" s="80" t="str">
        <f t="shared" si="92"/>
        <v>Sat</v>
      </c>
      <c r="B296" s="147">
        <f>IF(SUMIFS(CashFlow!$C$16:$C$40,CashFlow!$D$16:$D$40,CashFlowCalcs!$E296)&gt;0,SUMIFS(CashFlow!$C$16:$C$40,CashFlow!$D$16:$D$40,CashFlowCalcs!$E296),B295)</f>
        <v>9</v>
      </c>
      <c r="C296" s="147" t="str">
        <f t="shared" si="83"/>
        <v>Y</v>
      </c>
      <c r="D296" s="80">
        <f t="shared" si="88"/>
        <v>190</v>
      </c>
      <c r="E296" s="85">
        <f t="shared" si="93"/>
        <v>44646</v>
      </c>
      <c r="F296" s="80">
        <f t="shared" si="90"/>
        <v>-1.8757396449704142</v>
      </c>
      <c r="G296" s="119">
        <f t="shared" si="84"/>
        <v>6.8690927987204636E-2</v>
      </c>
      <c r="H296" s="125">
        <f t="shared" si="91"/>
        <v>44646</v>
      </c>
      <c r="I296" s="82">
        <f t="shared" si="79"/>
        <v>0.17219467990996798</v>
      </c>
      <c r="J296" s="126">
        <f t="shared" si="85"/>
        <v>1570385.2192858607</v>
      </c>
      <c r="K296" s="139">
        <f t="shared" si="80"/>
        <v>0</v>
      </c>
      <c r="L296" s="83">
        <f t="shared" si="78"/>
        <v>1570385.2192858607</v>
      </c>
      <c r="M296" s="80">
        <f t="shared" si="86"/>
        <v>190</v>
      </c>
      <c r="N296" s="157">
        <f t="shared" si="94"/>
        <v>0</v>
      </c>
      <c r="O296" s="140">
        <f t="shared" si="81"/>
        <v>0</v>
      </c>
      <c r="P296" s="149">
        <v>0</v>
      </c>
      <c r="Q296" s="163">
        <f t="shared" si="87"/>
        <v>190</v>
      </c>
      <c r="R296" s="150">
        <f t="shared" si="82"/>
        <v>0</v>
      </c>
      <c r="S296"/>
    </row>
    <row r="297" spans="1:19" x14ac:dyDescent="0.25">
      <c r="A297" s="80" t="str">
        <f t="shared" si="92"/>
        <v>Sun</v>
      </c>
      <c r="B297" s="147">
        <f>IF(SUMIFS(CashFlow!$C$16:$C$40,CashFlow!$D$16:$D$40,CashFlowCalcs!$E297)&gt;0,SUMIFS(CashFlow!$C$16:$C$40,CashFlow!$D$16:$D$40,CashFlowCalcs!$E297),B296)</f>
        <v>9</v>
      </c>
      <c r="C297" s="147" t="str">
        <f t="shared" si="83"/>
        <v>Y</v>
      </c>
      <c r="D297" s="80">
        <f t="shared" si="88"/>
        <v>190</v>
      </c>
      <c r="E297" s="85">
        <f t="shared" si="93"/>
        <v>44647</v>
      </c>
      <c r="F297" s="80">
        <f t="shared" si="90"/>
        <v>-1.8757396449704142</v>
      </c>
      <c r="G297" s="119">
        <f t="shared" si="84"/>
        <v>6.8690927987204636E-2</v>
      </c>
      <c r="H297" s="125">
        <f t="shared" si="91"/>
        <v>44647</v>
      </c>
      <c r="I297" s="82">
        <f t="shared" si="79"/>
        <v>0.17219467990996798</v>
      </c>
      <c r="J297" s="126">
        <f t="shared" si="85"/>
        <v>1570385.2192858607</v>
      </c>
      <c r="K297" s="139">
        <f t="shared" si="80"/>
        <v>0</v>
      </c>
      <c r="L297" s="83">
        <f t="shared" si="78"/>
        <v>1570385.2192858607</v>
      </c>
      <c r="M297" s="80">
        <f t="shared" si="86"/>
        <v>190</v>
      </c>
      <c r="N297" s="157">
        <f t="shared" si="94"/>
        <v>0</v>
      </c>
      <c r="O297" s="140">
        <f t="shared" si="81"/>
        <v>0</v>
      </c>
      <c r="P297" s="149">
        <v>0</v>
      </c>
      <c r="Q297" s="163">
        <f t="shared" si="87"/>
        <v>190</v>
      </c>
      <c r="R297" s="150">
        <f t="shared" si="82"/>
        <v>0</v>
      </c>
      <c r="S297"/>
    </row>
    <row r="298" spans="1:19" x14ac:dyDescent="0.25">
      <c r="A298" s="80" t="str">
        <f t="shared" si="92"/>
        <v>Mon</v>
      </c>
      <c r="B298" s="147">
        <f>IF(SUMIFS(CashFlow!$C$16:$C$40,CashFlow!$D$16:$D$40,CashFlowCalcs!$E298)&gt;0,SUMIFS(CashFlow!$C$16:$C$40,CashFlow!$D$16:$D$40,CashFlowCalcs!$E298),B297)</f>
        <v>9</v>
      </c>
      <c r="C298" s="147" t="str">
        <f t="shared" si="83"/>
        <v>N</v>
      </c>
      <c r="D298" s="80">
        <f t="shared" si="88"/>
        <v>191</v>
      </c>
      <c r="E298" s="85">
        <f t="shared" si="93"/>
        <v>44648</v>
      </c>
      <c r="F298" s="80">
        <f t="shared" si="90"/>
        <v>-1.8698224852071006</v>
      </c>
      <c r="G298" s="119">
        <f t="shared" si="84"/>
        <v>6.9456362847926431E-2</v>
      </c>
      <c r="H298" s="125">
        <f t="shared" si="91"/>
        <v>44648</v>
      </c>
      <c r="I298" s="82">
        <f t="shared" si="79"/>
        <v>0.17411347493423193</v>
      </c>
      <c r="J298" s="126">
        <f t="shared" si="85"/>
        <v>1587884.2926981102</v>
      </c>
      <c r="K298" s="139">
        <f t="shared" si="80"/>
        <v>0</v>
      </c>
      <c r="L298" s="83">
        <f t="shared" si="78"/>
        <v>1587884.2926981102</v>
      </c>
      <c r="M298" s="80">
        <f t="shared" si="86"/>
        <v>191</v>
      </c>
      <c r="N298" s="157">
        <f t="shared" si="94"/>
        <v>0</v>
      </c>
      <c r="O298" s="140">
        <f t="shared" si="81"/>
        <v>0</v>
      </c>
      <c r="P298" s="149">
        <v>0</v>
      </c>
      <c r="Q298" s="163">
        <f t="shared" si="87"/>
        <v>191</v>
      </c>
      <c r="R298" s="150">
        <f t="shared" si="82"/>
        <v>0</v>
      </c>
      <c r="S298" s="164">
        <f t="shared" ref="S298:S305" si="95">(1-(IF(AND(R298=1,D297&lt;$I$2),(1-I297)/(1-VLOOKUP($K$6,$D$17:$I$750,6)),0)))</f>
        <v>1</v>
      </c>
    </row>
    <row r="299" spans="1:19" x14ac:dyDescent="0.25">
      <c r="A299" s="80" t="str">
        <f t="shared" si="92"/>
        <v>Tues</v>
      </c>
      <c r="B299" s="147">
        <f>IF(SUMIFS(CashFlow!$C$16:$C$40,CashFlow!$D$16:$D$40,CashFlowCalcs!$E299)&gt;0,SUMIFS(CashFlow!$C$16:$C$40,CashFlow!$D$16:$D$40,CashFlowCalcs!$E299),B298)</f>
        <v>10</v>
      </c>
      <c r="C299" s="147" t="str">
        <f t="shared" si="83"/>
        <v>N</v>
      </c>
      <c r="D299" s="80">
        <f t="shared" si="88"/>
        <v>192</v>
      </c>
      <c r="E299" s="85">
        <f t="shared" si="93"/>
        <v>44649</v>
      </c>
      <c r="F299" s="80">
        <f t="shared" si="90"/>
        <v>-1.863905325443787</v>
      </c>
      <c r="G299" s="119">
        <f t="shared" si="84"/>
        <v>7.0227868165428725E-2</v>
      </c>
      <c r="H299" s="125">
        <f t="shared" si="91"/>
        <v>44649</v>
      </c>
      <c r="I299" s="82">
        <f t="shared" si="79"/>
        <v>0.17604748740267451</v>
      </c>
      <c r="J299" s="126">
        <f t="shared" si="85"/>
        <v>1605522.1465269553</v>
      </c>
      <c r="K299" s="139">
        <f t="shared" si="80"/>
        <v>0</v>
      </c>
      <c r="L299" s="83">
        <f t="shared" si="78"/>
        <v>1605522.1465269553</v>
      </c>
      <c r="M299" s="80">
        <f t="shared" si="86"/>
        <v>192</v>
      </c>
      <c r="N299" s="157">
        <f t="shared" si="94"/>
        <v>0</v>
      </c>
      <c r="O299" s="140">
        <f t="shared" si="81"/>
        <v>0</v>
      </c>
      <c r="P299" s="149">
        <v>0</v>
      </c>
      <c r="Q299" s="163">
        <f t="shared" si="87"/>
        <v>192</v>
      </c>
      <c r="R299" s="150">
        <f t="shared" si="82"/>
        <v>0</v>
      </c>
      <c r="S299" s="164">
        <f t="shared" si="95"/>
        <v>1</v>
      </c>
    </row>
    <row r="300" spans="1:19" x14ac:dyDescent="0.25">
      <c r="A300" s="80" t="str">
        <f t="shared" si="92"/>
        <v>Wed</v>
      </c>
      <c r="B300" s="147">
        <f>IF(SUMIFS(CashFlow!$C$16:$C$40,CashFlow!$D$16:$D$40,CashFlowCalcs!$E300)&gt;0,SUMIFS(CashFlow!$C$16:$C$40,CashFlow!$D$16:$D$40,CashFlowCalcs!$E300),B299)</f>
        <v>10</v>
      </c>
      <c r="C300" s="147" t="str">
        <f t="shared" si="83"/>
        <v>N</v>
      </c>
      <c r="D300" s="80">
        <f t="shared" si="88"/>
        <v>193</v>
      </c>
      <c r="E300" s="85">
        <f t="shared" si="93"/>
        <v>44650</v>
      </c>
      <c r="F300" s="80">
        <f t="shared" si="90"/>
        <v>-1.8579881656804733</v>
      </c>
      <c r="G300" s="119">
        <f t="shared" si="84"/>
        <v>7.1005457044760981E-2</v>
      </c>
      <c r="H300" s="125">
        <f t="shared" si="91"/>
        <v>44650</v>
      </c>
      <c r="I300" s="82">
        <f t="shared" si="79"/>
        <v>0.17799675016708366</v>
      </c>
      <c r="J300" s="126">
        <f t="shared" si="85"/>
        <v>1623299.0803749287</v>
      </c>
      <c r="K300" s="139">
        <f t="shared" si="80"/>
        <v>0</v>
      </c>
      <c r="L300" s="83">
        <f t="shared" si="78"/>
        <v>1623299.0803749287</v>
      </c>
      <c r="M300" s="80">
        <f t="shared" si="86"/>
        <v>193</v>
      </c>
      <c r="N300" s="157">
        <f t="shared" si="94"/>
        <v>0</v>
      </c>
      <c r="O300" s="140">
        <f t="shared" si="81"/>
        <v>0</v>
      </c>
      <c r="P300" s="149">
        <v>0</v>
      </c>
      <c r="Q300" s="163">
        <f t="shared" si="87"/>
        <v>193</v>
      </c>
      <c r="R300" s="150">
        <f t="shared" si="82"/>
        <v>0</v>
      </c>
      <c r="S300" s="164">
        <f t="shared" si="95"/>
        <v>1</v>
      </c>
    </row>
    <row r="301" spans="1:19" x14ac:dyDescent="0.25">
      <c r="A301" s="80" t="str">
        <f t="shared" si="92"/>
        <v>Thu</v>
      </c>
      <c r="B301" s="147">
        <f>IF(SUMIFS(CashFlow!$C$16:$C$40,CashFlow!$D$16:$D$40,CashFlowCalcs!$E301)&gt;0,SUMIFS(CashFlow!$C$16:$C$40,CashFlow!$D$16:$D$40,CashFlowCalcs!$E301),B300)</f>
        <v>10</v>
      </c>
      <c r="C301" s="147" t="str">
        <f t="shared" si="83"/>
        <v>N</v>
      </c>
      <c r="D301" s="80">
        <f t="shared" si="88"/>
        <v>194</v>
      </c>
      <c r="E301" s="85">
        <f t="shared" si="93"/>
        <v>44651</v>
      </c>
      <c r="F301" s="80">
        <f t="shared" si="90"/>
        <v>-1.8520710059171597</v>
      </c>
      <c r="G301" s="119">
        <f t="shared" si="84"/>
        <v>7.1789142093776362E-2</v>
      </c>
      <c r="H301" s="125">
        <f t="shared" si="91"/>
        <v>44651</v>
      </c>
      <c r="I301" s="82">
        <f t="shared" si="79"/>
        <v>0.17996129483287371</v>
      </c>
      <c r="J301" s="126">
        <f t="shared" si="85"/>
        <v>1641215.3824778541</v>
      </c>
      <c r="K301" s="139">
        <f t="shared" si="80"/>
        <v>0</v>
      </c>
      <c r="L301" s="83">
        <f t="shared" si="78"/>
        <v>1641215.3824778541</v>
      </c>
      <c r="M301" s="80">
        <f t="shared" si="86"/>
        <v>194</v>
      </c>
      <c r="N301" s="157">
        <f t="shared" si="94"/>
        <v>0</v>
      </c>
      <c r="O301" s="140">
        <f t="shared" si="81"/>
        <v>0</v>
      </c>
      <c r="P301" s="149">
        <v>0</v>
      </c>
      <c r="Q301" s="163">
        <f t="shared" si="87"/>
        <v>194</v>
      </c>
      <c r="R301" s="150">
        <f t="shared" si="82"/>
        <v>0</v>
      </c>
      <c r="S301" s="164">
        <f t="shared" si="95"/>
        <v>1</v>
      </c>
    </row>
    <row r="302" spans="1:19" x14ac:dyDescent="0.25">
      <c r="A302" s="80" t="str">
        <f t="shared" si="92"/>
        <v>Fri</v>
      </c>
      <c r="B302" s="147">
        <f>IF(SUMIFS(CashFlow!$C$16:$C$40,CashFlow!$D$16:$D$40,CashFlowCalcs!$E302)&gt;0,SUMIFS(CashFlow!$C$16:$C$40,CashFlow!$D$16:$D$40,CashFlowCalcs!$E302),B301)</f>
        <v>10</v>
      </c>
      <c r="C302" s="147" t="str">
        <f t="shared" si="83"/>
        <v>N</v>
      </c>
      <c r="D302" s="80">
        <f t="shared" si="88"/>
        <v>195</v>
      </c>
      <c r="E302" s="85">
        <f t="shared" si="93"/>
        <v>44652</v>
      </c>
      <c r="F302" s="80">
        <f t="shared" si="90"/>
        <v>-1.846153846153846</v>
      </c>
      <c r="G302" s="119">
        <f t="shared" si="84"/>
        <v>7.2578935415851267E-2</v>
      </c>
      <c r="H302" s="125">
        <f t="shared" si="91"/>
        <v>44652</v>
      </c>
      <c r="I302" s="82">
        <f t="shared" si="79"/>
        <v>0.18194115174083469</v>
      </c>
      <c r="J302" s="126">
        <f t="shared" si="85"/>
        <v>1659271.3295384054</v>
      </c>
      <c r="K302" s="139">
        <f t="shared" si="80"/>
        <v>0</v>
      </c>
      <c r="L302" s="83">
        <f t="shared" si="78"/>
        <v>1659271.3295384054</v>
      </c>
      <c r="M302" s="80">
        <f t="shared" si="86"/>
        <v>195</v>
      </c>
      <c r="N302" s="157">
        <f t="shared" si="94"/>
        <v>0</v>
      </c>
      <c r="O302" s="140">
        <f t="shared" si="81"/>
        <v>0</v>
      </c>
      <c r="P302" s="149">
        <v>0</v>
      </c>
      <c r="Q302" s="163">
        <f t="shared" si="87"/>
        <v>195</v>
      </c>
      <c r="R302" s="150">
        <f t="shared" si="82"/>
        <v>0</v>
      </c>
      <c r="S302" s="164">
        <f t="shared" si="95"/>
        <v>1</v>
      </c>
    </row>
    <row r="303" spans="1:19" x14ac:dyDescent="0.25">
      <c r="A303" s="80" t="str">
        <f t="shared" si="92"/>
        <v>Sat</v>
      </c>
      <c r="B303" s="147">
        <f>IF(SUMIFS(CashFlow!$C$16:$C$40,CashFlow!$D$16:$D$40,CashFlowCalcs!$E303)&gt;0,SUMIFS(CashFlow!$C$16:$C$40,CashFlow!$D$16:$D$40,CashFlowCalcs!$E303),B302)</f>
        <v>10</v>
      </c>
      <c r="C303" s="147" t="str">
        <f t="shared" si="83"/>
        <v>Y</v>
      </c>
      <c r="D303" s="80">
        <f t="shared" si="88"/>
        <v>195</v>
      </c>
      <c r="E303" s="81">
        <f t="shared" si="93"/>
        <v>44653</v>
      </c>
      <c r="F303" s="80">
        <f t="shared" si="90"/>
        <v>-1.846153846153846</v>
      </c>
      <c r="G303" s="119">
        <f t="shared" si="84"/>
        <v>7.2578935415851267E-2</v>
      </c>
      <c r="H303" s="125">
        <f t="shared" si="91"/>
        <v>44653</v>
      </c>
      <c r="I303" s="82">
        <f t="shared" si="79"/>
        <v>0.18194115174083469</v>
      </c>
      <c r="J303" s="126">
        <f t="shared" si="85"/>
        <v>1659271.3295384054</v>
      </c>
      <c r="K303" s="139">
        <f t="shared" si="80"/>
        <v>0</v>
      </c>
      <c r="L303" s="83">
        <f t="shared" si="78"/>
        <v>1659271.3295384054</v>
      </c>
      <c r="M303" s="80">
        <f t="shared" si="86"/>
        <v>195</v>
      </c>
      <c r="N303" s="157">
        <f t="shared" si="94"/>
        <v>0</v>
      </c>
      <c r="O303" s="140">
        <f t="shared" si="81"/>
        <v>0</v>
      </c>
      <c r="P303" s="149">
        <v>0</v>
      </c>
      <c r="Q303" s="163">
        <f t="shared" si="87"/>
        <v>195</v>
      </c>
      <c r="R303" s="150">
        <f t="shared" si="82"/>
        <v>0</v>
      </c>
      <c r="S303" s="164">
        <f t="shared" si="95"/>
        <v>1</v>
      </c>
    </row>
    <row r="304" spans="1:19" x14ac:dyDescent="0.25">
      <c r="A304" s="80" t="str">
        <f t="shared" si="92"/>
        <v>Sun</v>
      </c>
      <c r="B304" s="147">
        <f>IF(SUMIFS(CashFlow!$C$16:$C$40,CashFlow!$D$16:$D$40,CashFlowCalcs!$E304)&gt;0,SUMIFS(CashFlow!$C$16:$C$40,CashFlow!$D$16:$D$40,CashFlowCalcs!$E304),B303)</f>
        <v>10</v>
      </c>
      <c r="C304" s="147" t="str">
        <f t="shared" si="83"/>
        <v>Y</v>
      </c>
      <c r="D304" s="80">
        <f t="shared" si="88"/>
        <v>195</v>
      </c>
      <c r="E304" s="81">
        <f t="shared" si="93"/>
        <v>44654</v>
      </c>
      <c r="F304" s="80">
        <f t="shared" si="90"/>
        <v>-1.846153846153846</v>
      </c>
      <c r="G304" s="119">
        <f t="shared" si="84"/>
        <v>7.2578935415851267E-2</v>
      </c>
      <c r="H304" s="125">
        <f t="shared" si="91"/>
        <v>44654</v>
      </c>
      <c r="I304" s="82">
        <f t="shared" si="79"/>
        <v>0.18194115174083469</v>
      </c>
      <c r="J304" s="126">
        <f t="shared" si="85"/>
        <v>1659271.3295384054</v>
      </c>
      <c r="K304" s="139">
        <f t="shared" si="80"/>
        <v>0</v>
      </c>
      <c r="L304" s="83">
        <f t="shared" si="78"/>
        <v>1659271.3295384054</v>
      </c>
      <c r="M304" s="80">
        <f t="shared" si="86"/>
        <v>195</v>
      </c>
      <c r="N304" s="157">
        <f t="shared" si="94"/>
        <v>0</v>
      </c>
      <c r="O304" s="140">
        <f t="shared" si="81"/>
        <v>0</v>
      </c>
      <c r="P304" s="149">
        <v>0</v>
      </c>
      <c r="Q304" s="163">
        <f t="shared" si="87"/>
        <v>195</v>
      </c>
      <c r="R304" s="150">
        <f t="shared" si="82"/>
        <v>0</v>
      </c>
      <c r="S304" s="164">
        <f t="shared" si="95"/>
        <v>1</v>
      </c>
    </row>
    <row r="305" spans="1:19" x14ac:dyDescent="0.25">
      <c r="A305" s="80" t="str">
        <f t="shared" si="92"/>
        <v>Mon</v>
      </c>
      <c r="B305" s="147">
        <f>IF(SUMIFS(CashFlow!$C$16:$C$40,CashFlow!$D$16:$D$40,CashFlowCalcs!$E305)&gt;0,SUMIFS(CashFlow!$C$16:$C$40,CashFlow!$D$16:$D$40,CashFlowCalcs!$E305),B304)</f>
        <v>10</v>
      </c>
      <c r="C305" s="147" t="str">
        <f t="shared" si="83"/>
        <v>N</v>
      </c>
      <c r="D305" s="80">
        <f t="shared" si="88"/>
        <v>196</v>
      </c>
      <c r="E305" s="81">
        <f t="shared" si="93"/>
        <v>44655</v>
      </c>
      <c r="F305" s="80">
        <f t="shared" si="90"/>
        <v>-1.8402366863905326</v>
      </c>
      <c r="G305" s="119">
        <f t="shared" si="84"/>
        <v>7.3374848602613063E-2</v>
      </c>
      <c r="H305" s="125">
        <f t="shared" si="91"/>
        <v>44655</v>
      </c>
      <c r="I305" s="82">
        <f t="shared" si="79"/>
        <v>0.18393634994890229</v>
      </c>
      <c r="J305" s="126">
        <f t="shared" si="85"/>
        <v>1677467.1865598487</v>
      </c>
      <c r="K305" s="139">
        <f t="shared" si="80"/>
        <v>0</v>
      </c>
      <c r="L305" s="83">
        <f t="shared" si="78"/>
        <v>1677467.1865598487</v>
      </c>
      <c r="M305" s="80">
        <f t="shared" si="86"/>
        <v>196</v>
      </c>
      <c r="N305" s="157">
        <f t="shared" si="94"/>
        <v>0</v>
      </c>
      <c r="O305" s="140">
        <f t="shared" si="81"/>
        <v>0</v>
      </c>
      <c r="P305" s="149">
        <v>0</v>
      </c>
      <c r="Q305" s="163">
        <f t="shared" si="87"/>
        <v>196</v>
      </c>
      <c r="R305" s="150">
        <f t="shared" si="82"/>
        <v>0</v>
      </c>
      <c r="S305" s="164">
        <f t="shared" si="95"/>
        <v>1</v>
      </c>
    </row>
    <row r="306" spans="1:19" x14ac:dyDescent="0.25">
      <c r="A306" s="80" t="str">
        <f t="shared" si="92"/>
        <v>Tues</v>
      </c>
      <c r="B306" s="147">
        <f>IF(SUMIFS(CashFlow!$C$16:$C$40,CashFlow!$D$16:$D$40,CashFlowCalcs!$E306)&gt;0,SUMIFS(CashFlow!$C$16:$C$40,CashFlow!$D$16:$D$40,CashFlowCalcs!$E306),B305)</f>
        <v>10</v>
      </c>
      <c r="C306" s="147" t="str">
        <f t="shared" si="83"/>
        <v>N</v>
      </c>
      <c r="D306" s="80">
        <f t="shared" si="88"/>
        <v>197</v>
      </c>
      <c r="E306" s="81">
        <f t="shared" si="93"/>
        <v>44656</v>
      </c>
      <c r="F306" s="80">
        <f t="shared" si="90"/>
        <v>-1.834319526627219</v>
      </c>
      <c r="G306" s="119">
        <f t="shared" si="84"/>
        <v>7.4176892726677934E-2</v>
      </c>
      <c r="H306" s="125">
        <f t="shared" si="91"/>
        <v>44656</v>
      </c>
      <c r="I306" s="82">
        <f t="shared" si="79"/>
        <v>0.18594691721395287</v>
      </c>
      <c r="J306" s="126">
        <f t="shared" si="85"/>
        <v>1695803.2066800189</v>
      </c>
      <c r="K306" s="139">
        <f t="shared" si="80"/>
        <v>0</v>
      </c>
      <c r="L306" s="83">
        <f t="shared" si="78"/>
        <v>1695803.2066800189</v>
      </c>
      <c r="M306" s="80">
        <f t="shared" si="86"/>
        <v>197</v>
      </c>
      <c r="N306" s="157">
        <f t="shared" si="94"/>
        <v>0</v>
      </c>
      <c r="O306" s="140">
        <f t="shared" si="81"/>
        <v>0</v>
      </c>
      <c r="P306" s="149">
        <v>0</v>
      </c>
      <c r="Q306" s="163">
        <f t="shared" si="87"/>
        <v>197</v>
      </c>
      <c r="R306" s="150">
        <f t="shared" si="82"/>
        <v>0</v>
      </c>
      <c r="S306" s="164">
        <f>(1-(IF(AND(R306=1,D305&lt;$I$2),(1-I305)/(1-VLOOKUP($K$6,$D$17:$I$750,6)),0)))*$M$8</f>
        <v>9119824.2599999998</v>
      </c>
    </row>
    <row r="307" spans="1:19" x14ac:dyDescent="0.25">
      <c r="A307" s="80" t="str">
        <f t="shared" si="92"/>
        <v>Wed</v>
      </c>
      <c r="B307" s="147">
        <f>IF(SUMIFS(CashFlow!$C$16:$C$40,CashFlow!$D$16:$D$40,CashFlowCalcs!$E307)&gt;0,SUMIFS(CashFlow!$C$16:$C$40,CashFlow!$D$16:$D$40,CashFlowCalcs!$E307),B306)</f>
        <v>10</v>
      </c>
      <c r="C307" s="147" t="str">
        <f t="shared" si="83"/>
        <v>N</v>
      </c>
      <c r="D307" s="80">
        <f t="shared" si="88"/>
        <v>198</v>
      </c>
      <c r="E307" s="81">
        <f t="shared" si="93"/>
        <v>44657</v>
      </c>
      <c r="F307" s="80">
        <f t="shared" si="90"/>
        <v>-1.8284023668639053</v>
      </c>
      <c r="G307" s="119">
        <f t="shared" si="84"/>
        <v>7.4985078334400074E-2</v>
      </c>
      <c r="H307" s="125">
        <f t="shared" si="91"/>
        <v>44657</v>
      </c>
      <c r="I307" s="82">
        <f t="shared" si="79"/>
        <v>0.18797287997362733</v>
      </c>
      <c r="J307" s="126">
        <f t="shared" si="85"/>
        <v>1714279.6310055547</v>
      </c>
      <c r="K307" s="139">
        <f t="shared" si="80"/>
        <v>0</v>
      </c>
      <c r="L307" s="83">
        <f t="shared" si="78"/>
        <v>1714279.6310055547</v>
      </c>
      <c r="M307" s="80">
        <f t="shared" si="86"/>
        <v>198</v>
      </c>
      <c r="N307" s="157">
        <f t="shared" si="94"/>
        <v>0</v>
      </c>
      <c r="O307" s="140">
        <f t="shared" si="81"/>
        <v>0</v>
      </c>
      <c r="P307" s="149">
        <v>0</v>
      </c>
      <c r="Q307" s="163">
        <f t="shared" si="87"/>
        <v>198</v>
      </c>
      <c r="R307" s="150">
        <f t="shared" si="82"/>
        <v>0</v>
      </c>
      <c r="S307" s="164">
        <f t="shared" ref="S307:S370" si="96">(1-(IF(AND(R307=1,D306&lt;$I$2),(1-I306)/(1-VLOOKUP($K$6,$D$17:$I$750,6)),0)))*$M$8</f>
        <v>9119824.2599999998</v>
      </c>
    </row>
    <row r="308" spans="1:19" x14ac:dyDescent="0.25">
      <c r="A308" s="80" t="str">
        <f t="shared" si="92"/>
        <v>Thu</v>
      </c>
      <c r="B308" s="147">
        <f>IF(SUMIFS(CashFlow!$C$16:$C$40,CashFlow!$D$16:$D$40,CashFlowCalcs!$E308)&gt;0,SUMIFS(CashFlow!$C$16:$C$40,CashFlow!$D$16:$D$40,CashFlowCalcs!$E308),B307)</f>
        <v>10</v>
      </c>
      <c r="C308" s="147" t="str">
        <f t="shared" si="83"/>
        <v>N</v>
      </c>
      <c r="D308" s="80">
        <f t="shared" si="88"/>
        <v>199</v>
      </c>
      <c r="E308" s="81">
        <f t="shared" ref="E308:E323" si="97">E307+1</f>
        <v>44658</v>
      </c>
      <c r="F308" s="80">
        <f t="shared" si="90"/>
        <v>-1.8224852071005917</v>
      </c>
      <c r="G308" s="119">
        <f t="shared" si="84"/>
        <v>7.5799415438634291E-2</v>
      </c>
      <c r="H308" s="125">
        <f t="shared" si="91"/>
        <v>44658</v>
      </c>
      <c r="I308" s="82">
        <f t="shared" si="79"/>
        <v>0.19001426332818824</v>
      </c>
      <c r="J308" s="126">
        <f t="shared" si="85"/>
        <v>1732896.6884464393</v>
      </c>
      <c r="K308" s="139">
        <f t="shared" si="80"/>
        <v>0</v>
      </c>
      <c r="L308" s="83">
        <f t="shared" si="78"/>
        <v>1732896.6884464393</v>
      </c>
      <c r="M308" s="80">
        <f t="shared" si="86"/>
        <v>199</v>
      </c>
      <c r="N308" s="157">
        <f t="shared" si="94"/>
        <v>0</v>
      </c>
      <c r="O308" s="140">
        <f t="shared" si="81"/>
        <v>0</v>
      </c>
      <c r="P308" s="149">
        <v>0</v>
      </c>
      <c r="Q308" s="163">
        <f t="shared" si="87"/>
        <v>199</v>
      </c>
      <c r="R308" s="150">
        <f t="shared" si="82"/>
        <v>0</v>
      </c>
      <c r="S308" s="164">
        <f t="shared" si="96"/>
        <v>9119824.2599999998</v>
      </c>
    </row>
    <row r="309" spans="1:19" x14ac:dyDescent="0.25">
      <c r="A309" s="80" t="str">
        <f t="shared" si="92"/>
        <v>Fri</v>
      </c>
      <c r="B309" s="147">
        <f>IF(SUMIFS(CashFlow!$C$16:$C$40,CashFlow!$D$16:$D$40,CashFlowCalcs!$E309)&gt;0,SUMIFS(CashFlow!$C$16:$C$40,CashFlow!$D$16:$D$40,CashFlowCalcs!$E309),B308)</f>
        <v>10</v>
      </c>
      <c r="C309" s="147" t="str">
        <f t="shared" si="83"/>
        <v>N</v>
      </c>
      <c r="D309" s="80">
        <f t="shared" si="88"/>
        <v>200</v>
      </c>
      <c r="E309" s="81">
        <f t="shared" si="97"/>
        <v>44659</v>
      </c>
      <c r="F309" s="80">
        <f t="shared" si="90"/>
        <v>-1.8165680473372781</v>
      </c>
      <c r="G309" s="119">
        <f t="shared" si="84"/>
        <v>7.6619913511513552E-2</v>
      </c>
      <c r="H309" s="125">
        <f t="shared" si="91"/>
        <v>44659</v>
      </c>
      <c r="I309" s="82">
        <f t="shared" si="79"/>
        <v>0.1920710910224146</v>
      </c>
      <c r="J309" s="126">
        <f t="shared" si="85"/>
        <v>1751654.5955508847</v>
      </c>
      <c r="K309" s="139">
        <f t="shared" si="80"/>
        <v>0</v>
      </c>
      <c r="L309" s="83">
        <f t="shared" si="78"/>
        <v>1751654.5955508847</v>
      </c>
      <c r="M309" s="80">
        <f t="shared" si="86"/>
        <v>200</v>
      </c>
      <c r="N309" s="157">
        <f t="shared" si="94"/>
        <v>0</v>
      </c>
      <c r="O309" s="140">
        <f t="shared" si="81"/>
        <v>0</v>
      </c>
      <c r="P309" s="149">
        <v>0</v>
      </c>
      <c r="Q309" s="163">
        <f t="shared" si="87"/>
        <v>200</v>
      </c>
      <c r="R309" s="150">
        <f t="shared" si="82"/>
        <v>0</v>
      </c>
      <c r="S309" s="164">
        <f t="shared" si="96"/>
        <v>9119824.2599999998</v>
      </c>
    </row>
    <row r="310" spans="1:19" x14ac:dyDescent="0.25">
      <c r="A310" s="80" t="str">
        <f t="shared" si="92"/>
        <v>Sat</v>
      </c>
      <c r="B310" s="147">
        <f>IF(SUMIFS(CashFlow!$C$16:$C$40,CashFlow!$D$16:$D$40,CashFlowCalcs!$E310)&gt;0,SUMIFS(CashFlow!$C$16:$C$40,CashFlow!$D$16:$D$40,CashFlowCalcs!$E310),B309)</f>
        <v>10</v>
      </c>
      <c r="C310" s="147" t="str">
        <f t="shared" si="83"/>
        <v>Y</v>
      </c>
      <c r="D310" s="80">
        <f t="shared" si="88"/>
        <v>200</v>
      </c>
      <c r="E310" s="81">
        <f t="shared" si="97"/>
        <v>44660</v>
      </c>
      <c r="F310" s="80">
        <f t="shared" si="90"/>
        <v>-1.8165680473372781</v>
      </c>
      <c r="G310" s="119">
        <f t="shared" si="84"/>
        <v>7.6619913511513552E-2</v>
      </c>
      <c r="H310" s="125">
        <f t="shared" si="91"/>
        <v>44660</v>
      </c>
      <c r="I310" s="82">
        <f t="shared" si="79"/>
        <v>0.1920710910224146</v>
      </c>
      <c r="J310" s="126">
        <f t="shared" si="85"/>
        <v>1751654.5955508847</v>
      </c>
      <c r="K310" s="139">
        <f t="shared" si="80"/>
        <v>0</v>
      </c>
      <c r="L310" s="83">
        <f t="shared" si="78"/>
        <v>1751654.5955508847</v>
      </c>
      <c r="M310" s="80">
        <f t="shared" si="86"/>
        <v>200</v>
      </c>
      <c r="N310" s="157">
        <f t="shared" si="94"/>
        <v>0</v>
      </c>
      <c r="O310" s="140">
        <f t="shared" si="81"/>
        <v>0</v>
      </c>
      <c r="P310" s="149">
        <v>0</v>
      </c>
      <c r="Q310" s="163">
        <f t="shared" si="87"/>
        <v>200</v>
      </c>
      <c r="R310" s="150">
        <f t="shared" si="82"/>
        <v>0</v>
      </c>
      <c r="S310" s="164">
        <f t="shared" si="96"/>
        <v>9119824.2599999998</v>
      </c>
    </row>
    <row r="311" spans="1:19" x14ac:dyDescent="0.25">
      <c r="A311" s="80" t="str">
        <f t="shared" si="92"/>
        <v>Sun</v>
      </c>
      <c r="B311" s="147">
        <f>IF(SUMIFS(CashFlow!$C$16:$C$40,CashFlow!$D$16:$D$40,CashFlowCalcs!$E311)&gt;0,SUMIFS(CashFlow!$C$16:$C$40,CashFlow!$D$16:$D$40,CashFlowCalcs!$E311),B310)</f>
        <v>10</v>
      </c>
      <c r="C311" s="147" t="str">
        <f t="shared" si="83"/>
        <v>Y</v>
      </c>
      <c r="D311" s="80">
        <f t="shared" si="88"/>
        <v>200</v>
      </c>
      <c r="E311" s="81">
        <f t="shared" si="97"/>
        <v>44661</v>
      </c>
      <c r="F311" s="80">
        <f t="shared" si="90"/>
        <v>-1.8165680473372781</v>
      </c>
      <c r="G311" s="119">
        <f t="shared" si="84"/>
        <v>7.6619913511513552E-2</v>
      </c>
      <c r="H311" s="125">
        <f t="shared" si="91"/>
        <v>44661</v>
      </c>
      <c r="I311" s="82">
        <f t="shared" si="79"/>
        <v>0.1920710910224146</v>
      </c>
      <c r="J311" s="126">
        <f t="shared" si="85"/>
        <v>1751654.5955508847</v>
      </c>
      <c r="K311" s="139">
        <f t="shared" si="80"/>
        <v>0</v>
      </c>
      <c r="L311" s="83">
        <f t="shared" si="78"/>
        <v>1751654.5955508847</v>
      </c>
      <c r="M311" s="80">
        <f t="shared" si="86"/>
        <v>200</v>
      </c>
      <c r="N311" s="157">
        <f t="shared" si="94"/>
        <v>0</v>
      </c>
      <c r="O311" s="140">
        <f t="shared" si="81"/>
        <v>0</v>
      </c>
      <c r="P311" s="149">
        <v>0</v>
      </c>
      <c r="Q311" s="163">
        <f t="shared" si="87"/>
        <v>200</v>
      </c>
      <c r="R311" s="150">
        <f t="shared" si="82"/>
        <v>0</v>
      </c>
      <c r="S311" s="164">
        <f t="shared" si="96"/>
        <v>9119824.2599999998</v>
      </c>
    </row>
    <row r="312" spans="1:19" x14ac:dyDescent="0.25">
      <c r="A312" s="80" t="str">
        <f t="shared" si="92"/>
        <v>Mon</v>
      </c>
      <c r="B312" s="147">
        <f>IF(SUMIFS(CashFlow!$C$16:$C$40,CashFlow!$D$16:$D$40,CashFlowCalcs!$E312)&gt;0,SUMIFS(CashFlow!$C$16:$C$40,CashFlow!$D$16:$D$40,CashFlowCalcs!$E312),B311)</f>
        <v>10</v>
      </c>
      <c r="C312" s="147" t="str">
        <f t="shared" si="83"/>
        <v>N</v>
      </c>
      <c r="D312" s="80">
        <f t="shared" si="88"/>
        <v>201</v>
      </c>
      <c r="E312" s="81">
        <f t="shared" si="97"/>
        <v>44662</v>
      </c>
      <c r="F312" s="80">
        <f t="shared" si="90"/>
        <v>-1.8106508875739644</v>
      </c>
      <c r="G312" s="119">
        <f t="shared" si="84"/>
        <v>7.7446581477242982E-2</v>
      </c>
      <c r="H312" s="125">
        <f t="shared" si="91"/>
        <v>44662</v>
      </c>
      <c r="I312" s="82">
        <f t="shared" si="79"/>
        <v>0.19414338542753776</v>
      </c>
      <c r="J312" s="126">
        <f t="shared" si="85"/>
        <v>1770553.5563405892</v>
      </c>
      <c r="K312" s="139">
        <f t="shared" si="80"/>
        <v>0</v>
      </c>
      <c r="L312" s="83">
        <f t="shared" si="78"/>
        <v>1770553.5563405892</v>
      </c>
      <c r="M312" s="80">
        <f t="shared" si="86"/>
        <v>201</v>
      </c>
      <c r="N312" s="157">
        <f t="shared" si="94"/>
        <v>0</v>
      </c>
      <c r="O312" s="140">
        <f t="shared" si="81"/>
        <v>0</v>
      </c>
      <c r="P312" s="149">
        <v>0</v>
      </c>
      <c r="Q312" s="163">
        <f t="shared" si="87"/>
        <v>201</v>
      </c>
      <c r="R312" s="150">
        <f t="shared" si="82"/>
        <v>0</v>
      </c>
      <c r="S312" s="164">
        <f t="shared" si="96"/>
        <v>9119824.2599999998</v>
      </c>
    </row>
    <row r="313" spans="1:19" x14ac:dyDescent="0.25">
      <c r="A313" s="80" t="str">
        <f t="shared" si="92"/>
        <v>Tues</v>
      </c>
      <c r="B313" s="147">
        <f>IF(SUMIFS(CashFlow!$C$16:$C$40,CashFlow!$D$16:$D$40,CashFlowCalcs!$E313)&gt;0,SUMIFS(CashFlow!$C$16:$C$40,CashFlow!$D$16:$D$40,CashFlowCalcs!$E313),B312)</f>
        <v>10</v>
      </c>
      <c r="C313" s="147" t="str">
        <f t="shared" si="83"/>
        <v>N</v>
      </c>
      <c r="D313" s="80">
        <f t="shared" si="88"/>
        <v>202</v>
      </c>
      <c r="E313" s="81">
        <f t="shared" si="97"/>
        <v>44663</v>
      </c>
      <c r="F313" s="80">
        <f t="shared" si="90"/>
        <v>-1.804733727810651</v>
      </c>
      <c r="G313" s="119">
        <f t="shared" si="84"/>
        <v>7.8279427704912363E-2</v>
      </c>
      <c r="H313" s="125">
        <f t="shared" si="91"/>
        <v>44663</v>
      </c>
      <c r="I313" s="82">
        <f t="shared" si="79"/>
        <v>0.19623116752322392</v>
      </c>
      <c r="J313" s="126">
        <f t="shared" si="85"/>
        <v>1789593.7621464215</v>
      </c>
      <c r="K313" s="139">
        <f t="shared" si="80"/>
        <v>0</v>
      </c>
      <c r="L313" s="83">
        <f t="shared" si="78"/>
        <v>1789593.7621464215</v>
      </c>
      <c r="M313" s="80">
        <f t="shared" si="86"/>
        <v>202</v>
      </c>
      <c r="N313" s="157">
        <f t="shared" si="94"/>
        <v>0</v>
      </c>
      <c r="O313" s="140">
        <f t="shared" si="81"/>
        <v>0</v>
      </c>
      <c r="P313" s="149">
        <v>0</v>
      </c>
      <c r="Q313" s="163">
        <f t="shared" si="87"/>
        <v>202</v>
      </c>
      <c r="R313" s="150">
        <f t="shared" si="82"/>
        <v>0</v>
      </c>
      <c r="S313" s="164">
        <f t="shared" si="96"/>
        <v>9119824.2599999998</v>
      </c>
    </row>
    <row r="314" spans="1:19" x14ac:dyDescent="0.25">
      <c r="A314" s="80" t="str">
        <f t="shared" si="92"/>
        <v>Wed</v>
      </c>
      <c r="B314" s="147">
        <f>IF(SUMIFS(CashFlow!$C$16:$C$40,CashFlow!$D$16:$D$40,CashFlowCalcs!$E314)&gt;0,SUMIFS(CashFlow!$C$16:$C$40,CashFlow!$D$16:$D$40,CashFlowCalcs!$E314),B313)</f>
        <v>10</v>
      </c>
      <c r="C314" s="147" t="str">
        <f t="shared" si="83"/>
        <v>N</v>
      </c>
      <c r="D314" s="80">
        <f t="shared" si="88"/>
        <v>203</v>
      </c>
      <c r="E314" s="81">
        <f t="shared" si="97"/>
        <v>44664</v>
      </c>
      <c r="F314" s="80">
        <f t="shared" si="90"/>
        <v>-1.7988165680473374</v>
      </c>
      <c r="G314" s="119">
        <f t="shared" si="84"/>
        <v>7.911846000132855E-2</v>
      </c>
      <c r="H314" s="125">
        <f t="shared" si="91"/>
        <v>44664</v>
      </c>
      <c r="I314" s="82">
        <f t="shared" si="79"/>
        <v>0.19833445687960624</v>
      </c>
      <c r="J314" s="126">
        <f t="shared" si="85"/>
        <v>1808775.3914445569</v>
      </c>
      <c r="K314" s="139">
        <f t="shared" si="80"/>
        <v>0</v>
      </c>
      <c r="L314" s="83">
        <f t="shared" si="78"/>
        <v>1808775.3914445569</v>
      </c>
      <c r="M314" s="80">
        <f t="shared" si="86"/>
        <v>203</v>
      </c>
      <c r="N314" s="157">
        <f t="shared" si="94"/>
        <v>0</v>
      </c>
      <c r="O314" s="140">
        <f t="shared" si="81"/>
        <v>0</v>
      </c>
      <c r="P314" s="149">
        <v>0</v>
      </c>
      <c r="Q314" s="163">
        <f t="shared" si="87"/>
        <v>203</v>
      </c>
      <c r="R314" s="150">
        <f t="shared" si="82"/>
        <v>0</v>
      </c>
      <c r="S314" s="164">
        <f t="shared" si="96"/>
        <v>9119824.2599999998</v>
      </c>
    </row>
    <row r="315" spans="1:19" x14ac:dyDescent="0.25">
      <c r="A315" s="80" t="str">
        <f t="shared" si="92"/>
        <v>Thu</v>
      </c>
      <c r="B315" s="147">
        <f>IF(SUMIFS(CashFlow!$C$16:$C$40,CashFlow!$D$16:$D$40,CashFlowCalcs!$E315)&gt;0,SUMIFS(CashFlow!$C$16:$C$40,CashFlow!$D$16:$D$40,CashFlowCalcs!$E315),B314)</f>
        <v>10</v>
      </c>
      <c r="C315" s="147" t="str">
        <f t="shared" si="83"/>
        <v>N</v>
      </c>
      <c r="D315" s="80">
        <f t="shared" si="88"/>
        <v>204</v>
      </c>
      <c r="E315" s="81">
        <f t="shared" si="97"/>
        <v>44665</v>
      </c>
      <c r="F315" s="80">
        <f t="shared" si="90"/>
        <v>-1.7928994082840237</v>
      </c>
      <c r="G315" s="119">
        <f t="shared" si="84"/>
        <v>7.9963685603869628E-2</v>
      </c>
      <c r="H315" s="125">
        <f t="shared" si="91"/>
        <v>44665</v>
      </c>
      <c r="I315" s="82">
        <f t="shared" si="79"/>
        <v>0.20045327163937163</v>
      </c>
      <c r="J315" s="126">
        <f t="shared" si="85"/>
        <v>1828098.6096931114</v>
      </c>
      <c r="K315" s="139">
        <f t="shared" si="80"/>
        <v>0</v>
      </c>
      <c r="L315" s="83">
        <f t="shared" si="78"/>
        <v>1828098.6096931114</v>
      </c>
      <c r="M315" s="80">
        <f t="shared" si="86"/>
        <v>204</v>
      </c>
      <c r="N315" s="157">
        <f t="shared" si="94"/>
        <v>0</v>
      </c>
      <c r="O315" s="140">
        <f t="shared" si="81"/>
        <v>0</v>
      </c>
      <c r="P315" s="149">
        <v>0</v>
      </c>
      <c r="Q315" s="163">
        <f t="shared" si="87"/>
        <v>204</v>
      </c>
      <c r="R315" s="150">
        <f t="shared" si="82"/>
        <v>0</v>
      </c>
      <c r="S315" s="164">
        <f t="shared" si="96"/>
        <v>9119824.2599999998</v>
      </c>
    </row>
    <row r="316" spans="1:19" x14ac:dyDescent="0.25">
      <c r="A316" s="80" t="str">
        <f t="shared" si="92"/>
        <v>Fri</v>
      </c>
      <c r="B316" s="147">
        <f>IF(SUMIFS(CashFlow!$C$16:$C$40,CashFlow!$D$16:$D$40,CashFlowCalcs!$E316)&gt;0,SUMIFS(CashFlow!$C$16:$C$40,CashFlow!$D$16:$D$40,CashFlowCalcs!$E316),B315)</f>
        <v>10</v>
      </c>
      <c r="C316" s="147" t="str">
        <f t="shared" si="83"/>
        <v>N</v>
      </c>
      <c r="D316" s="80">
        <f t="shared" si="88"/>
        <v>205</v>
      </c>
      <c r="E316" s="81">
        <f t="shared" si="97"/>
        <v>44666</v>
      </c>
      <c r="F316" s="80">
        <f t="shared" si="90"/>
        <v>-1.7869822485207101</v>
      </c>
      <c r="G316" s="119">
        <f t="shared" si="84"/>
        <v>8.0815111173362611E-2</v>
      </c>
      <c r="H316" s="125">
        <f t="shared" si="91"/>
        <v>44666</v>
      </c>
      <c r="I316" s="82">
        <f t="shared" si="79"/>
        <v>0.20258762849990664</v>
      </c>
      <c r="J316" s="126">
        <f t="shared" si="85"/>
        <v>1847563.569169316</v>
      </c>
      <c r="K316" s="139">
        <f t="shared" si="80"/>
        <v>0</v>
      </c>
      <c r="L316" s="83">
        <f t="shared" si="78"/>
        <v>1847563.569169316</v>
      </c>
      <c r="M316" s="80">
        <f t="shared" si="86"/>
        <v>205</v>
      </c>
      <c r="N316" s="157">
        <f t="shared" si="94"/>
        <v>0</v>
      </c>
      <c r="O316" s="140">
        <f t="shared" si="81"/>
        <v>0</v>
      </c>
      <c r="P316" s="149">
        <v>0</v>
      </c>
      <c r="Q316" s="163">
        <f t="shared" si="87"/>
        <v>205</v>
      </c>
      <c r="R316" s="150">
        <f t="shared" si="82"/>
        <v>0</v>
      </c>
      <c r="S316" s="164">
        <f t="shared" si="96"/>
        <v>9119824.2599999998</v>
      </c>
    </row>
    <row r="317" spans="1:19" x14ac:dyDescent="0.25">
      <c r="A317" s="80" t="str">
        <f t="shared" si="92"/>
        <v>Sat</v>
      </c>
      <c r="B317" s="147">
        <f>IF(SUMIFS(CashFlow!$C$16:$C$40,CashFlow!$D$16:$D$40,CashFlowCalcs!$E317)&gt;0,SUMIFS(CashFlow!$C$16:$C$40,CashFlow!$D$16:$D$40,CashFlowCalcs!$E317),B316)</f>
        <v>10</v>
      </c>
      <c r="C317" s="147" t="str">
        <f t="shared" si="83"/>
        <v>Y</v>
      </c>
      <c r="D317" s="80">
        <f t="shared" si="88"/>
        <v>205</v>
      </c>
      <c r="E317" s="81">
        <f t="shared" si="97"/>
        <v>44667</v>
      </c>
      <c r="F317" s="80">
        <f t="shared" si="90"/>
        <v>-1.7869822485207101</v>
      </c>
      <c r="G317" s="119">
        <f t="shared" si="84"/>
        <v>8.0815111173362611E-2</v>
      </c>
      <c r="H317" s="125">
        <f t="shared" si="91"/>
        <v>44667</v>
      </c>
      <c r="I317" s="82">
        <f t="shared" si="79"/>
        <v>0.20258762849990664</v>
      </c>
      <c r="J317" s="126">
        <f t="shared" si="85"/>
        <v>1847563.569169316</v>
      </c>
      <c r="K317" s="139">
        <f t="shared" si="80"/>
        <v>0</v>
      </c>
      <c r="L317" s="83">
        <f t="shared" si="78"/>
        <v>1847563.569169316</v>
      </c>
      <c r="M317" s="80">
        <f t="shared" si="86"/>
        <v>205</v>
      </c>
      <c r="N317" s="157">
        <f t="shared" si="94"/>
        <v>0</v>
      </c>
      <c r="O317" s="140">
        <f t="shared" si="81"/>
        <v>0</v>
      </c>
      <c r="P317" s="149">
        <v>0</v>
      </c>
      <c r="Q317" s="163">
        <f t="shared" si="87"/>
        <v>205</v>
      </c>
      <c r="R317" s="150">
        <f t="shared" si="82"/>
        <v>0</v>
      </c>
      <c r="S317" s="164">
        <f t="shared" si="96"/>
        <v>9119824.2599999998</v>
      </c>
    </row>
    <row r="318" spans="1:19" x14ac:dyDescent="0.25">
      <c r="A318" s="80" t="str">
        <f t="shared" si="92"/>
        <v>Sun</v>
      </c>
      <c r="B318" s="147">
        <f>IF(SUMIFS(CashFlow!$C$16:$C$40,CashFlow!$D$16:$D$40,CashFlowCalcs!$E318)&gt;0,SUMIFS(CashFlow!$C$16:$C$40,CashFlow!$D$16:$D$40,CashFlowCalcs!$E318),B317)</f>
        <v>10</v>
      </c>
      <c r="C318" s="147" t="str">
        <f t="shared" si="83"/>
        <v>Y</v>
      </c>
      <c r="D318" s="80">
        <f t="shared" si="88"/>
        <v>205</v>
      </c>
      <c r="E318" s="81">
        <f t="shared" si="97"/>
        <v>44668</v>
      </c>
      <c r="F318" s="80">
        <f t="shared" si="90"/>
        <v>-1.7869822485207101</v>
      </c>
      <c r="G318" s="119">
        <f t="shared" si="84"/>
        <v>8.0815111173362611E-2</v>
      </c>
      <c r="H318" s="125">
        <f t="shared" si="91"/>
        <v>44668</v>
      </c>
      <c r="I318" s="82">
        <f t="shared" si="79"/>
        <v>0.20258762849990664</v>
      </c>
      <c r="J318" s="126">
        <f t="shared" si="85"/>
        <v>1847563.569169316</v>
      </c>
      <c r="K318" s="139">
        <f t="shared" si="80"/>
        <v>0</v>
      </c>
      <c r="L318" s="83">
        <f t="shared" si="78"/>
        <v>1847563.569169316</v>
      </c>
      <c r="M318" s="80">
        <f t="shared" si="86"/>
        <v>205</v>
      </c>
      <c r="N318" s="157">
        <f t="shared" si="94"/>
        <v>0</v>
      </c>
      <c r="O318" s="140">
        <f t="shared" si="81"/>
        <v>0</v>
      </c>
      <c r="P318" s="149">
        <v>0</v>
      </c>
      <c r="Q318" s="163">
        <f t="shared" si="87"/>
        <v>205</v>
      </c>
      <c r="R318" s="150">
        <f t="shared" si="82"/>
        <v>0</v>
      </c>
      <c r="S318" s="164">
        <f t="shared" si="96"/>
        <v>9119824.2599999998</v>
      </c>
    </row>
    <row r="319" spans="1:19" x14ac:dyDescent="0.25">
      <c r="A319" s="80" t="str">
        <f t="shared" si="92"/>
        <v>Mon</v>
      </c>
      <c r="B319" s="147">
        <f>IF(SUMIFS(CashFlow!$C$16:$C$40,CashFlow!$D$16:$D$40,CashFlowCalcs!$E319)&gt;0,SUMIFS(CashFlow!$C$16:$C$40,CashFlow!$D$16:$D$40,CashFlowCalcs!$E319),B318)</f>
        <v>10</v>
      </c>
      <c r="C319" s="147" t="str">
        <f t="shared" si="83"/>
        <v>N</v>
      </c>
      <c r="D319" s="80">
        <f t="shared" si="88"/>
        <v>206</v>
      </c>
      <c r="E319" s="81">
        <f t="shared" si="97"/>
        <v>44669</v>
      </c>
      <c r="F319" s="80">
        <f t="shared" si="90"/>
        <v>-1.7810650887573964</v>
      </c>
      <c r="G319" s="119">
        <f t="shared" si="84"/>
        <v>8.1672742786986413E-2</v>
      </c>
      <c r="H319" s="125">
        <f t="shared" si="91"/>
        <v>44669</v>
      </c>
      <c r="I319" s="82">
        <f t="shared" si="79"/>
        <v>0.20473754269550651</v>
      </c>
      <c r="J319" s="126">
        <f t="shared" si="85"/>
        <v>1867170.408807266</v>
      </c>
      <c r="K319" s="139">
        <f t="shared" si="80"/>
        <v>0</v>
      </c>
      <c r="L319" s="83">
        <f t="shared" si="78"/>
        <v>1867170.408807266</v>
      </c>
      <c r="M319" s="80">
        <f t="shared" si="86"/>
        <v>206</v>
      </c>
      <c r="N319" s="157">
        <f t="shared" si="94"/>
        <v>0</v>
      </c>
      <c r="O319" s="140">
        <f t="shared" si="81"/>
        <v>0</v>
      </c>
      <c r="P319" s="149">
        <v>0</v>
      </c>
      <c r="Q319" s="163">
        <f t="shared" si="87"/>
        <v>206</v>
      </c>
      <c r="R319" s="150">
        <f t="shared" si="82"/>
        <v>0</v>
      </c>
      <c r="S319" s="164">
        <f t="shared" si="96"/>
        <v>9119824.2599999998</v>
      </c>
    </row>
    <row r="320" spans="1:19" x14ac:dyDescent="0.25">
      <c r="A320" s="80" t="str">
        <f t="shared" si="92"/>
        <v>Tues</v>
      </c>
      <c r="B320" s="147">
        <f>IF(SUMIFS(CashFlow!$C$16:$C$40,CashFlow!$D$16:$D$40,CashFlowCalcs!$E320)&gt;0,SUMIFS(CashFlow!$C$16:$C$40,CashFlow!$D$16:$D$40,CashFlowCalcs!$E320),B319)</f>
        <v>10</v>
      </c>
      <c r="C320" s="147" t="str">
        <f t="shared" si="83"/>
        <v>N</v>
      </c>
      <c r="D320" s="80">
        <f t="shared" si="88"/>
        <v>207</v>
      </c>
      <c r="E320" s="81">
        <f t="shared" si="97"/>
        <v>44670</v>
      </c>
      <c r="F320" s="80">
        <f t="shared" si="90"/>
        <v>-1.775147928994083</v>
      </c>
      <c r="G320" s="119">
        <f t="shared" si="84"/>
        <v>8.2536585931201806E-2</v>
      </c>
      <c r="H320" s="125">
        <f t="shared" si="91"/>
        <v>44670</v>
      </c>
      <c r="I320" s="82">
        <f t="shared" si="79"/>
        <v>0.20690302797965202</v>
      </c>
      <c r="J320" s="126">
        <f t="shared" si="85"/>
        <v>1886919.2540362892</v>
      </c>
      <c r="K320" s="139">
        <f t="shared" si="80"/>
        <v>0</v>
      </c>
      <c r="L320" s="83">
        <f t="shared" si="78"/>
        <v>1886919.2540362892</v>
      </c>
      <c r="M320" s="80">
        <f t="shared" si="86"/>
        <v>207</v>
      </c>
      <c r="N320" s="157">
        <f t="shared" si="94"/>
        <v>0</v>
      </c>
      <c r="O320" s="140">
        <f t="shared" si="81"/>
        <v>0</v>
      </c>
      <c r="P320" s="149">
        <v>0</v>
      </c>
      <c r="Q320" s="163">
        <f t="shared" si="87"/>
        <v>207</v>
      </c>
      <c r="R320" s="150">
        <f t="shared" si="82"/>
        <v>0</v>
      </c>
      <c r="S320" s="164">
        <f t="shared" si="96"/>
        <v>9119824.2599999998</v>
      </c>
    </row>
    <row r="321" spans="1:19" x14ac:dyDescent="0.25">
      <c r="A321" s="80" t="str">
        <f t="shared" si="92"/>
        <v>Wed</v>
      </c>
      <c r="B321" s="147">
        <f>IF(SUMIFS(CashFlow!$C$16:$C$40,CashFlow!$D$16:$D$40,CashFlowCalcs!$E321)&gt;0,SUMIFS(CashFlow!$C$16:$C$40,CashFlow!$D$16:$D$40,CashFlowCalcs!$E321),B320)</f>
        <v>10</v>
      </c>
      <c r="C321" s="147" t="str">
        <f t="shared" si="83"/>
        <v>N</v>
      </c>
      <c r="D321" s="80">
        <f t="shared" si="88"/>
        <v>208</v>
      </c>
      <c r="E321" s="81">
        <f t="shared" si="97"/>
        <v>44671</v>
      </c>
      <c r="F321" s="80">
        <f t="shared" si="90"/>
        <v>-1.7692307692307692</v>
      </c>
      <c r="G321" s="119">
        <f t="shared" si="84"/>
        <v>8.3406645494710288E-2</v>
      </c>
      <c r="H321" s="125">
        <f t="shared" si="91"/>
        <v>44671</v>
      </c>
      <c r="I321" s="82">
        <f t="shared" si="79"/>
        <v>0.20908409660735866</v>
      </c>
      <c r="J321" s="126">
        <f t="shared" si="85"/>
        <v>1906810.2166199731</v>
      </c>
      <c r="K321" s="139">
        <f t="shared" si="80"/>
        <v>0</v>
      </c>
      <c r="L321" s="83">
        <f t="shared" si="78"/>
        <v>1906810.2166199731</v>
      </c>
      <c r="M321" s="80">
        <f t="shared" si="86"/>
        <v>208</v>
      </c>
      <c r="N321" s="157">
        <f t="shared" si="94"/>
        <v>0</v>
      </c>
      <c r="O321" s="140">
        <f t="shared" si="81"/>
        <v>0</v>
      </c>
      <c r="P321" s="149">
        <v>0</v>
      </c>
      <c r="Q321" s="163">
        <f t="shared" si="87"/>
        <v>208</v>
      </c>
      <c r="R321" s="150">
        <f t="shared" si="82"/>
        <v>0</v>
      </c>
      <c r="S321" s="164">
        <f t="shared" si="96"/>
        <v>9119824.2599999998</v>
      </c>
    </row>
    <row r="322" spans="1:19" x14ac:dyDescent="0.25">
      <c r="A322" s="80" t="str">
        <f t="shared" si="92"/>
        <v>Thu</v>
      </c>
      <c r="B322" s="147">
        <f>IF(SUMIFS(CashFlow!$C$16:$C$40,CashFlow!$D$16:$D$40,CashFlowCalcs!$E322)&gt;0,SUMIFS(CashFlow!$C$16:$C$40,CashFlow!$D$16:$D$40,CashFlowCalcs!$E322),B321)</f>
        <v>10</v>
      </c>
      <c r="C322" s="147" t="str">
        <f t="shared" si="83"/>
        <v>N</v>
      </c>
      <c r="D322" s="80">
        <f t="shared" si="88"/>
        <v>209</v>
      </c>
      <c r="E322" s="81">
        <f t="shared" si="97"/>
        <v>44672</v>
      </c>
      <c r="F322" s="80">
        <f t="shared" si="90"/>
        <v>-1.7633136094674557</v>
      </c>
      <c r="G322" s="119">
        <f t="shared" si="84"/>
        <v>8.4282925761443195E-2</v>
      </c>
      <c r="H322" s="125">
        <f t="shared" si="91"/>
        <v>44672</v>
      </c>
      <c r="I322" s="82">
        <f t="shared" si="79"/>
        <v>0.21128075931760187</v>
      </c>
      <c r="J322" s="126">
        <f t="shared" si="85"/>
        <v>1926843.3944958865</v>
      </c>
      <c r="K322" s="139">
        <f t="shared" si="80"/>
        <v>0</v>
      </c>
      <c r="L322" s="83">
        <f t="shared" si="78"/>
        <v>1926843.3944958865</v>
      </c>
      <c r="M322" s="80">
        <f t="shared" si="86"/>
        <v>209</v>
      </c>
      <c r="N322" s="157">
        <f t="shared" si="94"/>
        <v>0</v>
      </c>
      <c r="O322" s="140">
        <f t="shared" si="81"/>
        <v>0</v>
      </c>
      <c r="P322" s="149">
        <v>0</v>
      </c>
      <c r="Q322" s="163">
        <f t="shared" si="87"/>
        <v>209</v>
      </c>
      <c r="R322" s="150">
        <f t="shared" si="82"/>
        <v>0</v>
      </c>
      <c r="S322" s="164">
        <f t="shared" si="96"/>
        <v>9119824.2599999998</v>
      </c>
    </row>
    <row r="323" spans="1:19" x14ac:dyDescent="0.25">
      <c r="A323" s="80" t="str">
        <f t="shared" si="92"/>
        <v>Fri</v>
      </c>
      <c r="B323" s="147">
        <f>IF(SUMIFS(CashFlow!$C$16:$C$40,CashFlow!$D$16:$D$40,CashFlowCalcs!$E323)&gt;0,SUMIFS(CashFlow!$C$16:$C$40,CashFlow!$D$16:$D$40,CashFlowCalcs!$E323),B322)</f>
        <v>10</v>
      </c>
      <c r="C323" s="147" t="str">
        <f t="shared" si="83"/>
        <v>N</v>
      </c>
      <c r="D323" s="80">
        <f t="shared" si="88"/>
        <v>210</v>
      </c>
      <c r="E323" s="81">
        <f t="shared" si="97"/>
        <v>44673</v>
      </c>
      <c r="F323" s="80">
        <f t="shared" si="90"/>
        <v>-1.7573964497041419</v>
      </c>
      <c r="G323" s="119">
        <f t="shared" si="84"/>
        <v>8.5165430403583903E-2</v>
      </c>
      <c r="H323" s="125">
        <f t="shared" si="91"/>
        <v>44673</v>
      </c>
      <c r="I323" s="82">
        <f t="shared" si="79"/>
        <v>0.21349302531582492</v>
      </c>
      <c r="J323" s="126">
        <f t="shared" si="85"/>
        <v>1947018.8716160543</v>
      </c>
      <c r="K323" s="139">
        <f t="shared" si="80"/>
        <v>0</v>
      </c>
      <c r="L323" s="83">
        <f t="shared" si="78"/>
        <v>1947018.8716160543</v>
      </c>
      <c r="M323" s="80">
        <f t="shared" si="86"/>
        <v>210</v>
      </c>
      <c r="N323" s="157">
        <f t="shared" si="94"/>
        <v>0</v>
      </c>
      <c r="O323" s="140">
        <f t="shared" si="81"/>
        <v>0</v>
      </c>
      <c r="P323" s="149">
        <v>0</v>
      </c>
      <c r="Q323" s="163">
        <f t="shared" si="87"/>
        <v>210</v>
      </c>
      <c r="R323" s="150">
        <f t="shared" si="82"/>
        <v>0</v>
      </c>
      <c r="S323" s="164">
        <f t="shared" si="96"/>
        <v>9119824.2599999998</v>
      </c>
    </row>
    <row r="324" spans="1:19" x14ac:dyDescent="0.25">
      <c r="A324" s="80" t="str">
        <f t="shared" si="92"/>
        <v>Sat</v>
      </c>
      <c r="B324" s="147">
        <f>IF(SUMIFS(CashFlow!$C$16:$C$40,CashFlow!$D$16:$D$40,CashFlowCalcs!$E324)&gt;0,SUMIFS(CashFlow!$C$16:$C$40,CashFlow!$D$16:$D$40,CashFlowCalcs!$E324),B323)</f>
        <v>10</v>
      </c>
      <c r="C324" s="147" t="str">
        <f t="shared" si="83"/>
        <v>Y</v>
      </c>
      <c r="D324" s="80">
        <f t="shared" si="88"/>
        <v>210</v>
      </c>
      <c r="E324" s="81">
        <f t="shared" ref="E324:E339" si="98">E323+1</f>
        <v>44674</v>
      </c>
      <c r="F324" s="80">
        <f t="shared" si="90"/>
        <v>-1.7573964497041419</v>
      </c>
      <c r="G324" s="119">
        <f t="shared" si="84"/>
        <v>8.5165430403583903E-2</v>
      </c>
      <c r="H324" s="125">
        <f t="shared" si="91"/>
        <v>44674</v>
      </c>
      <c r="I324" s="82">
        <f t="shared" si="79"/>
        <v>0.21349302531582492</v>
      </c>
      <c r="J324" s="126">
        <f t="shared" si="85"/>
        <v>1947018.8716160543</v>
      </c>
      <c r="K324" s="139">
        <f t="shared" si="80"/>
        <v>0</v>
      </c>
      <c r="L324" s="83">
        <f t="shared" si="78"/>
        <v>1947018.8716160543</v>
      </c>
      <c r="M324" s="80">
        <f t="shared" si="86"/>
        <v>210</v>
      </c>
      <c r="N324" s="157">
        <f t="shared" si="94"/>
        <v>0</v>
      </c>
      <c r="O324" s="140">
        <f t="shared" si="81"/>
        <v>0</v>
      </c>
      <c r="P324" s="149">
        <v>0</v>
      </c>
      <c r="Q324" s="163">
        <f t="shared" si="87"/>
        <v>210</v>
      </c>
      <c r="R324" s="150">
        <f t="shared" si="82"/>
        <v>0</v>
      </c>
      <c r="S324" s="164">
        <f t="shared" si="96"/>
        <v>9119824.2599999998</v>
      </c>
    </row>
    <row r="325" spans="1:19" x14ac:dyDescent="0.25">
      <c r="A325" s="80" t="str">
        <f t="shared" si="92"/>
        <v>Sun</v>
      </c>
      <c r="B325" s="147">
        <f>IF(SUMIFS(CashFlow!$C$16:$C$40,CashFlow!$D$16:$D$40,CashFlowCalcs!$E325)&gt;0,SUMIFS(CashFlow!$C$16:$C$40,CashFlow!$D$16:$D$40,CashFlowCalcs!$E325),B324)</f>
        <v>10</v>
      </c>
      <c r="C325" s="147" t="str">
        <f t="shared" si="83"/>
        <v>Y</v>
      </c>
      <c r="D325" s="80">
        <f t="shared" si="88"/>
        <v>210</v>
      </c>
      <c r="E325" s="81">
        <f t="shared" si="98"/>
        <v>44675</v>
      </c>
      <c r="F325" s="80">
        <f t="shared" si="90"/>
        <v>-1.7573964497041419</v>
      </c>
      <c r="G325" s="119">
        <f t="shared" si="84"/>
        <v>8.5165430403583903E-2</v>
      </c>
      <c r="H325" s="125">
        <f t="shared" si="91"/>
        <v>44675</v>
      </c>
      <c r="I325" s="82">
        <f t="shared" si="79"/>
        <v>0.21349302531582492</v>
      </c>
      <c r="J325" s="126">
        <f t="shared" si="85"/>
        <v>1947018.8716160543</v>
      </c>
      <c r="K325" s="139">
        <f t="shared" si="80"/>
        <v>0</v>
      </c>
      <c r="L325" s="83">
        <f t="shared" si="78"/>
        <v>1947018.8716160543</v>
      </c>
      <c r="M325" s="80">
        <f t="shared" si="86"/>
        <v>210</v>
      </c>
      <c r="N325" s="157">
        <f t="shared" si="94"/>
        <v>0</v>
      </c>
      <c r="O325" s="140">
        <f t="shared" si="81"/>
        <v>0</v>
      </c>
      <c r="P325" s="149">
        <v>0</v>
      </c>
      <c r="Q325" s="163">
        <f t="shared" si="87"/>
        <v>210</v>
      </c>
      <c r="R325" s="150">
        <f t="shared" si="82"/>
        <v>0</v>
      </c>
      <c r="S325" s="164">
        <f t="shared" si="96"/>
        <v>9119824.2599999998</v>
      </c>
    </row>
    <row r="326" spans="1:19" x14ac:dyDescent="0.25">
      <c r="A326" s="80" t="str">
        <f t="shared" si="92"/>
        <v>Mon</v>
      </c>
      <c r="B326" s="147">
        <f>IF(SUMIFS(CashFlow!$C$16:$C$40,CashFlow!$D$16:$D$40,CashFlowCalcs!$E326)&gt;0,SUMIFS(CashFlow!$C$16:$C$40,CashFlow!$D$16:$D$40,CashFlowCalcs!$E326),B325)</f>
        <v>10</v>
      </c>
      <c r="C326" s="147" t="str">
        <f t="shared" si="83"/>
        <v>N</v>
      </c>
      <c r="D326" s="80">
        <f t="shared" si="88"/>
        <v>211</v>
      </c>
      <c r="E326" s="81">
        <f t="shared" si="98"/>
        <v>44676</v>
      </c>
      <c r="F326" s="80">
        <f t="shared" si="90"/>
        <v>-1.7514792899408285</v>
      </c>
      <c r="G326" s="119">
        <f t="shared" si="84"/>
        <v>8.6054162474623358E-2</v>
      </c>
      <c r="H326" s="125">
        <f t="shared" si="91"/>
        <v>44676</v>
      </c>
      <c r="I326" s="82">
        <f t="shared" si="79"/>
        <v>0.21572090225653051</v>
      </c>
      <c r="J326" s="126">
        <f t="shared" si="85"/>
        <v>1967336.7177881957</v>
      </c>
      <c r="K326" s="139">
        <f t="shared" si="80"/>
        <v>0</v>
      </c>
      <c r="L326" s="83">
        <f t="shared" si="78"/>
        <v>1967336.7177881957</v>
      </c>
      <c r="M326" s="80">
        <f t="shared" si="86"/>
        <v>211</v>
      </c>
      <c r="N326" s="157">
        <f t="shared" si="94"/>
        <v>0</v>
      </c>
      <c r="O326" s="140">
        <f t="shared" si="81"/>
        <v>0</v>
      </c>
      <c r="P326" s="149">
        <v>0</v>
      </c>
      <c r="Q326" s="163">
        <f t="shared" si="87"/>
        <v>211</v>
      </c>
      <c r="R326" s="150">
        <f t="shared" si="82"/>
        <v>0</v>
      </c>
      <c r="S326" s="164">
        <f t="shared" si="96"/>
        <v>9119824.2599999998</v>
      </c>
    </row>
    <row r="327" spans="1:19" x14ac:dyDescent="0.25">
      <c r="A327" s="80" t="str">
        <f t="shared" si="92"/>
        <v>Tues</v>
      </c>
      <c r="B327" s="147">
        <f>IF(SUMIFS(CashFlow!$C$16:$C$40,CashFlow!$D$16:$D$40,CashFlowCalcs!$E327)&gt;0,SUMIFS(CashFlow!$C$16:$C$40,CashFlow!$D$16:$D$40,CashFlowCalcs!$E327),B326)</f>
        <v>10</v>
      </c>
      <c r="C327" s="147" t="str">
        <f t="shared" si="83"/>
        <v>N</v>
      </c>
      <c r="D327" s="80">
        <f t="shared" si="88"/>
        <v>212</v>
      </c>
      <c r="E327" s="81">
        <f t="shared" si="98"/>
        <v>44677</v>
      </c>
      <c r="F327" s="80">
        <f t="shared" si="90"/>
        <v>-1.7455621301775146</v>
      </c>
      <c r="G327" s="119">
        <f t="shared" si="84"/>
        <v>8.6949124402452588E-2</v>
      </c>
      <c r="H327" s="125">
        <f t="shared" si="91"/>
        <v>44677</v>
      </c>
      <c r="I327" s="82">
        <f t="shared" si="79"/>
        <v>0.21796439622596514</v>
      </c>
      <c r="J327" s="126">
        <f t="shared" si="85"/>
        <v>1987796.9885178092</v>
      </c>
      <c r="K327" s="139">
        <f t="shared" si="80"/>
        <v>0</v>
      </c>
      <c r="L327" s="83">
        <f t="shared" si="78"/>
        <v>1987796.9885178092</v>
      </c>
      <c r="M327" s="80">
        <f t="shared" si="86"/>
        <v>212</v>
      </c>
      <c r="N327" s="157">
        <f t="shared" si="94"/>
        <v>0</v>
      </c>
      <c r="O327" s="140">
        <f t="shared" si="81"/>
        <v>0</v>
      </c>
      <c r="P327" s="149">
        <v>0</v>
      </c>
      <c r="Q327" s="163">
        <f t="shared" si="87"/>
        <v>212</v>
      </c>
      <c r="R327" s="150">
        <f t="shared" si="82"/>
        <v>0</v>
      </c>
      <c r="S327" s="164">
        <f t="shared" si="96"/>
        <v>9119824.2599999998</v>
      </c>
    </row>
    <row r="328" spans="1:19" x14ac:dyDescent="0.25">
      <c r="A328" s="80" t="str">
        <f t="shared" si="92"/>
        <v>Wed</v>
      </c>
      <c r="B328" s="147">
        <f>IF(SUMIFS(CashFlow!$C$16:$C$40,CashFlow!$D$16:$D$40,CashFlowCalcs!$E328)&gt;0,SUMIFS(CashFlow!$C$16:$C$40,CashFlow!$D$16:$D$40,CashFlowCalcs!$E328),B327)</f>
        <v>10</v>
      </c>
      <c r="C328" s="147" t="str">
        <f t="shared" si="83"/>
        <v>N</v>
      </c>
      <c r="D328" s="80">
        <f t="shared" si="88"/>
        <v>213</v>
      </c>
      <c r="E328" s="81">
        <f t="shared" si="98"/>
        <v>44678</v>
      </c>
      <c r="F328" s="80">
        <f t="shared" si="90"/>
        <v>-1.7396449704142012</v>
      </c>
      <c r="G328" s="119">
        <f t="shared" si="84"/>
        <v>8.7850317982492127E-2</v>
      </c>
      <c r="H328" s="125">
        <f t="shared" si="91"/>
        <v>44678</v>
      </c>
      <c r="I328" s="82">
        <f t="shared" si="79"/>
        <v>0.22022351172489585</v>
      </c>
      <c r="J328" s="126">
        <f t="shared" si="85"/>
        <v>2008399.7248510995</v>
      </c>
      <c r="K328" s="139">
        <f t="shared" si="80"/>
        <v>0</v>
      </c>
      <c r="L328" s="83">
        <f t="shared" si="78"/>
        <v>2008399.7248510995</v>
      </c>
      <c r="M328" s="80">
        <f t="shared" si="86"/>
        <v>213</v>
      </c>
      <c r="N328" s="157">
        <f t="shared" si="94"/>
        <v>0</v>
      </c>
      <c r="O328" s="140">
        <f t="shared" si="81"/>
        <v>0</v>
      </c>
      <c r="P328" s="149">
        <v>0</v>
      </c>
      <c r="Q328" s="163">
        <f t="shared" si="87"/>
        <v>213</v>
      </c>
      <c r="R328" s="150">
        <f t="shared" si="82"/>
        <v>0</v>
      </c>
      <c r="S328" s="164">
        <f t="shared" si="96"/>
        <v>9119824.2599999998</v>
      </c>
    </row>
    <row r="329" spans="1:19" x14ac:dyDescent="0.25">
      <c r="A329" s="80" t="str">
        <f t="shared" si="92"/>
        <v>Thu</v>
      </c>
      <c r="B329" s="147">
        <f>IF(SUMIFS(CashFlow!$C$16:$C$40,CashFlow!$D$16:$D$40,CashFlowCalcs!$E329)&gt;0,SUMIFS(CashFlow!$C$16:$C$40,CashFlow!$D$16:$D$40,CashFlowCalcs!$E329),B328)</f>
        <v>10</v>
      </c>
      <c r="C329" s="147" t="str">
        <f t="shared" si="83"/>
        <v>N</v>
      </c>
      <c r="D329" s="80">
        <f t="shared" si="88"/>
        <v>214</v>
      </c>
      <c r="E329" s="81">
        <f t="shared" si="98"/>
        <v>44679</v>
      </c>
      <c r="F329" s="80">
        <f t="shared" si="90"/>
        <v>-1.7337278106508875</v>
      </c>
      <c r="G329" s="119">
        <f t="shared" si="84"/>
        <v>8.8757744370862174E-2</v>
      </c>
      <c r="H329" s="125">
        <f t="shared" si="91"/>
        <v>44679</v>
      </c>
      <c r="I329" s="82">
        <f t="shared" si="79"/>
        <v>0.22249825165148912</v>
      </c>
      <c r="J329" s="126">
        <f t="shared" si="85"/>
        <v>2029144.9532188354</v>
      </c>
      <c r="K329" s="139">
        <f t="shared" si="80"/>
        <v>0</v>
      </c>
      <c r="L329" s="83">
        <f t="shared" si="78"/>
        <v>2029144.9532188354</v>
      </c>
      <c r="M329" s="80">
        <f t="shared" si="86"/>
        <v>214</v>
      </c>
      <c r="N329" s="157">
        <f t="shared" si="94"/>
        <v>0</v>
      </c>
      <c r="O329" s="140">
        <f t="shared" si="81"/>
        <v>0</v>
      </c>
      <c r="P329" s="149">
        <v>0</v>
      </c>
      <c r="Q329" s="163">
        <f t="shared" si="87"/>
        <v>214</v>
      </c>
      <c r="R329" s="150">
        <f t="shared" si="82"/>
        <v>0</v>
      </c>
      <c r="S329" s="164">
        <f t="shared" si="96"/>
        <v>9119824.2599999998</v>
      </c>
    </row>
    <row r="330" spans="1:19" x14ac:dyDescent="0.25">
      <c r="A330" s="80" t="str">
        <f t="shared" si="92"/>
        <v>Fri</v>
      </c>
      <c r="B330" s="147">
        <f>IF(SUMIFS(CashFlow!$C$16:$C$40,CashFlow!$D$16:$D$40,CashFlowCalcs!$E330)&gt;0,SUMIFS(CashFlow!$C$16:$C$40,CashFlow!$D$16:$D$40,CashFlowCalcs!$E330),B329)</f>
        <v>10</v>
      </c>
      <c r="C330" s="147" t="str">
        <f t="shared" si="83"/>
        <v>N</v>
      </c>
      <c r="D330" s="80">
        <f t="shared" si="88"/>
        <v>215</v>
      </c>
      <c r="E330" s="81">
        <f t="shared" si="98"/>
        <v>44680</v>
      </c>
      <c r="F330" s="80">
        <f t="shared" si="90"/>
        <v>-1.7278106508875739</v>
      </c>
      <c r="G330" s="119">
        <f t="shared" si="84"/>
        <v>8.9671404077593386E-2</v>
      </c>
      <c r="H330" s="125">
        <f t="shared" si="91"/>
        <v>44680</v>
      </c>
      <c r="I330" s="82">
        <f t="shared" si="79"/>
        <v>0.22478861728429181</v>
      </c>
      <c r="J330" s="126">
        <f t="shared" si="85"/>
        <v>2050032.6852811398</v>
      </c>
      <c r="K330" s="139">
        <f t="shared" si="80"/>
        <v>0</v>
      </c>
      <c r="L330" s="83">
        <f t="shared" si="78"/>
        <v>2050032.6852811398</v>
      </c>
      <c r="M330" s="80">
        <f t="shared" si="86"/>
        <v>215</v>
      </c>
      <c r="N330" s="157">
        <f t="shared" si="94"/>
        <v>0</v>
      </c>
      <c r="O330" s="140">
        <f t="shared" si="81"/>
        <v>0</v>
      </c>
      <c r="P330" s="149">
        <v>0</v>
      </c>
      <c r="Q330" s="163">
        <f t="shared" si="87"/>
        <v>215</v>
      </c>
      <c r="R330" s="150">
        <f t="shared" si="82"/>
        <v>0</v>
      </c>
      <c r="S330" s="164">
        <f t="shared" si="96"/>
        <v>9119824.2599999998</v>
      </c>
    </row>
    <row r="331" spans="1:19" x14ac:dyDescent="0.25">
      <c r="A331" s="80" t="str">
        <f t="shared" si="92"/>
        <v>Sat</v>
      </c>
      <c r="B331" s="147">
        <f>IF(SUMIFS(CashFlow!$C$16:$C$40,CashFlow!$D$16:$D$40,CashFlowCalcs!$E331)&gt;0,SUMIFS(CashFlow!$C$16:$C$40,CashFlow!$D$16:$D$40,CashFlowCalcs!$E331),B330)</f>
        <v>10</v>
      </c>
      <c r="C331" s="147" t="str">
        <f t="shared" si="83"/>
        <v>Y</v>
      </c>
      <c r="D331" s="80">
        <f t="shared" si="88"/>
        <v>215</v>
      </c>
      <c r="E331" s="81">
        <f t="shared" si="98"/>
        <v>44681</v>
      </c>
      <c r="F331" s="80">
        <f t="shared" si="90"/>
        <v>-1.7278106508875739</v>
      </c>
      <c r="G331" s="119">
        <f t="shared" si="84"/>
        <v>8.9671404077593386E-2</v>
      </c>
      <c r="H331" s="125">
        <f t="shared" si="91"/>
        <v>44681</v>
      </c>
      <c r="I331" s="82">
        <f t="shared" si="79"/>
        <v>0.22478861728429181</v>
      </c>
      <c r="J331" s="126">
        <f t="shared" si="85"/>
        <v>2050032.6852811398</v>
      </c>
      <c r="K331" s="139">
        <f t="shared" si="80"/>
        <v>0</v>
      </c>
      <c r="L331" s="83">
        <f t="shared" si="78"/>
        <v>2050032.6852811398</v>
      </c>
      <c r="M331" s="80">
        <f t="shared" si="86"/>
        <v>215</v>
      </c>
      <c r="N331" s="157">
        <f t="shared" si="94"/>
        <v>0</v>
      </c>
      <c r="O331" s="140">
        <f t="shared" si="81"/>
        <v>0</v>
      </c>
      <c r="P331" s="149">
        <v>0</v>
      </c>
      <c r="Q331" s="163">
        <f t="shared" si="87"/>
        <v>215</v>
      </c>
      <c r="R331" s="150">
        <f t="shared" si="82"/>
        <v>0</v>
      </c>
      <c r="S331" s="164">
        <f t="shared" si="96"/>
        <v>9119824.2599999998</v>
      </c>
    </row>
    <row r="332" spans="1:19" x14ac:dyDescent="0.25">
      <c r="A332" s="80" t="str">
        <f t="shared" si="92"/>
        <v>Sun</v>
      </c>
      <c r="B332" s="147">
        <f>IF(SUMIFS(CashFlow!$C$16:$C$40,CashFlow!$D$16:$D$40,CashFlowCalcs!$E332)&gt;0,SUMIFS(CashFlow!$C$16:$C$40,CashFlow!$D$16:$D$40,CashFlowCalcs!$E332),B331)</f>
        <v>10</v>
      </c>
      <c r="C332" s="147" t="str">
        <f t="shared" si="83"/>
        <v>Y</v>
      </c>
      <c r="D332" s="80">
        <f t="shared" si="88"/>
        <v>215</v>
      </c>
      <c r="E332" s="81">
        <f t="shared" si="98"/>
        <v>44682</v>
      </c>
      <c r="F332" s="80">
        <f t="shared" si="90"/>
        <v>-1.7278106508875739</v>
      </c>
      <c r="G332" s="119">
        <f t="shared" si="84"/>
        <v>8.9671404077593386E-2</v>
      </c>
      <c r="H332" s="125">
        <f t="shared" si="91"/>
        <v>44682</v>
      </c>
      <c r="I332" s="82">
        <f t="shared" si="79"/>
        <v>0.22478861728429181</v>
      </c>
      <c r="J332" s="126">
        <f t="shared" si="85"/>
        <v>2050032.6852811398</v>
      </c>
      <c r="K332" s="139">
        <f t="shared" si="80"/>
        <v>0</v>
      </c>
      <c r="L332" s="83">
        <f t="shared" ref="L332:L395" si="99">IF(AND(E332&gt;=$H$3,P332=0,E332&lt;=$I$1),J332+K332,0)</f>
        <v>2050032.6852811398</v>
      </c>
      <c r="M332" s="80">
        <f t="shared" si="86"/>
        <v>215</v>
      </c>
      <c r="N332" s="157">
        <f t="shared" si="94"/>
        <v>0</v>
      </c>
      <c r="O332" s="140">
        <f t="shared" si="81"/>
        <v>0</v>
      </c>
      <c r="P332" s="149">
        <v>0</v>
      </c>
      <c r="Q332" s="163">
        <f t="shared" si="87"/>
        <v>215</v>
      </c>
      <c r="R332" s="150">
        <f t="shared" si="82"/>
        <v>0</v>
      </c>
      <c r="S332" s="164">
        <f t="shared" si="96"/>
        <v>9119824.2599999998</v>
      </c>
    </row>
    <row r="333" spans="1:19" x14ac:dyDescent="0.25">
      <c r="A333" s="80" t="str">
        <f t="shared" si="92"/>
        <v>Mon</v>
      </c>
      <c r="B333" s="147">
        <f>IF(SUMIFS(CashFlow!$C$16:$C$40,CashFlow!$D$16:$D$40,CashFlowCalcs!$E333)&gt;0,SUMIFS(CashFlow!$C$16:$C$40,CashFlow!$D$16:$D$40,CashFlowCalcs!$E333),B332)</f>
        <v>10</v>
      </c>
      <c r="C333" s="147" t="str">
        <f t="shared" si="83"/>
        <v>N</v>
      </c>
      <c r="D333" s="80">
        <f t="shared" si="88"/>
        <v>216</v>
      </c>
      <c r="E333" s="81">
        <f t="shared" si="98"/>
        <v>44683</v>
      </c>
      <c r="F333" s="80">
        <f t="shared" si="90"/>
        <v>-1.7218934911242603</v>
      </c>
      <c r="G333" s="119">
        <f t="shared" si="84"/>
        <v>9.0591296959881856E-2</v>
      </c>
      <c r="H333" s="125">
        <f t="shared" si="91"/>
        <v>44683</v>
      </c>
      <c r="I333" s="82">
        <f t="shared" si="79"/>
        <v>0.22709460826532246</v>
      </c>
      <c r="J333" s="126">
        <f t="shared" si="85"/>
        <v>2071062.9177732843</v>
      </c>
      <c r="K333" s="139">
        <f t="shared" si="80"/>
        <v>0</v>
      </c>
      <c r="L333" s="83">
        <f t="shared" si="99"/>
        <v>2071062.9177732843</v>
      </c>
      <c r="M333" s="80">
        <f t="shared" si="86"/>
        <v>216</v>
      </c>
      <c r="N333" s="157">
        <f t="shared" si="94"/>
        <v>0</v>
      </c>
      <c r="O333" s="140">
        <f t="shared" si="81"/>
        <v>0</v>
      </c>
      <c r="P333" s="149">
        <v>0</v>
      </c>
      <c r="Q333" s="163">
        <f t="shared" si="87"/>
        <v>216</v>
      </c>
      <c r="R333" s="150">
        <f t="shared" si="82"/>
        <v>0</v>
      </c>
      <c r="S333" s="164">
        <f t="shared" si="96"/>
        <v>9119824.2599999998</v>
      </c>
    </row>
    <row r="334" spans="1:19" x14ac:dyDescent="0.25">
      <c r="A334" s="80" t="str">
        <f t="shared" si="92"/>
        <v>Tues</v>
      </c>
      <c r="B334" s="147">
        <f>IF(SUMIFS(CashFlow!$C$16:$C$40,CashFlow!$D$16:$D$40,CashFlowCalcs!$E334)&gt;0,SUMIFS(CashFlow!$C$16:$C$40,CashFlow!$D$16:$D$40,CashFlowCalcs!$E334),B333)</f>
        <v>10</v>
      </c>
      <c r="C334" s="147" t="str">
        <f t="shared" si="83"/>
        <v>N</v>
      </c>
      <c r="D334" s="80">
        <f t="shared" si="88"/>
        <v>217</v>
      </c>
      <c r="E334" s="81">
        <f t="shared" si="98"/>
        <v>44684</v>
      </c>
      <c r="F334" s="80">
        <f t="shared" si="90"/>
        <v>-1.7159763313609466</v>
      </c>
      <c r="G334" s="119">
        <f t="shared" si="84"/>
        <v>9.1517422215388902E-2</v>
      </c>
      <c r="H334" s="125">
        <f t="shared" si="91"/>
        <v>44684</v>
      </c>
      <c r="I334" s="82">
        <f t="shared" si="79"/>
        <v>0.22941622258327546</v>
      </c>
      <c r="J334" s="126">
        <f t="shared" si="85"/>
        <v>2092235.6323525154</v>
      </c>
      <c r="K334" s="139">
        <f t="shared" si="80"/>
        <v>0</v>
      </c>
      <c r="L334" s="83">
        <f t="shared" si="99"/>
        <v>2092235.6323525154</v>
      </c>
      <c r="M334" s="80">
        <f t="shared" si="86"/>
        <v>217</v>
      </c>
      <c r="N334" s="157">
        <f t="shared" si="94"/>
        <v>0</v>
      </c>
      <c r="O334" s="140">
        <f t="shared" si="81"/>
        <v>0</v>
      </c>
      <c r="P334" s="149">
        <v>0</v>
      </c>
      <c r="Q334" s="163">
        <f t="shared" si="87"/>
        <v>217</v>
      </c>
      <c r="R334" s="150">
        <f t="shared" si="82"/>
        <v>0</v>
      </c>
      <c r="S334" s="164">
        <f t="shared" si="96"/>
        <v>9119824.2599999998</v>
      </c>
    </row>
    <row r="335" spans="1:19" x14ac:dyDescent="0.25">
      <c r="A335" s="80" t="str">
        <f t="shared" si="92"/>
        <v>Wed</v>
      </c>
      <c r="B335" s="147">
        <f>IF(SUMIFS(CashFlow!$C$16:$C$40,CashFlow!$D$16:$D$40,CashFlowCalcs!$E335)&gt;0,SUMIFS(CashFlow!$C$16:$C$40,CashFlow!$D$16:$D$40,CashFlowCalcs!$E335),B334)</f>
        <v>10</v>
      </c>
      <c r="C335" s="147" t="str">
        <f t="shared" si="83"/>
        <v>N</v>
      </c>
      <c r="D335" s="80">
        <f t="shared" si="88"/>
        <v>218</v>
      </c>
      <c r="E335" s="81">
        <f t="shared" si="98"/>
        <v>44685</v>
      </c>
      <c r="F335" s="80">
        <f t="shared" si="90"/>
        <v>-1.7100591715976332</v>
      </c>
      <c r="G335" s="119">
        <f t="shared" si="84"/>
        <v>9.2449778375588404E-2</v>
      </c>
      <c r="H335" s="125">
        <f t="shared" si="91"/>
        <v>44685</v>
      </c>
      <c r="I335" s="82">
        <f t="shared" si="79"/>
        <v>0.23175345655684393</v>
      </c>
      <c r="J335" s="126">
        <f t="shared" si="85"/>
        <v>2113550.7954459614</v>
      </c>
      <c r="K335" s="139">
        <f t="shared" si="80"/>
        <v>0</v>
      </c>
      <c r="L335" s="83">
        <f t="shared" si="99"/>
        <v>2113550.7954459614</v>
      </c>
      <c r="M335" s="80">
        <f t="shared" si="86"/>
        <v>218</v>
      </c>
      <c r="N335" s="157">
        <f t="shared" si="94"/>
        <v>0</v>
      </c>
      <c r="O335" s="140">
        <f t="shared" si="81"/>
        <v>0</v>
      </c>
      <c r="P335" s="149">
        <v>0</v>
      </c>
      <c r="Q335" s="163">
        <f t="shared" si="87"/>
        <v>218</v>
      </c>
      <c r="R335" s="150">
        <f t="shared" si="82"/>
        <v>0</v>
      </c>
      <c r="S335" s="164">
        <f t="shared" si="96"/>
        <v>9119824.2599999998</v>
      </c>
    </row>
    <row r="336" spans="1:19" x14ac:dyDescent="0.25">
      <c r="A336" s="80" t="str">
        <f t="shared" si="92"/>
        <v>Thu</v>
      </c>
      <c r="B336" s="147">
        <f>IF(SUMIFS(CashFlow!$C$16:$C$40,CashFlow!$D$16:$D$40,CashFlowCalcs!$E336)&gt;0,SUMIFS(CashFlow!$C$16:$C$40,CashFlow!$D$16:$D$40,CashFlowCalcs!$E336),B335)</f>
        <v>10</v>
      </c>
      <c r="C336" s="147" t="str">
        <f t="shared" si="83"/>
        <v>N</v>
      </c>
      <c r="D336" s="80">
        <f t="shared" si="88"/>
        <v>219</v>
      </c>
      <c r="E336" s="81">
        <f t="shared" si="98"/>
        <v>44686</v>
      </c>
      <c r="F336" s="80">
        <f t="shared" si="90"/>
        <v>-1.7041420118343196</v>
      </c>
      <c r="G336" s="119">
        <f t="shared" si="84"/>
        <v>9.3388363299162988E-2</v>
      </c>
      <c r="H336" s="125">
        <f t="shared" si="91"/>
        <v>44686</v>
      </c>
      <c r="I336" s="82">
        <f t="shared" si="79"/>
        <v>0.23410630481816533</v>
      </c>
      <c r="J336" s="126">
        <f t="shared" si="85"/>
        <v>2135008.358099659</v>
      </c>
      <c r="K336" s="139">
        <f t="shared" si="80"/>
        <v>0</v>
      </c>
      <c r="L336" s="83">
        <f t="shared" si="99"/>
        <v>2135008.358099659</v>
      </c>
      <c r="M336" s="80">
        <f t="shared" si="86"/>
        <v>219</v>
      </c>
      <c r="N336" s="157">
        <f t="shared" si="94"/>
        <v>0</v>
      </c>
      <c r="O336" s="140">
        <f t="shared" si="81"/>
        <v>0</v>
      </c>
      <c r="P336" s="149">
        <v>0</v>
      </c>
      <c r="Q336" s="163">
        <f t="shared" si="87"/>
        <v>219</v>
      </c>
      <c r="R336" s="150">
        <f t="shared" si="82"/>
        <v>0</v>
      </c>
      <c r="S336" s="164">
        <f t="shared" si="96"/>
        <v>9119824.2599999998</v>
      </c>
    </row>
    <row r="337" spans="1:19" x14ac:dyDescent="0.25">
      <c r="A337" s="80" t="str">
        <f t="shared" si="92"/>
        <v>Fri</v>
      </c>
      <c r="B337" s="147">
        <f>IF(SUMIFS(CashFlow!$C$16:$C$40,CashFlow!$D$16:$D$40,CashFlowCalcs!$E337)&gt;0,SUMIFS(CashFlow!$C$16:$C$40,CashFlow!$D$16:$D$40,CashFlowCalcs!$E337),B336)</f>
        <v>10</v>
      </c>
      <c r="C337" s="147" t="str">
        <f t="shared" si="83"/>
        <v>N</v>
      </c>
      <c r="D337" s="80">
        <f t="shared" si="88"/>
        <v>220</v>
      </c>
      <c r="E337" s="81">
        <f t="shared" si="98"/>
        <v>44687</v>
      </c>
      <c r="F337" s="80">
        <f t="shared" si="90"/>
        <v>-1.6982248520710059</v>
      </c>
      <c r="G337" s="119">
        <f t="shared" si="84"/>
        <v>9.4333174165451367E-2</v>
      </c>
      <c r="H337" s="125">
        <f t="shared" si="91"/>
        <v>44687</v>
      </c>
      <c r="I337" s="82">
        <f t="shared" si="79"/>
        <v>0.23647476029639519</v>
      </c>
      <c r="J337" s="126">
        <f t="shared" si="85"/>
        <v>2156608.2558287494</v>
      </c>
      <c r="K337" s="139">
        <f t="shared" si="80"/>
        <v>0</v>
      </c>
      <c r="L337" s="83">
        <f t="shared" si="99"/>
        <v>2156608.2558287494</v>
      </c>
      <c r="M337" s="80">
        <f t="shared" si="86"/>
        <v>220</v>
      </c>
      <c r="N337" s="157">
        <f t="shared" si="94"/>
        <v>0</v>
      </c>
      <c r="O337" s="140">
        <f t="shared" si="81"/>
        <v>0</v>
      </c>
      <c r="P337" s="149">
        <v>0</v>
      </c>
      <c r="Q337" s="163">
        <f t="shared" si="87"/>
        <v>220</v>
      </c>
      <c r="R337" s="150">
        <f t="shared" si="82"/>
        <v>0</v>
      </c>
      <c r="S337" s="164">
        <f t="shared" si="96"/>
        <v>9119824.2599999998</v>
      </c>
    </row>
    <row r="338" spans="1:19" x14ac:dyDescent="0.25">
      <c r="A338" s="80" t="str">
        <f t="shared" si="92"/>
        <v>Sat</v>
      </c>
      <c r="B338" s="147">
        <f>IF(SUMIFS(CashFlow!$C$16:$C$40,CashFlow!$D$16:$D$40,CashFlowCalcs!$E338)&gt;0,SUMIFS(CashFlow!$C$16:$C$40,CashFlow!$D$16:$D$40,CashFlowCalcs!$E338),B337)</f>
        <v>10</v>
      </c>
      <c r="C338" s="147" t="str">
        <f t="shared" si="83"/>
        <v>Y</v>
      </c>
      <c r="D338" s="80">
        <f t="shared" si="88"/>
        <v>220</v>
      </c>
      <c r="E338" s="81">
        <f t="shared" si="98"/>
        <v>44688</v>
      </c>
      <c r="F338" s="80">
        <f t="shared" si="90"/>
        <v>-1.6982248520710059</v>
      </c>
      <c r="G338" s="119">
        <f t="shared" si="84"/>
        <v>9.4333174165451367E-2</v>
      </c>
      <c r="H338" s="125">
        <f t="shared" si="91"/>
        <v>44688</v>
      </c>
      <c r="I338" s="82">
        <f t="shared" ref="I338:I401" si="100">G338/VLOOKUP($J$5,$D$18:$G$750,4)</f>
        <v>0.23647476029639519</v>
      </c>
      <c r="J338" s="126">
        <f t="shared" si="85"/>
        <v>2156608.2558287494</v>
      </c>
      <c r="K338" s="139">
        <f t="shared" ref="K338:K401" si="101">N338*O338</f>
        <v>0</v>
      </c>
      <c r="L338" s="83">
        <f t="shared" si="99"/>
        <v>2156608.2558287494</v>
      </c>
      <c r="M338" s="80">
        <f t="shared" si="86"/>
        <v>220</v>
      </c>
      <c r="N338" s="157">
        <f t="shared" si="94"/>
        <v>0</v>
      </c>
      <c r="O338" s="140">
        <f t="shared" ref="O338:O401" si="102">IF(E338&lt;$J$6,0,IF(E338&gt;=$I$1,0,($J$5-D338)/($J$5-VLOOKUP($J$6,$H$17:$M$750,6))))</f>
        <v>0</v>
      </c>
      <c r="P338" s="149">
        <v>0</v>
      </c>
      <c r="Q338" s="163">
        <f t="shared" si="87"/>
        <v>220</v>
      </c>
      <c r="R338" s="150">
        <f t="shared" ref="R338:R401" si="103">IF(OR(E338&lt;$J$6+1,E338&gt;$I$1),0,1)</f>
        <v>0</v>
      </c>
      <c r="S338" s="164">
        <f t="shared" si="96"/>
        <v>9119824.2599999998</v>
      </c>
    </row>
    <row r="339" spans="1:19" x14ac:dyDescent="0.25">
      <c r="A339" s="80" t="str">
        <f t="shared" si="92"/>
        <v>Sun</v>
      </c>
      <c r="B339" s="147">
        <f>IF(SUMIFS(CashFlow!$C$16:$C$40,CashFlow!$D$16:$D$40,CashFlowCalcs!$E339)&gt;0,SUMIFS(CashFlow!$C$16:$C$40,CashFlow!$D$16:$D$40,CashFlowCalcs!$E339),B338)</f>
        <v>10</v>
      </c>
      <c r="C339" s="147" t="str">
        <f t="shared" ref="C339:C402" si="104">IF(LEFT(A339,1)="S","Y","N")</f>
        <v>Y</v>
      </c>
      <c r="D339" s="80">
        <f t="shared" si="88"/>
        <v>220</v>
      </c>
      <c r="E339" s="81">
        <f t="shared" si="98"/>
        <v>44689</v>
      </c>
      <c r="F339" s="80">
        <f t="shared" si="90"/>
        <v>-1.6982248520710059</v>
      </c>
      <c r="G339" s="119">
        <f t="shared" ref="G339:G402" si="105">NORMDIST(F339,0,1,0)</f>
        <v>9.4333174165451367E-2</v>
      </c>
      <c r="H339" s="125">
        <f t="shared" si="91"/>
        <v>44689</v>
      </c>
      <c r="I339" s="82">
        <f t="shared" si="100"/>
        <v>0.23647476029639519</v>
      </c>
      <c r="J339" s="126">
        <f t="shared" ref="J339:J402" si="106">(I339*$G$8)+$G$7</f>
        <v>2156608.2558287494</v>
      </c>
      <c r="K339" s="139">
        <f t="shared" si="101"/>
        <v>0</v>
      </c>
      <c r="L339" s="83">
        <f t="shared" si="99"/>
        <v>2156608.2558287494</v>
      </c>
      <c r="M339" s="80">
        <f t="shared" ref="M339:M402" si="107">D339</f>
        <v>220</v>
      </c>
      <c r="N339" s="157">
        <f t="shared" si="94"/>
        <v>0</v>
      </c>
      <c r="O339" s="140">
        <f t="shared" si="102"/>
        <v>0</v>
      </c>
      <c r="P339" s="149">
        <v>0</v>
      </c>
      <c r="Q339" s="163">
        <f t="shared" ref="Q339:Q402" si="108">D339</f>
        <v>220</v>
      </c>
      <c r="R339" s="150">
        <f t="shared" si="103"/>
        <v>0</v>
      </c>
      <c r="S339" s="164">
        <f t="shared" si="96"/>
        <v>9119824.2599999998</v>
      </c>
    </row>
    <row r="340" spans="1:19" x14ac:dyDescent="0.25">
      <c r="A340" s="80" t="str">
        <f t="shared" si="92"/>
        <v>Mon</v>
      </c>
      <c r="B340" s="147">
        <f>IF(SUMIFS(CashFlow!$C$16:$C$40,CashFlow!$D$16:$D$40,CashFlowCalcs!$E340)&gt;0,SUMIFS(CashFlow!$C$16:$C$40,CashFlow!$D$16:$D$40,CashFlowCalcs!$E340),B339)</f>
        <v>10</v>
      </c>
      <c r="C340" s="147" t="str">
        <f t="shared" si="104"/>
        <v>N</v>
      </c>
      <c r="D340" s="80">
        <f t="shared" ref="D340:D403" si="109">IF($C340="N",$D339+1,$D339)</f>
        <v>221</v>
      </c>
      <c r="E340" s="81">
        <f t="shared" ref="E340:E355" si="110">E339+1</f>
        <v>44690</v>
      </c>
      <c r="F340" s="80">
        <f t="shared" ref="F340:F403" si="111">$F$18+((((D340)/($J$5+2)*3)))</f>
        <v>-1.6923076923076923</v>
      </c>
      <c r="G340" s="119">
        <f t="shared" si="105"/>
        <v>9.5284207467948398E-2</v>
      </c>
      <c r="H340" s="125">
        <f t="shared" ref="H340:H403" si="112">H339+1</f>
        <v>44690</v>
      </c>
      <c r="I340" s="82">
        <f t="shared" si="100"/>
        <v>0.23885881420141306</v>
      </c>
      <c r="J340" s="126">
        <f t="shared" si="106"/>
        <v>2178350.4084688793</v>
      </c>
      <c r="K340" s="139">
        <f t="shared" si="101"/>
        <v>0</v>
      </c>
      <c r="L340" s="83">
        <f t="shared" si="99"/>
        <v>2178350.4084688793</v>
      </c>
      <c r="M340" s="80">
        <f t="shared" si="107"/>
        <v>221</v>
      </c>
      <c r="N340" s="157">
        <f t="shared" si="94"/>
        <v>0</v>
      </c>
      <c r="O340" s="140">
        <f t="shared" si="102"/>
        <v>0</v>
      </c>
      <c r="P340" s="149">
        <v>0</v>
      </c>
      <c r="Q340" s="163">
        <f t="shared" si="108"/>
        <v>221</v>
      </c>
      <c r="R340" s="150">
        <f t="shared" si="103"/>
        <v>0</v>
      </c>
      <c r="S340" s="164">
        <f t="shared" si="96"/>
        <v>9119824.2599999998</v>
      </c>
    </row>
    <row r="341" spans="1:19" x14ac:dyDescent="0.25">
      <c r="A341" s="80" t="str">
        <f t="shared" si="92"/>
        <v>Tues</v>
      </c>
      <c r="B341" s="147">
        <f>IF(SUMIFS(CashFlow!$C$16:$C$40,CashFlow!$D$16:$D$40,CashFlowCalcs!$E341)&gt;0,SUMIFS(CashFlow!$C$16:$C$40,CashFlow!$D$16:$D$40,CashFlowCalcs!$E341),B340)</f>
        <v>10</v>
      </c>
      <c r="C341" s="147" t="str">
        <f t="shared" si="104"/>
        <v>N</v>
      </c>
      <c r="D341" s="80">
        <f t="shared" si="109"/>
        <v>222</v>
      </c>
      <c r="E341" s="81">
        <f t="shared" si="110"/>
        <v>44691</v>
      </c>
      <c r="F341" s="80">
        <f t="shared" si="111"/>
        <v>-1.6863905325443787</v>
      </c>
      <c r="G341" s="119">
        <f t="shared" si="105"/>
        <v>9.6241459007860158E-2</v>
      </c>
      <c r="H341" s="125">
        <f t="shared" si="112"/>
        <v>44691</v>
      </c>
      <c r="I341" s="82">
        <f t="shared" si="100"/>
        <v>0.24125845600766632</v>
      </c>
      <c r="J341" s="126">
        <f t="shared" si="106"/>
        <v>2200234.7200288582</v>
      </c>
      <c r="K341" s="139">
        <f t="shared" si="101"/>
        <v>0</v>
      </c>
      <c r="L341" s="83">
        <f t="shared" si="99"/>
        <v>2200234.7200288582</v>
      </c>
      <c r="M341" s="80">
        <f t="shared" si="107"/>
        <v>222</v>
      </c>
      <c r="N341" s="157">
        <f t="shared" si="94"/>
        <v>0</v>
      </c>
      <c r="O341" s="140">
        <f t="shared" si="102"/>
        <v>0</v>
      </c>
      <c r="P341" s="149">
        <v>0</v>
      </c>
      <c r="Q341" s="163">
        <f t="shared" si="108"/>
        <v>222</v>
      </c>
      <c r="R341" s="150">
        <f t="shared" si="103"/>
        <v>0</v>
      </c>
      <c r="S341" s="164">
        <f t="shared" si="96"/>
        <v>9119824.2599999998</v>
      </c>
    </row>
    <row r="342" spans="1:19" x14ac:dyDescent="0.25">
      <c r="A342" s="80" t="str">
        <f t="shared" si="92"/>
        <v>Wed</v>
      </c>
      <c r="B342" s="147">
        <f>IF(SUMIFS(CashFlow!$C$16:$C$40,CashFlow!$D$16:$D$40,CashFlowCalcs!$E342)&gt;0,SUMIFS(CashFlow!$C$16:$C$40,CashFlow!$D$16:$D$40,CashFlowCalcs!$E342),B341)</f>
        <v>10</v>
      </c>
      <c r="C342" s="147" t="str">
        <f t="shared" si="104"/>
        <v>N</v>
      </c>
      <c r="D342" s="80">
        <f t="shared" si="109"/>
        <v>223</v>
      </c>
      <c r="E342" s="81">
        <f t="shared" si="110"/>
        <v>44692</v>
      </c>
      <c r="F342" s="80">
        <f t="shared" si="111"/>
        <v>-1.680473372781065</v>
      </c>
      <c r="G342" s="119">
        <f t="shared" si="105"/>
        <v>9.7204923887715497E-2</v>
      </c>
      <c r="H342" s="125">
        <f t="shared" si="112"/>
        <v>44692</v>
      </c>
      <c r="I342" s="82">
        <f t="shared" si="100"/>
        <v>0.24367367343815569</v>
      </c>
      <c r="J342" s="126">
        <f t="shared" si="106"/>
        <v>2222261.0785446097</v>
      </c>
      <c r="K342" s="139">
        <f t="shared" si="101"/>
        <v>0</v>
      </c>
      <c r="L342" s="83">
        <f t="shared" si="99"/>
        <v>2222261.0785446097</v>
      </c>
      <c r="M342" s="80">
        <f t="shared" si="107"/>
        <v>223</v>
      </c>
      <c r="N342" s="157">
        <f t="shared" si="94"/>
        <v>0</v>
      </c>
      <c r="O342" s="140">
        <f t="shared" si="102"/>
        <v>0</v>
      </c>
      <c r="P342" s="149">
        <v>0</v>
      </c>
      <c r="Q342" s="163">
        <f t="shared" si="108"/>
        <v>223</v>
      </c>
      <c r="R342" s="150">
        <f t="shared" si="103"/>
        <v>0</v>
      </c>
      <c r="S342" s="164">
        <f t="shared" si="96"/>
        <v>9119824.2599999998</v>
      </c>
    </row>
    <row r="343" spans="1:19" x14ac:dyDescent="0.25">
      <c r="A343" s="80" t="str">
        <f t="shared" si="92"/>
        <v>Thu</v>
      </c>
      <c r="B343" s="147">
        <f>IF(SUMIFS(CashFlow!$C$16:$C$40,CashFlow!$D$16:$D$40,CashFlowCalcs!$E343)&gt;0,SUMIFS(CashFlow!$C$16:$C$40,CashFlow!$D$16:$D$40,CashFlowCalcs!$E343),B342)</f>
        <v>10</v>
      </c>
      <c r="C343" s="147" t="str">
        <f t="shared" si="104"/>
        <v>N</v>
      </c>
      <c r="D343" s="80">
        <f t="shared" si="109"/>
        <v>224</v>
      </c>
      <c r="E343" s="81">
        <f t="shared" si="110"/>
        <v>44693</v>
      </c>
      <c r="F343" s="80">
        <f t="shared" si="111"/>
        <v>-1.6745562130177516</v>
      </c>
      <c r="G343" s="119">
        <f t="shared" si="105"/>
        <v>9.8174596505036335E-2</v>
      </c>
      <c r="H343" s="125">
        <f t="shared" si="112"/>
        <v>44693</v>
      </c>
      <c r="I343" s="82">
        <f t="shared" si="100"/>
        <v>0.24610445244856774</v>
      </c>
      <c r="J343" s="126">
        <f t="shared" si="106"/>
        <v>2244429.3559344644</v>
      </c>
      <c r="K343" s="139">
        <f t="shared" si="101"/>
        <v>0</v>
      </c>
      <c r="L343" s="83">
        <f t="shared" si="99"/>
        <v>2244429.3559344644</v>
      </c>
      <c r="M343" s="80">
        <f t="shared" si="107"/>
        <v>224</v>
      </c>
      <c r="N343" s="157">
        <f t="shared" si="94"/>
        <v>0</v>
      </c>
      <c r="O343" s="140">
        <f t="shared" si="102"/>
        <v>0</v>
      </c>
      <c r="P343" s="149">
        <v>0</v>
      </c>
      <c r="Q343" s="163">
        <f t="shared" si="108"/>
        <v>224</v>
      </c>
      <c r="R343" s="150">
        <f t="shared" si="103"/>
        <v>0</v>
      </c>
      <c r="S343" s="164">
        <f t="shared" si="96"/>
        <v>9119824.2599999998</v>
      </c>
    </row>
    <row r="344" spans="1:19" x14ac:dyDescent="0.25">
      <c r="A344" s="80" t="str">
        <f t="shared" si="92"/>
        <v>Fri</v>
      </c>
      <c r="B344" s="147">
        <f>IF(SUMIFS(CashFlow!$C$16:$C$40,CashFlow!$D$16:$D$40,CashFlowCalcs!$E344)&gt;0,SUMIFS(CashFlow!$C$16:$C$40,CashFlow!$D$16:$D$40,CashFlowCalcs!$E344),B343)</f>
        <v>10</v>
      </c>
      <c r="C344" s="147" t="str">
        <f t="shared" si="104"/>
        <v>N</v>
      </c>
      <c r="D344" s="80">
        <f t="shared" si="109"/>
        <v>225</v>
      </c>
      <c r="E344" s="81">
        <f t="shared" si="110"/>
        <v>44694</v>
      </c>
      <c r="F344" s="80">
        <f t="shared" si="111"/>
        <v>-1.668639053254438</v>
      </c>
      <c r="G344" s="119">
        <f t="shared" si="105"/>
        <v>9.9150470546068722E-2</v>
      </c>
      <c r="H344" s="125">
        <f t="shared" si="112"/>
        <v>44694</v>
      </c>
      <c r="I344" s="82">
        <f t="shared" si="100"/>
        <v>0.24855077721156002</v>
      </c>
      <c r="J344" s="126">
        <f t="shared" si="106"/>
        <v>2266739.4078558404</v>
      </c>
      <c r="K344" s="139">
        <f t="shared" si="101"/>
        <v>0</v>
      </c>
      <c r="L344" s="83">
        <f t="shared" si="99"/>
        <v>2266739.4078558404</v>
      </c>
      <c r="M344" s="80">
        <f t="shared" si="107"/>
        <v>225</v>
      </c>
      <c r="N344" s="157">
        <f t="shared" si="94"/>
        <v>0</v>
      </c>
      <c r="O344" s="140">
        <f t="shared" si="102"/>
        <v>0</v>
      </c>
      <c r="P344" s="149">
        <v>0</v>
      </c>
      <c r="Q344" s="163">
        <f t="shared" si="108"/>
        <v>225</v>
      </c>
      <c r="R344" s="150">
        <f t="shared" si="103"/>
        <v>0</v>
      </c>
      <c r="S344" s="164">
        <f t="shared" si="96"/>
        <v>9119824.2599999998</v>
      </c>
    </row>
    <row r="345" spans="1:19" x14ac:dyDescent="0.25">
      <c r="A345" s="80" t="str">
        <f t="shared" si="92"/>
        <v>Sat</v>
      </c>
      <c r="B345" s="147">
        <f>IF(SUMIFS(CashFlow!$C$16:$C$40,CashFlow!$D$16:$D$40,CashFlowCalcs!$E345)&gt;0,SUMIFS(CashFlow!$C$16:$C$40,CashFlow!$D$16:$D$40,CashFlowCalcs!$E345),B344)</f>
        <v>10</v>
      </c>
      <c r="C345" s="147" t="str">
        <f t="shared" si="104"/>
        <v>Y</v>
      </c>
      <c r="D345" s="80">
        <f t="shared" si="109"/>
        <v>225</v>
      </c>
      <c r="E345" s="81">
        <f t="shared" si="110"/>
        <v>44695</v>
      </c>
      <c r="F345" s="80">
        <f t="shared" si="111"/>
        <v>-1.668639053254438</v>
      </c>
      <c r="G345" s="119">
        <f t="shared" si="105"/>
        <v>9.9150470546068722E-2</v>
      </c>
      <c r="H345" s="125">
        <f t="shared" si="112"/>
        <v>44695</v>
      </c>
      <c r="I345" s="82">
        <f t="shared" si="100"/>
        <v>0.24855077721156002</v>
      </c>
      <c r="J345" s="126">
        <f t="shared" si="106"/>
        <v>2266739.4078558404</v>
      </c>
      <c r="K345" s="139">
        <f t="shared" si="101"/>
        <v>0</v>
      </c>
      <c r="L345" s="83">
        <f t="shared" si="99"/>
        <v>2266739.4078558404</v>
      </c>
      <c r="M345" s="80">
        <f t="shared" si="107"/>
        <v>225</v>
      </c>
      <c r="N345" s="157">
        <f t="shared" si="94"/>
        <v>0</v>
      </c>
      <c r="O345" s="140">
        <f t="shared" si="102"/>
        <v>0</v>
      </c>
      <c r="P345" s="149">
        <v>0</v>
      </c>
      <c r="Q345" s="163">
        <f t="shared" si="108"/>
        <v>225</v>
      </c>
      <c r="R345" s="150">
        <f t="shared" si="103"/>
        <v>0</v>
      </c>
      <c r="S345" s="164">
        <f t="shared" si="96"/>
        <v>9119824.2599999998</v>
      </c>
    </row>
    <row r="346" spans="1:19" x14ac:dyDescent="0.25">
      <c r="A346" s="80" t="str">
        <f t="shared" ref="A346:A409" si="113">A339</f>
        <v>Sun</v>
      </c>
      <c r="B346" s="147">
        <f>IF(SUMIFS(CashFlow!$C$16:$C$40,CashFlow!$D$16:$D$40,CashFlowCalcs!$E346)&gt;0,SUMIFS(CashFlow!$C$16:$C$40,CashFlow!$D$16:$D$40,CashFlowCalcs!$E346),B345)</f>
        <v>10</v>
      </c>
      <c r="C346" s="147" t="str">
        <f t="shared" si="104"/>
        <v>Y</v>
      </c>
      <c r="D346" s="80">
        <f t="shared" si="109"/>
        <v>225</v>
      </c>
      <c r="E346" s="81">
        <f t="shared" si="110"/>
        <v>44696</v>
      </c>
      <c r="F346" s="80">
        <f t="shared" si="111"/>
        <v>-1.668639053254438</v>
      </c>
      <c r="G346" s="119">
        <f t="shared" si="105"/>
        <v>9.9150470546068722E-2</v>
      </c>
      <c r="H346" s="125">
        <f t="shared" si="112"/>
        <v>44696</v>
      </c>
      <c r="I346" s="82">
        <f t="shared" si="100"/>
        <v>0.24855077721156002</v>
      </c>
      <c r="J346" s="126">
        <f t="shared" si="106"/>
        <v>2266739.4078558404</v>
      </c>
      <c r="K346" s="139">
        <f t="shared" si="101"/>
        <v>0</v>
      </c>
      <c r="L346" s="83">
        <f t="shared" si="99"/>
        <v>2266739.4078558404</v>
      </c>
      <c r="M346" s="80">
        <f t="shared" si="107"/>
        <v>225</v>
      </c>
      <c r="N346" s="157">
        <f t="shared" si="94"/>
        <v>0</v>
      </c>
      <c r="O346" s="140">
        <f t="shared" si="102"/>
        <v>0</v>
      </c>
      <c r="P346" s="149">
        <v>0</v>
      </c>
      <c r="Q346" s="163">
        <f t="shared" si="108"/>
        <v>225</v>
      </c>
      <c r="R346" s="150">
        <f t="shared" si="103"/>
        <v>0</v>
      </c>
      <c r="S346" s="164">
        <f t="shared" si="96"/>
        <v>9119824.2599999998</v>
      </c>
    </row>
    <row r="347" spans="1:19" x14ac:dyDescent="0.25">
      <c r="A347" s="80" t="str">
        <f t="shared" si="113"/>
        <v>Mon</v>
      </c>
      <c r="B347" s="147">
        <f>IF(SUMIFS(CashFlow!$C$16:$C$40,CashFlow!$D$16:$D$40,CashFlowCalcs!$E347)&gt;0,SUMIFS(CashFlow!$C$16:$C$40,CashFlow!$D$16:$D$40,CashFlowCalcs!$E347),B346)</f>
        <v>10</v>
      </c>
      <c r="C347" s="147" t="str">
        <f t="shared" si="104"/>
        <v>N</v>
      </c>
      <c r="D347" s="80">
        <f t="shared" si="109"/>
        <v>226</v>
      </c>
      <c r="E347" s="81">
        <f t="shared" si="110"/>
        <v>44697</v>
      </c>
      <c r="F347" s="80">
        <f t="shared" si="111"/>
        <v>-1.6627218934911243</v>
      </c>
      <c r="G347" s="119">
        <f t="shared" si="105"/>
        <v>0.10013253897957586</v>
      </c>
      <c r="H347" s="125">
        <f t="shared" si="112"/>
        <v>44697</v>
      </c>
      <c r="I347" s="82">
        <f t="shared" si="100"/>
        <v>0.25101263010120134</v>
      </c>
      <c r="J347" s="126">
        <f t="shared" si="106"/>
        <v>2289191.073563342</v>
      </c>
      <c r="K347" s="139">
        <f t="shared" si="101"/>
        <v>0</v>
      </c>
      <c r="L347" s="83">
        <f t="shared" si="99"/>
        <v>2289191.073563342</v>
      </c>
      <c r="M347" s="80">
        <f t="shared" si="107"/>
        <v>226</v>
      </c>
      <c r="N347" s="157">
        <f t="shared" si="94"/>
        <v>0</v>
      </c>
      <c r="O347" s="140">
        <f t="shared" si="102"/>
        <v>0</v>
      </c>
      <c r="P347" s="149">
        <v>0</v>
      </c>
      <c r="Q347" s="163">
        <f t="shared" si="108"/>
        <v>226</v>
      </c>
      <c r="R347" s="150">
        <f t="shared" si="103"/>
        <v>0</v>
      </c>
      <c r="S347" s="164">
        <f t="shared" si="96"/>
        <v>9119824.2599999998</v>
      </c>
    </row>
    <row r="348" spans="1:19" x14ac:dyDescent="0.25">
      <c r="A348" s="80" t="str">
        <f t="shared" si="113"/>
        <v>Tues</v>
      </c>
      <c r="B348" s="147">
        <f>IF(SUMIFS(CashFlow!$C$16:$C$40,CashFlow!$D$16:$D$40,CashFlowCalcs!$E348)&gt;0,SUMIFS(CashFlow!$C$16:$C$40,CashFlow!$D$16:$D$40,CashFlowCalcs!$E348),B347)</f>
        <v>10</v>
      </c>
      <c r="C348" s="147" t="str">
        <f t="shared" si="104"/>
        <v>N</v>
      </c>
      <c r="D348" s="80">
        <f t="shared" si="109"/>
        <v>227</v>
      </c>
      <c r="E348" s="81">
        <f t="shared" si="110"/>
        <v>44698</v>
      </c>
      <c r="F348" s="80">
        <f t="shared" si="111"/>
        <v>-1.6568047337278107</v>
      </c>
      <c r="G348" s="119">
        <f t="shared" si="105"/>
        <v>0.10112079405069603</v>
      </c>
      <c r="H348" s="125">
        <f t="shared" si="112"/>
        <v>44698</v>
      </c>
      <c r="I348" s="82">
        <f t="shared" si="100"/>
        <v>0.25348999167757486</v>
      </c>
      <c r="J348" s="126">
        <f t="shared" si="106"/>
        <v>2311784.1757683451</v>
      </c>
      <c r="K348" s="139">
        <f t="shared" si="101"/>
        <v>0</v>
      </c>
      <c r="L348" s="83">
        <f t="shared" si="99"/>
        <v>2311784.1757683451</v>
      </c>
      <c r="M348" s="80">
        <f t="shared" si="107"/>
        <v>227</v>
      </c>
      <c r="N348" s="157">
        <f t="shared" si="94"/>
        <v>0</v>
      </c>
      <c r="O348" s="140">
        <f t="shared" si="102"/>
        <v>0</v>
      </c>
      <c r="P348" s="149">
        <v>0</v>
      </c>
      <c r="Q348" s="163">
        <f t="shared" si="108"/>
        <v>227</v>
      </c>
      <c r="R348" s="150">
        <f t="shared" si="103"/>
        <v>0</v>
      </c>
      <c r="S348" s="164">
        <f t="shared" si="96"/>
        <v>9119824.2599999998</v>
      </c>
    </row>
    <row r="349" spans="1:19" x14ac:dyDescent="0.25">
      <c r="A349" s="80" t="str">
        <f t="shared" si="113"/>
        <v>Wed</v>
      </c>
      <c r="B349" s="147">
        <f>IF(SUMIFS(CashFlow!$C$16:$C$40,CashFlow!$D$16:$D$40,CashFlowCalcs!$E349)&gt;0,SUMIFS(CashFlow!$C$16:$C$40,CashFlow!$D$16:$D$40,CashFlowCalcs!$E349),B348)</f>
        <v>10</v>
      </c>
      <c r="C349" s="147" t="str">
        <f t="shared" si="104"/>
        <v>N</v>
      </c>
      <c r="D349" s="80">
        <f t="shared" si="109"/>
        <v>228</v>
      </c>
      <c r="E349" s="81">
        <f t="shared" si="110"/>
        <v>44699</v>
      </c>
      <c r="F349" s="80">
        <f t="shared" si="111"/>
        <v>-1.650887573964497</v>
      </c>
      <c r="G349" s="119">
        <f t="shared" si="105"/>
        <v>0.10211522727486683</v>
      </c>
      <c r="H349" s="125">
        <f t="shared" si="112"/>
        <v>44699</v>
      </c>
      <c r="I349" s="82">
        <f t="shared" si="100"/>
        <v>0.2559828406715472</v>
      </c>
      <c r="J349" s="126">
        <f t="shared" si="106"/>
        <v>2334518.5205000909</v>
      </c>
      <c r="K349" s="139">
        <f t="shared" si="101"/>
        <v>0</v>
      </c>
      <c r="L349" s="83">
        <f t="shared" si="99"/>
        <v>2334518.5205000909</v>
      </c>
      <c r="M349" s="80">
        <f t="shared" si="107"/>
        <v>228</v>
      </c>
      <c r="N349" s="157">
        <f t="shared" si="94"/>
        <v>0</v>
      </c>
      <c r="O349" s="140">
        <f t="shared" si="102"/>
        <v>0</v>
      </c>
      <c r="P349" s="149">
        <v>0</v>
      </c>
      <c r="Q349" s="163">
        <f t="shared" si="108"/>
        <v>228</v>
      </c>
      <c r="R349" s="150">
        <f t="shared" si="103"/>
        <v>0</v>
      </c>
      <c r="S349" s="164">
        <f t="shared" si="96"/>
        <v>9119824.2599999998</v>
      </c>
    </row>
    <row r="350" spans="1:19" x14ac:dyDescent="0.25">
      <c r="A350" s="80" t="str">
        <f t="shared" si="113"/>
        <v>Thu</v>
      </c>
      <c r="B350" s="147">
        <f>IF(SUMIFS(CashFlow!$C$16:$C$40,CashFlow!$D$16:$D$40,CashFlowCalcs!$E350)&gt;0,SUMIFS(CashFlow!$C$16:$C$40,CashFlow!$D$16:$D$40,CashFlowCalcs!$E350),B349)</f>
        <v>10</v>
      </c>
      <c r="C350" s="147" t="str">
        <f t="shared" si="104"/>
        <v>N</v>
      </c>
      <c r="D350" s="80">
        <f t="shared" si="109"/>
        <v>229</v>
      </c>
      <c r="E350" s="81">
        <f t="shared" si="110"/>
        <v>44700</v>
      </c>
      <c r="F350" s="80">
        <f t="shared" si="111"/>
        <v>-1.6449704142011834</v>
      </c>
      <c r="G350" s="119">
        <f t="shared" si="105"/>
        <v>0.10311582943181731</v>
      </c>
      <c r="H350" s="125">
        <f t="shared" si="112"/>
        <v>44700</v>
      </c>
      <c r="I350" s="82">
        <f t="shared" si="100"/>
        <v>0.25849115396970801</v>
      </c>
      <c r="J350" s="126">
        <f t="shared" si="106"/>
        <v>2357393.8969683382</v>
      </c>
      <c r="K350" s="139">
        <f t="shared" si="101"/>
        <v>0</v>
      </c>
      <c r="L350" s="83">
        <f t="shared" si="99"/>
        <v>2357393.8969683382</v>
      </c>
      <c r="M350" s="80">
        <f t="shared" si="107"/>
        <v>229</v>
      </c>
      <c r="N350" s="157">
        <f t="shared" si="94"/>
        <v>0</v>
      </c>
      <c r="O350" s="140">
        <f t="shared" si="102"/>
        <v>0</v>
      </c>
      <c r="P350" s="149">
        <v>0</v>
      </c>
      <c r="Q350" s="163">
        <f t="shared" si="108"/>
        <v>229</v>
      </c>
      <c r="R350" s="150">
        <f t="shared" si="103"/>
        <v>0</v>
      </c>
      <c r="S350" s="164">
        <f t="shared" si="96"/>
        <v>9119824.2599999998</v>
      </c>
    </row>
    <row r="351" spans="1:19" x14ac:dyDescent="0.25">
      <c r="A351" s="80" t="str">
        <f t="shared" si="113"/>
        <v>Fri</v>
      </c>
      <c r="B351" s="147">
        <f>IF(SUMIFS(CashFlow!$C$16:$C$40,CashFlow!$D$16:$D$40,CashFlowCalcs!$E351)&gt;0,SUMIFS(CashFlow!$C$16:$C$40,CashFlow!$D$16:$D$40,CashFlowCalcs!$E351),B350)</f>
        <v>10</v>
      </c>
      <c r="C351" s="147" t="str">
        <f t="shared" si="104"/>
        <v>N</v>
      </c>
      <c r="D351" s="80">
        <f t="shared" si="109"/>
        <v>230</v>
      </c>
      <c r="E351" s="81">
        <f t="shared" si="110"/>
        <v>44701</v>
      </c>
      <c r="F351" s="80">
        <f t="shared" si="111"/>
        <v>-1.63905325443787</v>
      </c>
      <c r="G351" s="119">
        <f t="shared" si="105"/>
        <v>0.1041225905596308</v>
      </c>
      <c r="H351" s="125">
        <f t="shared" si="112"/>
        <v>44701</v>
      </c>
      <c r="I351" s="82">
        <f t="shared" si="100"/>
        <v>0.26101490659948662</v>
      </c>
      <c r="J351" s="126">
        <f t="shared" si="106"/>
        <v>2380410.0774276322</v>
      </c>
      <c r="K351" s="139">
        <f t="shared" si="101"/>
        <v>0</v>
      </c>
      <c r="L351" s="83">
        <f t="shared" si="99"/>
        <v>2380410.0774276322</v>
      </c>
      <c r="M351" s="80">
        <f t="shared" si="107"/>
        <v>230</v>
      </c>
      <c r="N351" s="157">
        <f t="shared" si="94"/>
        <v>0</v>
      </c>
      <c r="O351" s="140">
        <f t="shared" si="102"/>
        <v>0</v>
      </c>
      <c r="P351" s="149">
        <v>0</v>
      </c>
      <c r="Q351" s="163">
        <f t="shared" si="108"/>
        <v>230</v>
      </c>
      <c r="R351" s="150">
        <f t="shared" si="103"/>
        <v>0</v>
      </c>
      <c r="S351" s="164">
        <f t="shared" si="96"/>
        <v>9119824.2599999998</v>
      </c>
    </row>
    <row r="352" spans="1:19" x14ac:dyDescent="0.25">
      <c r="A352" s="80" t="str">
        <f t="shared" si="113"/>
        <v>Sat</v>
      </c>
      <c r="B352" s="147">
        <f>IF(SUMIFS(CashFlow!$C$16:$C$40,CashFlow!$D$16:$D$40,CashFlowCalcs!$E352)&gt;0,SUMIFS(CashFlow!$C$16:$C$40,CashFlow!$D$16:$D$40,CashFlowCalcs!$E352),B351)</f>
        <v>10</v>
      </c>
      <c r="C352" s="147" t="str">
        <f t="shared" si="104"/>
        <v>Y</v>
      </c>
      <c r="D352" s="80">
        <f t="shared" si="109"/>
        <v>230</v>
      </c>
      <c r="E352" s="81">
        <f t="shared" si="110"/>
        <v>44702</v>
      </c>
      <c r="F352" s="80">
        <f t="shared" si="111"/>
        <v>-1.63905325443787</v>
      </c>
      <c r="G352" s="119">
        <f t="shared" si="105"/>
        <v>0.1041225905596308</v>
      </c>
      <c r="H352" s="125">
        <f t="shared" si="112"/>
        <v>44702</v>
      </c>
      <c r="I352" s="82">
        <f t="shared" si="100"/>
        <v>0.26101490659948662</v>
      </c>
      <c r="J352" s="126">
        <f t="shared" si="106"/>
        <v>2380410.0774276322</v>
      </c>
      <c r="K352" s="139">
        <f t="shared" si="101"/>
        <v>0</v>
      </c>
      <c r="L352" s="83">
        <f t="shared" si="99"/>
        <v>2380410.0774276322</v>
      </c>
      <c r="M352" s="80">
        <f t="shared" si="107"/>
        <v>230</v>
      </c>
      <c r="N352" s="157">
        <f t="shared" si="94"/>
        <v>0</v>
      </c>
      <c r="O352" s="140">
        <f t="shared" si="102"/>
        <v>0</v>
      </c>
      <c r="P352" s="149">
        <v>0</v>
      </c>
      <c r="Q352" s="163">
        <f t="shared" si="108"/>
        <v>230</v>
      </c>
      <c r="R352" s="150">
        <f t="shared" si="103"/>
        <v>0</v>
      </c>
      <c r="S352" s="164">
        <f t="shared" si="96"/>
        <v>9119824.2599999998</v>
      </c>
    </row>
    <row r="353" spans="1:19" x14ac:dyDescent="0.25">
      <c r="A353" s="80" t="str">
        <f t="shared" si="113"/>
        <v>Sun</v>
      </c>
      <c r="B353" s="147">
        <f>IF(SUMIFS(CashFlow!$C$16:$C$40,CashFlow!$D$16:$D$40,CashFlowCalcs!$E353)&gt;0,SUMIFS(CashFlow!$C$16:$C$40,CashFlow!$D$16:$D$40,CashFlowCalcs!$E353),B352)</f>
        <v>10</v>
      </c>
      <c r="C353" s="147" t="str">
        <f t="shared" si="104"/>
        <v>Y</v>
      </c>
      <c r="D353" s="80">
        <f t="shared" si="109"/>
        <v>230</v>
      </c>
      <c r="E353" s="81">
        <f t="shared" si="110"/>
        <v>44703</v>
      </c>
      <c r="F353" s="80">
        <f t="shared" si="111"/>
        <v>-1.63905325443787</v>
      </c>
      <c r="G353" s="119">
        <f t="shared" si="105"/>
        <v>0.1041225905596308</v>
      </c>
      <c r="H353" s="125">
        <f t="shared" si="112"/>
        <v>44703</v>
      </c>
      <c r="I353" s="82">
        <f t="shared" si="100"/>
        <v>0.26101490659948662</v>
      </c>
      <c r="J353" s="126">
        <f t="shared" si="106"/>
        <v>2380410.0774276322</v>
      </c>
      <c r="K353" s="139">
        <f t="shared" si="101"/>
        <v>0</v>
      </c>
      <c r="L353" s="83">
        <f t="shared" si="99"/>
        <v>2380410.0774276322</v>
      </c>
      <c r="M353" s="80">
        <f t="shared" si="107"/>
        <v>230</v>
      </c>
      <c r="N353" s="157">
        <f t="shared" si="94"/>
        <v>0</v>
      </c>
      <c r="O353" s="140">
        <f t="shared" si="102"/>
        <v>0</v>
      </c>
      <c r="P353" s="149">
        <v>0</v>
      </c>
      <c r="Q353" s="163">
        <f t="shared" si="108"/>
        <v>230</v>
      </c>
      <c r="R353" s="150">
        <f t="shared" si="103"/>
        <v>0</v>
      </c>
      <c r="S353" s="164">
        <f t="shared" si="96"/>
        <v>9119824.2599999998</v>
      </c>
    </row>
    <row r="354" spans="1:19" x14ac:dyDescent="0.25">
      <c r="A354" s="80" t="str">
        <f t="shared" si="113"/>
        <v>Mon</v>
      </c>
      <c r="B354" s="147">
        <f>IF(SUMIFS(CashFlow!$C$16:$C$40,CashFlow!$D$16:$D$40,CashFlowCalcs!$E354)&gt;0,SUMIFS(CashFlow!$C$16:$C$40,CashFlow!$D$16:$D$40,CashFlowCalcs!$E354),B353)</f>
        <v>10</v>
      </c>
      <c r="C354" s="147" t="str">
        <f t="shared" si="104"/>
        <v>N</v>
      </c>
      <c r="D354" s="80">
        <f t="shared" si="109"/>
        <v>231</v>
      </c>
      <c r="E354" s="81">
        <f t="shared" si="110"/>
        <v>44704</v>
      </c>
      <c r="F354" s="80">
        <f t="shared" si="111"/>
        <v>-1.6331360946745561</v>
      </c>
      <c r="G354" s="119">
        <f t="shared" si="105"/>
        <v>0.10513549994888002</v>
      </c>
      <c r="H354" s="125">
        <f t="shared" si="112"/>
        <v>44704</v>
      </c>
      <c r="I354" s="82">
        <f t="shared" si="100"/>
        <v>0.26355407171445</v>
      </c>
      <c r="J354" s="126">
        <f t="shared" si="106"/>
        <v>2403566.8170432206</v>
      </c>
      <c r="K354" s="139">
        <f t="shared" si="101"/>
        <v>0</v>
      </c>
      <c r="L354" s="83">
        <f t="shared" si="99"/>
        <v>2403566.8170432206</v>
      </c>
      <c r="M354" s="80">
        <f t="shared" si="107"/>
        <v>231</v>
      </c>
      <c r="N354" s="157">
        <f t="shared" si="94"/>
        <v>0</v>
      </c>
      <c r="O354" s="140">
        <f t="shared" si="102"/>
        <v>0</v>
      </c>
      <c r="P354" s="149">
        <v>0</v>
      </c>
      <c r="Q354" s="163">
        <f t="shared" si="108"/>
        <v>231</v>
      </c>
      <c r="R354" s="150">
        <f t="shared" si="103"/>
        <v>0</v>
      </c>
      <c r="S354" s="164">
        <f t="shared" si="96"/>
        <v>9119824.2599999998</v>
      </c>
    </row>
    <row r="355" spans="1:19" x14ac:dyDescent="0.25">
      <c r="A355" s="80" t="str">
        <f t="shared" si="113"/>
        <v>Tues</v>
      </c>
      <c r="B355" s="147">
        <f>IF(SUMIFS(CashFlow!$C$16:$C$40,CashFlow!$D$16:$D$40,CashFlowCalcs!$E355)&gt;0,SUMIFS(CashFlow!$C$16:$C$40,CashFlow!$D$16:$D$40,CashFlowCalcs!$E355),B354)</f>
        <v>10</v>
      </c>
      <c r="C355" s="147" t="str">
        <f t="shared" si="104"/>
        <v>N</v>
      </c>
      <c r="D355" s="80">
        <f t="shared" si="109"/>
        <v>232</v>
      </c>
      <c r="E355" s="81">
        <f t="shared" si="110"/>
        <v>44705</v>
      </c>
      <c r="F355" s="80">
        <f t="shared" si="111"/>
        <v>-1.6272189349112427</v>
      </c>
      <c r="G355" s="119">
        <f t="shared" si="105"/>
        <v>0.10615454613683535</v>
      </c>
      <c r="H355" s="125">
        <f t="shared" si="112"/>
        <v>44705</v>
      </c>
      <c r="I355" s="82">
        <f t="shared" si="100"/>
        <v>0.26610862057978379</v>
      </c>
      <c r="J355" s="126">
        <f t="shared" si="106"/>
        <v>2426863.8537586476</v>
      </c>
      <c r="K355" s="139">
        <f t="shared" si="101"/>
        <v>0</v>
      </c>
      <c r="L355" s="83">
        <f t="shared" si="99"/>
        <v>2426863.8537586476</v>
      </c>
      <c r="M355" s="80">
        <f t="shared" si="107"/>
        <v>232</v>
      </c>
      <c r="N355" s="157">
        <f t="shared" si="94"/>
        <v>0</v>
      </c>
      <c r="O355" s="140">
        <f t="shared" si="102"/>
        <v>0</v>
      </c>
      <c r="P355" s="149">
        <v>0</v>
      </c>
      <c r="Q355" s="163">
        <f t="shared" si="108"/>
        <v>232</v>
      </c>
      <c r="R355" s="150">
        <f t="shared" si="103"/>
        <v>0</v>
      </c>
      <c r="S355" s="164">
        <f t="shared" si="96"/>
        <v>9119824.2599999998</v>
      </c>
    </row>
    <row r="356" spans="1:19" x14ac:dyDescent="0.25">
      <c r="A356" s="80" t="str">
        <f t="shared" si="113"/>
        <v>Wed</v>
      </c>
      <c r="B356" s="147">
        <f>IF(SUMIFS(CashFlow!$C$16:$C$40,CashFlow!$D$16:$D$40,CashFlowCalcs!$E356)&gt;0,SUMIFS(CashFlow!$C$16:$C$40,CashFlow!$D$16:$D$40,CashFlowCalcs!$E356),B355)</f>
        <v>10</v>
      </c>
      <c r="C356" s="147" t="str">
        <f t="shared" si="104"/>
        <v>N</v>
      </c>
      <c r="D356" s="80">
        <f t="shared" si="109"/>
        <v>233</v>
      </c>
      <c r="E356" s="81">
        <f t="shared" ref="E356:E371" si="114">E355+1</f>
        <v>44706</v>
      </c>
      <c r="F356" s="80">
        <f t="shared" si="111"/>
        <v>-1.6213017751479288</v>
      </c>
      <c r="G356" s="119">
        <f t="shared" si="105"/>
        <v>0.10717971690175068</v>
      </c>
      <c r="H356" s="125">
        <f t="shared" si="112"/>
        <v>44706</v>
      </c>
      <c r="I356" s="82">
        <f t="shared" si="100"/>
        <v>0.26867852255796842</v>
      </c>
      <c r="J356" s="126">
        <f t="shared" si="106"/>
        <v>2450300.9081651177</v>
      </c>
      <c r="K356" s="139">
        <f t="shared" si="101"/>
        <v>0</v>
      </c>
      <c r="L356" s="83">
        <f t="shared" si="99"/>
        <v>2450300.9081651177</v>
      </c>
      <c r="M356" s="80">
        <f t="shared" si="107"/>
        <v>233</v>
      </c>
      <c r="N356" s="157">
        <f t="shared" ref="N356:N419" si="115">IF(E356&lt;$J$6,0,IF(E356&gt;=$I$1,0,1))*$I$10</f>
        <v>0</v>
      </c>
      <c r="O356" s="140">
        <f t="shared" si="102"/>
        <v>0</v>
      </c>
      <c r="P356" s="149">
        <v>0</v>
      </c>
      <c r="Q356" s="163">
        <f t="shared" si="108"/>
        <v>233</v>
      </c>
      <c r="R356" s="150">
        <f t="shared" si="103"/>
        <v>0</v>
      </c>
      <c r="S356" s="164">
        <f t="shared" si="96"/>
        <v>9119824.2599999998</v>
      </c>
    </row>
    <row r="357" spans="1:19" x14ac:dyDescent="0.25">
      <c r="A357" s="80" t="str">
        <f t="shared" si="113"/>
        <v>Thu</v>
      </c>
      <c r="B357" s="147">
        <f>IF(SUMIFS(CashFlow!$C$16:$C$40,CashFlow!$D$16:$D$40,CashFlowCalcs!$E357)&gt;0,SUMIFS(CashFlow!$C$16:$C$40,CashFlow!$D$16:$D$40,CashFlowCalcs!$E357),B356)</f>
        <v>10</v>
      </c>
      <c r="C357" s="147" t="str">
        <f t="shared" si="104"/>
        <v>N</v>
      </c>
      <c r="D357" s="80">
        <f t="shared" si="109"/>
        <v>234</v>
      </c>
      <c r="E357" s="81">
        <f t="shared" si="114"/>
        <v>44707</v>
      </c>
      <c r="F357" s="80">
        <f t="shared" si="111"/>
        <v>-1.6153846153846154</v>
      </c>
      <c r="G357" s="119">
        <f t="shared" si="105"/>
        <v>0.1082109992572259</v>
      </c>
      <c r="H357" s="125">
        <f t="shared" si="112"/>
        <v>44707</v>
      </c>
      <c r="I357" s="82">
        <f t="shared" si="100"/>
        <v>0.27126374509464646</v>
      </c>
      <c r="J357" s="126">
        <f t="shared" si="106"/>
        <v>2473877.6833726126</v>
      </c>
      <c r="K357" s="139">
        <f t="shared" si="101"/>
        <v>0</v>
      </c>
      <c r="L357" s="83">
        <f t="shared" si="99"/>
        <v>2473877.6833726126</v>
      </c>
      <c r="M357" s="80">
        <f t="shared" si="107"/>
        <v>234</v>
      </c>
      <c r="N357" s="157">
        <f t="shared" si="115"/>
        <v>0</v>
      </c>
      <c r="O357" s="140">
        <f t="shared" si="102"/>
        <v>0</v>
      </c>
      <c r="P357" s="149">
        <v>0</v>
      </c>
      <c r="Q357" s="163">
        <f t="shared" si="108"/>
        <v>234</v>
      </c>
      <c r="R357" s="150">
        <f t="shared" si="103"/>
        <v>0</v>
      </c>
      <c r="S357" s="164">
        <f t="shared" si="96"/>
        <v>9119824.2599999998</v>
      </c>
    </row>
    <row r="358" spans="1:19" x14ac:dyDescent="0.25">
      <c r="A358" s="80" t="str">
        <f t="shared" si="113"/>
        <v>Fri</v>
      </c>
      <c r="B358" s="147">
        <f>IF(SUMIFS(CashFlow!$C$16:$C$40,CashFlow!$D$16:$D$40,CashFlowCalcs!$E358)&gt;0,SUMIFS(CashFlow!$C$16:$C$40,CashFlow!$D$16:$D$40,CashFlowCalcs!$E358),B357)</f>
        <v>10</v>
      </c>
      <c r="C358" s="147" t="str">
        <f t="shared" si="104"/>
        <v>N</v>
      </c>
      <c r="D358" s="80">
        <f t="shared" si="109"/>
        <v>235</v>
      </c>
      <c r="E358" s="81">
        <f t="shared" si="114"/>
        <v>44708</v>
      </c>
      <c r="F358" s="80">
        <f t="shared" si="111"/>
        <v>-1.6094674556213018</v>
      </c>
      <c r="G358" s="119">
        <f t="shared" si="105"/>
        <v>0.10924837944665028</v>
      </c>
      <c r="H358" s="125">
        <f t="shared" si="112"/>
        <v>44708</v>
      </c>
      <c r="I358" s="82">
        <f t="shared" si="100"/>
        <v>0.27386425370469392</v>
      </c>
      <c r="J358" s="126">
        <f t="shared" si="106"/>
        <v>2497593.8648828622</v>
      </c>
      <c r="K358" s="139">
        <f t="shared" si="101"/>
        <v>0</v>
      </c>
      <c r="L358" s="83">
        <f t="shared" si="99"/>
        <v>2497593.8648828622</v>
      </c>
      <c r="M358" s="80">
        <f t="shared" si="107"/>
        <v>235</v>
      </c>
      <c r="N358" s="157">
        <f t="shared" si="115"/>
        <v>0</v>
      </c>
      <c r="O358" s="140">
        <f t="shared" si="102"/>
        <v>0</v>
      </c>
      <c r="P358" s="149">
        <v>0</v>
      </c>
      <c r="Q358" s="163">
        <f t="shared" si="108"/>
        <v>235</v>
      </c>
      <c r="R358" s="150">
        <f t="shared" si="103"/>
        <v>0</v>
      </c>
      <c r="S358" s="164">
        <f t="shared" si="96"/>
        <v>9119824.2599999998</v>
      </c>
    </row>
    <row r="359" spans="1:19" x14ac:dyDescent="0.25">
      <c r="A359" s="80" t="str">
        <f t="shared" si="113"/>
        <v>Sat</v>
      </c>
      <c r="B359" s="147">
        <f>IF(SUMIFS(CashFlow!$C$16:$C$40,CashFlow!$D$16:$D$40,CashFlowCalcs!$E359)&gt;0,SUMIFS(CashFlow!$C$16:$C$40,CashFlow!$D$16:$D$40,CashFlowCalcs!$E359),B358)</f>
        <v>10</v>
      </c>
      <c r="C359" s="147" t="str">
        <f t="shared" si="104"/>
        <v>Y</v>
      </c>
      <c r="D359" s="80">
        <f t="shared" si="109"/>
        <v>235</v>
      </c>
      <c r="E359" s="81">
        <f t="shared" si="114"/>
        <v>44709</v>
      </c>
      <c r="F359" s="80">
        <f t="shared" si="111"/>
        <v>-1.6094674556213018</v>
      </c>
      <c r="G359" s="119">
        <f t="shared" si="105"/>
        <v>0.10924837944665028</v>
      </c>
      <c r="H359" s="125">
        <f t="shared" si="112"/>
        <v>44709</v>
      </c>
      <c r="I359" s="82">
        <f t="shared" si="100"/>
        <v>0.27386425370469392</v>
      </c>
      <c r="J359" s="126">
        <f t="shared" si="106"/>
        <v>2497593.8648828622</v>
      </c>
      <c r="K359" s="139">
        <f t="shared" si="101"/>
        <v>0</v>
      </c>
      <c r="L359" s="83">
        <f t="shared" si="99"/>
        <v>2497593.8648828622</v>
      </c>
      <c r="M359" s="80">
        <f t="shared" si="107"/>
        <v>235</v>
      </c>
      <c r="N359" s="157">
        <f t="shared" si="115"/>
        <v>0</v>
      </c>
      <c r="O359" s="140">
        <f t="shared" si="102"/>
        <v>0</v>
      </c>
      <c r="P359" s="149">
        <v>0</v>
      </c>
      <c r="Q359" s="163">
        <f t="shared" si="108"/>
        <v>235</v>
      </c>
      <c r="R359" s="150">
        <f t="shared" si="103"/>
        <v>0</v>
      </c>
      <c r="S359" s="164">
        <f t="shared" si="96"/>
        <v>9119824.2599999998</v>
      </c>
    </row>
    <row r="360" spans="1:19" x14ac:dyDescent="0.25">
      <c r="A360" s="80" t="str">
        <f t="shared" si="113"/>
        <v>Sun</v>
      </c>
      <c r="B360" s="147">
        <f>IF(SUMIFS(CashFlow!$C$16:$C$40,CashFlow!$D$16:$D$40,CashFlowCalcs!$E360)&gt;0,SUMIFS(CashFlow!$C$16:$C$40,CashFlow!$D$16:$D$40,CashFlowCalcs!$E360),B359)</f>
        <v>12</v>
      </c>
      <c r="C360" s="147" t="str">
        <f t="shared" si="104"/>
        <v>Y</v>
      </c>
      <c r="D360" s="80">
        <f t="shared" si="109"/>
        <v>235</v>
      </c>
      <c r="E360" s="81">
        <f t="shared" si="114"/>
        <v>44710</v>
      </c>
      <c r="F360" s="80">
        <f t="shared" si="111"/>
        <v>-1.6094674556213018</v>
      </c>
      <c r="G360" s="119">
        <f t="shared" si="105"/>
        <v>0.10924837944665028</v>
      </c>
      <c r="H360" s="125">
        <f t="shared" si="112"/>
        <v>44710</v>
      </c>
      <c r="I360" s="82">
        <f t="shared" si="100"/>
        <v>0.27386425370469392</v>
      </c>
      <c r="J360" s="126">
        <f t="shared" si="106"/>
        <v>2497593.8648828622</v>
      </c>
      <c r="K360" s="139">
        <f t="shared" si="101"/>
        <v>0</v>
      </c>
      <c r="L360" s="83">
        <f t="shared" si="99"/>
        <v>2497593.8648828622</v>
      </c>
      <c r="M360" s="80">
        <f t="shared" si="107"/>
        <v>235</v>
      </c>
      <c r="N360" s="157">
        <f t="shared" si="115"/>
        <v>0</v>
      </c>
      <c r="O360" s="140">
        <f t="shared" si="102"/>
        <v>0</v>
      </c>
      <c r="P360" s="149">
        <v>0</v>
      </c>
      <c r="Q360" s="163">
        <f t="shared" si="108"/>
        <v>235</v>
      </c>
      <c r="R360" s="150">
        <f t="shared" si="103"/>
        <v>0</v>
      </c>
      <c r="S360" s="164">
        <f t="shared" si="96"/>
        <v>9119824.2599999998</v>
      </c>
    </row>
    <row r="361" spans="1:19" x14ac:dyDescent="0.25">
      <c r="A361" s="80" t="str">
        <f t="shared" si="113"/>
        <v>Mon</v>
      </c>
      <c r="B361" s="147">
        <f>IF(SUMIFS(CashFlow!$C$16:$C$40,CashFlow!$D$16:$D$40,CashFlowCalcs!$E361)&gt;0,SUMIFS(CashFlow!$C$16:$C$40,CashFlow!$D$16:$D$40,CashFlowCalcs!$E361),B360)</f>
        <v>12</v>
      </c>
      <c r="C361" s="147" t="str">
        <f t="shared" si="104"/>
        <v>N</v>
      </c>
      <c r="D361" s="80">
        <f t="shared" si="109"/>
        <v>236</v>
      </c>
      <c r="E361" s="81">
        <f t="shared" si="114"/>
        <v>44711</v>
      </c>
      <c r="F361" s="80">
        <f t="shared" si="111"/>
        <v>-1.6035502958579881</v>
      </c>
      <c r="G361" s="119">
        <f t="shared" si="105"/>
        <v>0.11029184293772723</v>
      </c>
      <c r="H361" s="125">
        <f t="shared" si="112"/>
        <v>44711</v>
      </c>
      <c r="I361" s="82">
        <f t="shared" si="100"/>
        <v>0.27648001195849425</v>
      </c>
      <c r="J361" s="126">
        <f t="shared" si="106"/>
        <v>2521449.1204641662</v>
      </c>
      <c r="K361" s="139">
        <f t="shared" si="101"/>
        <v>0</v>
      </c>
      <c r="L361" s="83">
        <f t="shared" si="99"/>
        <v>2521449.1204641662</v>
      </c>
      <c r="M361" s="80">
        <f t="shared" si="107"/>
        <v>236</v>
      </c>
      <c r="N361" s="157">
        <f t="shared" si="115"/>
        <v>0</v>
      </c>
      <c r="O361" s="140">
        <f t="shared" si="102"/>
        <v>0</v>
      </c>
      <c r="P361" s="149">
        <v>0</v>
      </c>
      <c r="Q361" s="163">
        <f t="shared" si="108"/>
        <v>236</v>
      </c>
      <c r="R361" s="150">
        <f t="shared" si="103"/>
        <v>0</v>
      </c>
      <c r="S361" s="164">
        <f t="shared" si="96"/>
        <v>9119824.2599999998</v>
      </c>
    </row>
    <row r="362" spans="1:19" x14ac:dyDescent="0.25">
      <c r="A362" s="80" t="str">
        <f t="shared" si="113"/>
        <v>Tues</v>
      </c>
      <c r="B362" s="147">
        <f>IF(SUMIFS(CashFlow!$C$16:$C$40,CashFlow!$D$16:$D$40,CashFlowCalcs!$E362)&gt;0,SUMIFS(CashFlow!$C$16:$C$40,CashFlow!$D$16:$D$40,CashFlowCalcs!$E362),B361)</f>
        <v>12</v>
      </c>
      <c r="C362" s="147" t="str">
        <f t="shared" si="104"/>
        <v>N</v>
      </c>
      <c r="D362" s="80">
        <f t="shared" si="109"/>
        <v>237</v>
      </c>
      <c r="E362" s="81">
        <f t="shared" si="114"/>
        <v>44712</v>
      </c>
      <c r="F362" s="80">
        <f t="shared" si="111"/>
        <v>-1.5976331360946745</v>
      </c>
      <c r="G362" s="119">
        <f t="shared" si="105"/>
        <v>0.11134137441708325</v>
      </c>
      <c r="H362" s="125">
        <f t="shared" si="112"/>
        <v>44712</v>
      </c>
      <c r="I362" s="82">
        <f t="shared" si="100"/>
        <v>0.27911098146842439</v>
      </c>
      <c r="J362" s="126">
        <f t="shared" si="106"/>
        <v>2545443.100028147</v>
      </c>
      <c r="K362" s="139">
        <f t="shared" si="101"/>
        <v>0</v>
      </c>
      <c r="L362" s="83">
        <f t="shared" si="99"/>
        <v>2545443.100028147</v>
      </c>
      <c r="M362" s="80">
        <f t="shared" si="107"/>
        <v>237</v>
      </c>
      <c r="N362" s="157">
        <f t="shared" si="115"/>
        <v>0</v>
      </c>
      <c r="O362" s="140">
        <f t="shared" si="102"/>
        <v>0</v>
      </c>
      <c r="P362" s="149">
        <v>0</v>
      </c>
      <c r="Q362" s="163">
        <f t="shared" si="108"/>
        <v>237</v>
      </c>
      <c r="R362" s="150">
        <f t="shared" si="103"/>
        <v>0</v>
      </c>
      <c r="S362" s="164">
        <f t="shared" si="96"/>
        <v>9119824.2599999998</v>
      </c>
    </row>
    <row r="363" spans="1:19" x14ac:dyDescent="0.25">
      <c r="A363" s="80" t="str">
        <f t="shared" si="113"/>
        <v>Wed</v>
      </c>
      <c r="B363" s="147">
        <f>IF(SUMIFS(CashFlow!$C$16:$C$40,CashFlow!$D$16:$D$40,CashFlowCalcs!$E363)&gt;0,SUMIFS(CashFlow!$C$16:$C$40,CashFlow!$D$16:$D$40,CashFlowCalcs!$E363),B362)</f>
        <v>12</v>
      </c>
      <c r="C363" s="147" t="str">
        <f t="shared" si="104"/>
        <v>N</v>
      </c>
      <c r="D363" s="80">
        <f t="shared" si="109"/>
        <v>238</v>
      </c>
      <c r="E363" s="81">
        <f t="shared" si="114"/>
        <v>44713</v>
      </c>
      <c r="F363" s="80">
        <f t="shared" si="111"/>
        <v>-1.5917159763313609</v>
      </c>
      <c r="G363" s="119">
        <f t="shared" si="105"/>
        <v>0.11239695778496245</v>
      </c>
      <c r="H363" s="125">
        <f t="shared" si="112"/>
        <v>44713</v>
      </c>
      <c r="I363" s="82">
        <f t="shared" si="100"/>
        <v>0.28175712187555507</v>
      </c>
      <c r="J363" s="126">
        <f t="shared" si="106"/>
        <v>2569575.435508464</v>
      </c>
      <c r="K363" s="139">
        <f t="shared" si="101"/>
        <v>0</v>
      </c>
      <c r="L363" s="83">
        <f t="shared" si="99"/>
        <v>2569575.435508464</v>
      </c>
      <c r="M363" s="80">
        <f t="shared" si="107"/>
        <v>238</v>
      </c>
      <c r="N363" s="157">
        <f t="shared" si="115"/>
        <v>0</v>
      </c>
      <c r="O363" s="140">
        <f t="shared" si="102"/>
        <v>0</v>
      </c>
      <c r="P363" s="149">
        <v>0</v>
      </c>
      <c r="Q363" s="163">
        <f t="shared" si="108"/>
        <v>238</v>
      </c>
      <c r="R363" s="150">
        <f t="shared" si="103"/>
        <v>0</v>
      </c>
      <c r="S363" s="164">
        <f t="shared" si="96"/>
        <v>9119824.2599999998</v>
      </c>
    </row>
    <row r="364" spans="1:19" x14ac:dyDescent="0.25">
      <c r="A364" s="80" t="str">
        <f t="shared" si="113"/>
        <v>Thu</v>
      </c>
      <c r="B364" s="147">
        <f>IF(SUMIFS(CashFlow!$C$16:$C$40,CashFlow!$D$16:$D$40,CashFlowCalcs!$E364)&gt;0,SUMIFS(CashFlow!$C$16:$C$40,CashFlow!$D$16:$D$40,CashFlowCalcs!$E364),B363)</f>
        <v>12</v>
      </c>
      <c r="C364" s="147" t="str">
        <f t="shared" si="104"/>
        <v>N</v>
      </c>
      <c r="D364" s="80">
        <f t="shared" si="109"/>
        <v>239</v>
      </c>
      <c r="E364" s="81">
        <f t="shared" si="114"/>
        <v>44714</v>
      </c>
      <c r="F364" s="80">
        <f t="shared" si="111"/>
        <v>-1.5857988165680472</v>
      </c>
      <c r="G364" s="119">
        <f t="shared" si="105"/>
        <v>0.11345857615000897</v>
      </c>
      <c r="H364" s="125">
        <f t="shared" si="112"/>
        <v>44714</v>
      </c>
      <c r="I364" s="82">
        <f t="shared" si="100"/>
        <v>0.284418390836571</v>
      </c>
      <c r="J364" s="126">
        <f t="shared" si="106"/>
        <v>2593845.7407415221</v>
      </c>
      <c r="K364" s="139">
        <f t="shared" si="101"/>
        <v>0</v>
      </c>
      <c r="L364" s="83">
        <f t="shared" si="99"/>
        <v>2593845.7407415221</v>
      </c>
      <c r="M364" s="80">
        <f t="shared" si="107"/>
        <v>239</v>
      </c>
      <c r="N364" s="157">
        <f t="shared" si="115"/>
        <v>0</v>
      </c>
      <c r="O364" s="140">
        <f t="shared" si="102"/>
        <v>0</v>
      </c>
      <c r="P364" s="149">
        <v>0</v>
      </c>
      <c r="Q364" s="163">
        <f t="shared" si="108"/>
        <v>239</v>
      </c>
      <c r="R364" s="150">
        <f t="shared" si="103"/>
        <v>0</v>
      </c>
      <c r="S364" s="164">
        <f t="shared" si="96"/>
        <v>9119824.2599999998</v>
      </c>
    </row>
    <row r="365" spans="1:19" x14ac:dyDescent="0.25">
      <c r="A365" s="80" t="str">
        <f t="shared" si="113"/>
        <v>Fri</v>
      </c>
      <c r="B365" s="147">
        <f>IF(SUMIFS(CashFlow!$C$16:$C$40,CashFlow!$D$16:$D$40,CashFlowCalcs!$E365)&gt;0,SUMIFS(CashFlow!$C$16:$C$40,CashFlow!$D$16:$D$40,CashFlowCalcs!$E365),B364)</f>
        <v>12</v>
      </c>
      <c r="C365" s="147" t="str">
        <f t="shared" si="104"/>
        <v>N</v>
      </c>
      <c r="D365" s="80">
        <f t="shared" si="109"/>
        <v>240</v>
      </c>
      <c r="E365" s="81">
        <f t="shared" si="114"/>
        <v>44715</v>
      </c>
      <c r="F365" s="80">
        <f t="shared" si="111"/>
        <v>-1.5798816568047338</v>
      </c>
      <c r="G365" s="119">
        <f t="shared" si="105"/>
        <v>0.11452621182413891</v>
      </c>
      <c r="H365" s="125">
        <f t="shared" si="112"/>
        <v>44715</v>
      </c>
      <c r="I365" s="82">
        <f t="shared" si="100"/>
        <v>0.28709474401091617</v>
      </c>
      <c r="J365" s="126">
        <f t="shared" si="106"/>
        <v>2618253.6113492427</v>
      </c>
      <c r="K365" s="139">
        <f t="shared" si="101"/>
        <v>0</v>
      </c>
      <c r="L365" s="83">
        <f t="shared" si="99"/>
        <v>2618253.6113492427</v>
      </c>
      <c r="M365" s="80">
        <f t="shared" si="107"/>
        <v>240</v>
      </c>
      <c r="N365" s="157">
        <f t="shared" si="115"/>
        <v>0</v>
      </c>
      <c r="O365" s="140">
        <f t="shared" si="102"/>
        <v>0</v>
      </c>
      <c r="P365" s="149">
        <v>0</v>
      </c>
      <c r="Q365" s="163">
        <f t="shared" si="108"/>
        <v>240</v>
      </c>
      <c r="R365" s="150">
        <f t="shared" si="103"/>
        <v>0</v>
      </c>
      <c r="S365" s="164">
        <f t="shared" si="96"/>
        <v>9119824.2599999998</v>
      </c>
    </row>
    <row r="366" spans="1:19" x14ac:dyDescent="0.25">
      <c r="A366" s="80" t="str">
        <f t="shared" si="113"/>
        <v>Sat</v>
      </c>
      <c r="B366" s="147">
        <f>IF(SUMIFS(CashFlow!$C$16:$C$40,CashFlow!$D$16:$D$40,CashFlowCalcs!$E366)&gt;0,SUMIFS(CashFlow!$C$16:$C$40,CashFlow!$D$16:$D$40,CashFlowCalcs!$E366),B365)</f>
        <v>12</v>
      </c>
      <c r="C366" s="147" t="str">
        <f t="shared" si="104"/>
        <v>Y</v>
      </c>
      <c r="D366" s="80">
        <f t="shared" si="109"/>
        <v>240</v>
      </c>
      <c r="E366" s="81">
        <f t="shared" si="114"/>
        <v>44716</v>
      </c>
      <c r="F366" s="80">
        <f t="shared" si="111"/>
        <v>-1.5798816568047338</v>
      </c>
      <c r="G366" s="119">
        <f t="shared" si="105"/>
        <v>0.11452621182413891</v>
      </c>
      <c r="H366" s="125">
        <f t="shared" si="112"/>
        <v>44716</v>
      </c>
      <c r="I366" s="82">
        <f t="shared" si="100"/>
        <v>0.28709474401091617</v>
      </c>
      <c r="J366" s="126">
        <f t="shared" si="106"/>
        <v>2618253.6113492427</v>
      </c>
      <c r="K366" s="139">
        <f t="shared" si="101"/>
        <v>0</v>
      </c>
      <c r="L366" s="83">
        <f t="shared" si="99"/>
        <v>2618253.6113492427</v>
      </c>
      <c r="M366" s="80">
        <f t="shared" si="107"/>
        <v>240</v>
      </c>
      <c r="N366" s="157">
        <f t="shared" si="115"/>
        <v>0</v>
      </c>
      <c r="O366" s="140">
        <f t="shared" si="102"/>
        <v>0</v>
      </c>
      <c r="P366" s="149">
        <v>0</v>
      </c>
      <c r="Q366" s="163">
        <f t="shared" si="108"/>
        <v>240</v>
      </c>
      <c r="R366" s="150">
        <f t="shared" si="103"/>
        <v>0</v>
      </c>
      <c r="S366" s="164">
        <f t="shared" si="96"/>
        <v>9119824.2599999998</v>
      </c>
    </row>
    <row r="367" spans="1:19" x14ac:dyDescent="0.25">
      <c r="A367" s="80" t="str">
        <f t="shared" si="113"/>
        <v>Sun</v>
      </c>
      <c r="B367" s="147">
        <f>IF(SUMIFS(CashFlow!$C$16:$C$40,CashFlow!$D$16:$D$40,CashFlowCalcs!$E367)&gt;0,SUMIFS(CashFlow!$C$16:$C$40,CashFlow!$D$16:$D$40,CashFlowCalcs!$E367),B366)</f>
        <v>12</v>
      </c>
      <c r="C367" s="147" t="str">
        <f t="shared" si="104"/>
        <v>Y</v>
      </c>
      <c r="D367" s="80">
        <f t="shared" si="109"/>
        <v>240</v>
      </c>
      <c r="E367" s="81">
        <f t="shared" si="114"/>
        <v>44717</v>
      </c>
      <c r="F367" s="80">
        <f t="shared" si="111"/>
        <v>-1.5798816568047338</v>
      </c>
      <c r="G367" s="119">
        <f t="shared" si="105"/>
        <v>0.11452621182413891</v>
      </c>
      <c r="H367" s="125">
        <f t="shared" si="112"/>
        <v>44717</v>
      </c>
      <c r="I367" s="82">
        <f t="shared" si="100"/>
        <v>0.28709474401091617</v>
      </c>
      <c r="J367" s="126">
        <f t="shared" si="106"/>
        <v>2618253.6113492427</v>
      </c>
      <c r="K367" s="139">
        <f t="shared" si="101"/>
        <v>0</v>
      </c>
      <c r="L367" s="83">
        <f t="shared" si="99"/>
        <v>2618253.6113492427</v>
      </c>
      <c r="M367" s="80">
        <f t="shared" si="107"/>
        <v>240</v>
      </c>
      <c r="N367" s="157">
        <f t="shared" si="115"/>
        <v>0</v>
      </c>
      <c r="O367" s="140">
        <f t="shared" si="102"/>
        <v>0</v>
      </c>
      <c r="P367" s="149">
        <v>0</v>
      </c>
      <c r="Q367" s="163">
        <f t="shared" si="108"/>
        <v>240</v>
      </c>
      <c r="R367" s="150">
        <f t="shared" si="103"/>
        <v>0</v>
      </c>
      <c r="S367" s="164">
        <f t="shared" si="96"/>
        <v>9119824.2599999998</v>
      </c>
    </row>
    <row r="368" spans="1:19" x14ac:dyDescent="0.25">
      <c r="A368" s="80" t="str">
        <f t="shared" si="113"/>
        <v>Mon</v>
      </c>
      <c r="B368" s="147">
        <f>IF(SUMIFS(CashFlow!$C$16:$C$40,CashFlow!$D$16:$D$40,CashFlowCalcs!$E368)&gt;0,SUMIFS(CashFlow!$C$16:$C$40,CashFlow!$D$16:$D$40,CashFlowCalcs!$E368),B367)</f>
        <v>12</v>
      </c>
      <c r="C368" s="147" t="str">
        <f t="shared" si="104"/>
        <v>N</v>
      </c>
      <c r="D368" s="80">
        <f t="shared" si="109"/>
        <v>241</v>
      </c>
      <c r="E368" s="81">
        <f t="shared" si="114"/>
        <v>44718</v>
      </c>
      <c r="F368" s="80">
        <f t="shared" si="111"/>
        <v>-1.5739644970414202</v>
      </c>
      <c r="G368" s="119">
        <f t="shared" si="105"/>
        <v>0.11559984631750422</v>
      </c>
      <c r="H368" s="125">
        <f t="shared" si="112"/>
        <v>44718</v>
      </c>
      <c r="I368" s="82">
        <f t="shared" si="100"/>
        <v>0.28978613504816897</v>
      </c>
      <c r="J368" s="126">
        <f t="shared" si="106"/>
        <v>2642798.6246239278</v>
      </c>
      <c r="K368" s="139">
        <f t="shared" si="101"/>
        <v>0</v>
      </c>
      <c r="L368" s="83">
        <f t="shared" si="99"/>
        <v>2642798.6246239278</v>
      </c>
      <c r="M368" s="80">
        <f t="shared" si="107"/>
        <v>241</v>
      </c>
      <c r="N368" s="157">
        <f t="shared" si="115"/>
        <v>0</v>
      </c>
      <c r="O368" s="140">
        <f t="shared" si="102"/>
        <v>0</v>
      </c>
      <c r="P368" s="149">
        <v>0</v>
      </c>
      <c r="Q368" s="163">
        <f t="shared" si="108"/>
        <v>241</v>
      </c>
      <c r="R368" s="150">
        <f t="shared" si="103"/>
        <v>0</v>
      </c>
      <c r="S368" s="164">
        <f t="shared" si="96"/>
        <v>9119824.2599999998</v>
      </c>
    </row>
    <row r="369" spans="1:19" x14ac:dyDescent="0.25">
      <c r="A369" s="80" t="str">
        <f t="shared" si="113"/>
        <v>Tues</v>
      </c>
      <c r="B369" s="147">
        <f>IF(SUMIFS(CashFlow!$C$16:$C$40,CashFlow!$D$16:$D$40,CashFlowCalcs!$E369)&gt;0,SUMIFS(CashFlow!$C$16:$C$40,CashFlow!$D$16:$D$40,CashFlowCalcs!$E369),B368)</f>
        <v>12</v>
      </c>
      <c r="C369" s="147" t="str">
        <f t="shared" si="104"/>
        <v>N</v>
      </c>
      <c r="D369" s="80">
        <f t="shared" si="109"/>
        <v>242</v>
      </c>
      <c r="E369" s="81">
        <f t="shared" si="114"/>
        <v>44719</v>
      </c>
      <c r="F369" s="80">
        <f t="shared" si="111"/>
        <v>-1.5680473372781065</v>
      </c>
      <c r="G369" s="119">
        <f t="shared" si="105"/>
        <v>0.11667946033354953</v>
      </c>
      <c r="H369" s="125">
        <f t="shared" si="112"/>
        <v>44719</v>
      </c>
      <c r="I369" s="82">
        <f t="shared" si="100"/>
        <v>0.29249251557565092</v>
      </c>
      <c r="J369" s="126">
        <f t="shared" si="106"/>
        <v>2667480.3394152489</v>
      </c>
      <c r="K369" s="139">
        <f t="shared" si="101"/>
        <v>0</v>
      </c>
      <c r="L369" s="83">
        <f t="shared" si="99"/>
        <v>2667480.3394152489</v>
      </c>
      <c r="M369" s="80">
        <f t="shared" si="107"/>
        <v>242</v>
      </c>
      <c r="N369" s="157">
        <f t="shared" si="115"/>
        <v>0</v>
      </c>
      <c r="O369" s="140">
        <f t="shared" si="102"/>
        <v>0</v>
      </c>
      <c r="P369" s="149">
        <v>0</v>
      </c>
      <c r="Q369" s="163">
        <f t="shared" si="108"/>
        <v>242</v>
      </c>
      <c r="R369" s="150">
        <f t="shared" si="103"/>
        <v>0</v>
      </c>
      <c r="S369" s="164">
        <f t="shared" si="96"/>
        <v>9119824.2599999998</v>
      </c>
    </row>
    <row r="370" spans="1:19" x14ac:dyDescent="0.25">
      <c r="A370" s="80" t="str">
        <f t="shared" si="113"/>
        <v>Wed</v>
      </c>
      <c r="B370" s="147">
        <f>IF(SUMIFS(CashFlow!$C$16:$C$40,CashFlow!$D$16:$D$40,CashFlowCalcs!$E370)&gt;0,SUMIFS(CashFlow!$C$16:$C$40,CashFlow!$D$16:$D$40,CashFlowCalcs!$E370),B369)</f>
        <v>12</v>
      </c>
      <c r="C370" s="147" t="str">
        <f t="shared" si="104"/>
        <v>N</v>
      </c>
      <c r="D370" s="80">
        <f t="shared" si="109"/>
        <v>243</v>
      </c>
      <c r="E370" s="81">
        <f t="shared" si="114"/>
        <v>44720</v>
      </c>
      <c r="F370" s="80">
        <f t="shared" si="111"/>
        <v>-1.5621301775147929</v>
      </c>
      <c r="G370" s="119">
        <f t="shared" si="105"/>
        <v>0.11776503376416501</v>
      </c>
      <c r="H370" s="125">
        <f t="shared" si="112"/>
        <v>44720</v>
      </c>
      <c r="I370" s="82">
        <f t="shared" si="100"/>
        <v>0.29521383518627575</v>
      </c>
      <c r="J370" s="126">
        <f t="shared" si="106"/>
        <v>2692298.2960194391</v>
      </c>
      <c r="K370" s="139">
        <f t="shared" si="101"/>
        <v>0</v>
      </c>
      <c r="L370" s="83">
        <f t="shared" si="99"/>
        <v>2692298.2960194391</v>
      </c>
      <c r="M370" s="80">
        <f t="shared" si="107"/>
        <v>243</v>
      </c>
      <c r="N370" s="157">
        <f t="shared" si="115"/>
        <v>0</v>
      </c>
      <c r="O370" s="140">
        <f t="shared" si="102"/>
        <v>0</v>
      </c>
      <c r="P370" s="149">
        <v>0</v>
      </c>
      <c r="Q370" s="163">
        <f t="shared" si="108"/>
        <v>243</v>
      </c>
      <c r="R370" s="150">
        <f t="shared" si="103"/>
        <v>0</v>
      </c>
      <c r="S370" s="164">
        <f t="shared" si="96"/>
        <v>9119824.2599999998</v>
      </c>
    </row>
    <row r="371" spans="1:19" x14ac:dyDescent="0.25">
      <c r="A371" s="80" t="str">
        <f t="shared" si="113"/>
        <v>Thu</v>
      </c>
      <c r="B371" s="147">
        <f>IF(SUMIFS(CashFlow!$C$16:$C$40,CashFlow!$D$16:$D$40,CashFlowCalcs!$E371)&gt;0,SUMIFS(CashFlow!$C$16:$C$40,CashFlow!$D$16:$D$40,CashFlowCalcs!$E371),B370)</f>
        <v>12</v>
      </c>
      <c r="C371" s="147" t="str">
        <f t="shared" si="104"/>
        <v>N</v>
      </c>
      <c r="D371" s="80">
        <f t="shared" si="109"/>
        <v>244</v>
      </c>
      <c r="E371" s="81">
        <f t="shared" si="114"/>
        <v>44721</v>
      </c>
      <c r="F371" s="80">
        <f t="shared" si="111"/>
        <v>-1.5562130177514792</v>
      </c>
      <c r="G371" s="119">
        <f t="shared" si="105"/>
        <v>0.11885654568493624</v>
      </c>
      <c r="H371" s="125">
        <f t="shared" si="112"/>
        <v>44721</v>
      </c>
      <c r="I371" s="82">
        <f t="shared" si="100"/>
        <v>0.29795004142664167</v>
      </c>
      <c r="J371" s="126">
        <f t="shared" si="106"/>
        <v>2717252.0160706914</v>
      </c>
      <c r="K371" s="139">
        <f t="shared" si="101"/>
        <v>0</v>
      </c>
      <c r="L371" s="83">
        <f t="shared" si="99"/>
        <v>2717252.0160706914</v>
      </c>
      <c r="M371" s="80">
        <f t="shared" si="107"/>
        <v>244</v>
      </c>
      <c r="N371" s="157">
        <f t="shared" si="115"/>
        <v>0</v>
      </c>
      <c r="O371" s="140">
        <f t="shared" si="102"/>
        <v>0</v>
      </c>
      <c r="P371" s="149">
        <v>0</v>
      </c>
      <c r="Q371" s="163">
        <f t="shared" si="108"/>
        <v>244</v>
      </c>
      <c r="R371" s="150">
        <f t="shared" si="103"/>
        <v>0</v>
      </c>
      <c r="S371" s="164">
        <f t="shared" ref="S371:S434" si="116">(1-(IF(AND(R371=1,D370&lt;$I$2),(1-I370)/(1-VLOOKUP($K$6,$D$17:$I$750,6)),0)))*$M$8</f>
        <v>9119824.2599999998</v>
      </c>
    </row>
    <row r="372" spans="1:19" x14ac:dyDescent="0.25">
      <c r="A372" s="80" t="str">
        <f t="shared" si="113"/>
        <v>Fri</v>
      </c>
      <c r="B372" s="147">
        <f>IF(SUMIFS(CashFlow!$C$16:$C$40,CashFlow!$D$16:$D$40,CashFlowCalcs!$E372)&gt;0,SUMIFS(CashFlow!$C$16:$C$40,CashFlow!$D$16:$D$40,CashFlowCalcs!$E372),B371)</f>
        <v>12</v>
      </c>
      <c r="C372" s="147" t="str">
        <f t="shared" si="104"/>
        <v>N</v>
      </c>
      <c r="D372" s="80">
        <f t="shared" si="109"/>
        <v>245</v>
      </c>
      <c r="E372" s="81">
        <f t="shared" ref="E372:E387" si="117">E371+1</f>
        <v>44722</v>
      </c>
      <c r="F372" s="80">
        <f t="shared" si="111"/>
        <v>-1.5502958579881656</v>
      </c>
      <c r="G372" s="119">
        <f t="shared" si="105"/>
        <v>0.11995397435049374</v>
      </c>
      <c r="H372" s="125">
        <f t="shared" si="112"/>
        <v>44722</v>
      </c>
      <c r="I372" s="82">
        <f t="shared" si="100"/>
        <v>0.30070107978537369</v>
      </c>
      <c r="J372" s="126">
        <f t="shared" si="106"/>
        <v>2742341.0024348465</v>
      </c>
      <c r="K372" s="139">
        <f t="shared" si="101"/>
        <v>0</v>
      </c>
      <c r="L372" s="83">
        <f t="shared" si="99"/>
        <v>2742341.0024348465</v>
      </c>
      <c r="M372" s="80">
        <f t="shared" si="107"/>
        <v>245</v>
      </c>
      <c r="N372" s="157">
        <f t="shared" si="115"/>
        <v>0</v>
      </c>
      <c r="O372" s="140">
        <f t="shared" si="102"/>
        <v>0</v>
      </c>
      <c r="P372" s="149">
        <v>0</v>
      </c>
      <c r="Q372" s="163">
        <f t="shared" si="108"/>
        <v>245</v>
      </c>
      <c r="R372" s="150">
        <f t="shared" si="103"/>
        <v>0</v>
      </c>
      <c r="S372" s="164">
        <f t="shared" si="116"/>
        <v>9119824.2599999998</v>
      </c>
    </row>
    <row r="373" spans="1:19" x14ac:dyDescent="0.25">
      <c r="A373" s="80" t="str">
        <f t="shared" si="113"/>
        <v>Sat</v>
      </c>
      <c r="B373" s="147">
        <f>IF(SUMIFS(CashFlow!$C$16:$C$40,CashFlow!$D$16:$D$40,CashFlowCalcs!$E373)&gt;0,SUMIFS(CashFlow!$C$16:$C$40,CashFlow!$D$16:$D$40,CashFlowCalcs!$E373),B372)</f>
        <v>12</v>
      </c>
      <c r="C373" s="147" t="str">
        <f t="shared" si="104"/>
        <v>Y</v>
      </c>
      <c r="D373" s="80">
        <f t="shared" si="109"/>
        <v>245</v>
      </c>
      <c r="E373" s="81">
        <f t="shared" si="117"/>
        <v>44723</v>
      </c>
      <c r="F373" s="80">
        <f t="shared" si="111"/>
        <v>-1.5502958579881656</v>
      </c>
      <c r="G373" s="119">
        <f t="shared" si="105"/>
        <v>0.11995397435049374</v>
      </c>
      <c r="H373" s="125">
        <f t="shared" si="112"/>
        <v>44723</v>
      </c>
      <c r="I373" s="82">
        <f t="shared" si="100"/>
        <v>0.30070107978537369</v>
      </c>
      <c r="J373" s="126">
        <f t="shared" si="106"/>
        <v>2742341.0024348465</v>
      </c>
      <c r="K373" s="139">
        <f t="shared" si="101"/>
        <v>0</v>
      </c>
      <c r="L373" s="83">
        <f t="shared" si="99"/>
        <v>2742341.0024348465</v>
      </c>
      <c r="M373" s="80">
        <f t="shared" si="107"/>
        <v>245</v>
      </c>
      <c r="N373" s="157">
        <f t="shared" si="115"/>
        <v>0</v>
      </c>
      <c r="O373" s="140">
        <f t="shared" si="102"/>
        <v>0</v>
      </c>
      <c r="P373" s="149">
        <v>0</v>
      </c>
      <c r="Q373" s="163">
        <f t="shared" si="108"/>
        <v>245</v>
      </c>
      <c r="R373" s="150">
        <f t="shared" si="103"/>
        <v>0</v>
      </c>
      <c r="S373" s="164">
        <f t="shared" si="116"/>
        <v>9119824.2599999998</v>
      </c>
    </row>
    <row r="374" spans="1:19" x14ac:dyDescent="0.25">
      <c r="A374" s="80" t="str">
        <f t="shared" si="113"/>
        <v>Sun</v>
      </c>
      <c r="B374" s="147">
        <f>IF(SUMIFS(CashFlow!$C$16:$C$40,CashFlow!$D$16:$D$40,CashFlowCalcs!$E374)&gt;0,SUMIFS(CashFlow!$C$16:$C$40,CashFlow!$D$16:$D$40,CashFlowCalcs!$E374),B373)</f>
        <v>12</v>
      </c>
      <c r="C374" s="147" t="str">
        <f t="shared" si="104"/>
        <v>Y</v>
      </c>
      <c r="D374" s="80">
        <f t="shared" si="109"/>
        <v>245</v>
      </c>
      <c r="E374" s="81">
        <f t="shared" si="117"/>
        <v>44724</v>
      </c>
      <c r="F374" s="80">
        <f t="shared" si="111"/>
        <v>-1.5502958579881656</v>
      </c>
      <c r="G374" s="119">
        <f t="shared" si="105"/>
        <v>0.11995397435049374</v>
      </c>
      <c r="H374" s="125">
        <f t="shared" si="112"/>
        <v>44724</v>
      </c>
      <c r="I374" s="82">
        <f t="shared" si="100"/>
        <v>0.30070107978537369</v>
      </c>
      <c r="J374" s="126">
        <f t="shared" si="106"/>
        <v>2742341.0024348465</v>
      </c>
      <c r="K374" s="139">
        <f t="shared" si="101"/>
        <v>0</v>
      </c>
      <c r="L374" s="83">
        <f t="shared" si="99"/>
        <v>2742341.0024348465</v>
      </c>
      <c r="M374" s="80">
        <f t="shared" si="107"/>
        <v>245</v>
      </c>
      <c r="N374" s="157">
        <f t="shared" si="115"/>
        <v>0</v>
      </c>
      <c r="O374" s="140">
        <f t="shared" si="102"/>
        <v>0</v>
      </c>
      <c r="P374" s="149">
        <v>0</v>
      </c>
      <c r="Q374" s="163">
        <f t="shared" si="108"/>
        <v>245</v>
      </c>
      <c r="R374" s="150">
        <f t="shared" si="103"/>
        <v>0</v>
      </c>
      <c r="S374" s="164">
        <f t="shared" si="116"/>
        <v>9119824.2599999998</v>
      </c>
    </row>
    <row r="375" spans="1:19" x14ac:dyDescent="0.25">
      <c r="A375" s="80" t="str">
        <f t="shared" si="113"/>
        <v>Mon</v>
      </c>
      <c r="B375" s="147">
        <f>IF(SUMIFS(CashFlow!$C$16:$C$40,CashFlow!$D$16:$D$40,CashFlowCalcs!$E375)&gt;0,SUMIFS(CashFlow!$C$16:$C$40,CashFlow!$D$16:$D$40,CashFlowCalcs!$E375),B374)</f>
        <v>12</v>
      </c>
      <c r="C375" s="147" t="str">
        <f t="shared" si="104"/>
        <v>N</v>
      </c>
      <c r="D375" s="80">
        <f t="shared" si="109"/>
        <v>246</v>
      </c>
      <c r="E375" s="81">
        <f t="shared" si="117"/>
        <v>44725</v>
      </c>
      <c r="F375" s="80">
        <f t="shared" si="111"/>
        <v>-1.5443786982248522</v>
      </c>
      <c r="G375" s="119">
        <f t="shared" si="105"/>
        <v>0.12105729718996314</v>
      </c>
      <c r="H375" s="125">
        <f t="shared" si="112"/>
        <v>44725</v>
      </c>
      <c r="I375" s="82">
        <f t="shared" si="100"/>
        <v>0.30346689368171786</v>
      </c>
      <c r="J375" s="126">
        <f t="shared" si="106"/>
        <v>2767564.7391053713</v>
      </c>
      <c r="K375" s="139">
        <f t="shared" si="101"/>
        <v>0</v>
      </c>
      <c r="L375" s="83">
        <f t="shared" si="99"/>
        <v>2767564.7391053713</v>
      </c>
      <c r="M375" s="80">
        <f t="shared" si="107"/>
        <v>246</v>
      </c>
      <c r="N375" s="157">
        <f t="shared" si="115"/>
        <v>0</v>
      </c>
      <c r="O375" s="140">
        <f t="shared" si="102"/>
        <v>0</v>
      </c>
      <c r="P375" s="149">
        <v>0</v>
      </c>
      <c r="Q375" s="163">
        <f t="shared" si="108"/>
        <v>246</v>
      </c>
      <c r="R375" s="150">
        <f t="shared" si="103"/>
        <v>0</v>
      </c>
      <c r="S375" s="164">
        <f t="shared" si="116"/>
        <v>9119824.2599999998</v>
      </c>
    </row>
    <row r="376" spans="1:19" x14ac:dyDescent="0.25">
      <c r="A376" s="80" t="str">
        <f t="shared" si="113"/>
        <v>Tues</v>
      </c>
      <c r="B376" s="147">
        <f>IF(SUMIFS(CashFlow!$C$16:$C$40,CashFlow!$D$16:$D$40,CashFlowCalcs!$E376)&gt;0,SUMIFS(CashFlow!$C$16:$C$40,CashFlow!$D$16:$D$40,CashFlowCalcs!$E376),B375)</f>
        <v>12</v>
      </c>
      <c r="C376" s="147" t="str">
        <f t="shared" si="104"/>
        <v>N</v>
      </c>
      <c r="D376" s="80">
        <f t="shared" si="109"/>
        <v>247</v>
      </c>
      <c r="E376" s="81">
        <f t="shared" si="117"/>
        <v>44726</v>
      </c>
      <c r="F376" s="80">
        <f t="shared" si="111"/>
        <v>-1.5384615384615385</v>
      </c>
      <c r="G376" s="119">
        <f t="shared" si="105"/>
        <v>0.12216649080251907</v>
      </c>
      <c r="H376" s="125">
        <f t="shared" si="112"/>
        <v>44726</v>
      </c>
      <c r="I376" s="82">
        <f t="shared" si="100"/>
        <v>0.30624742445439618</v>
      </c>
      <c r="J376" s="126">
        <f t="shared" si="106"/>
        <v>2792922.6911017196</v>
      </c>
      <c r="K376" s="139">
        <f t="shared" si="101"/>
        <v>0</v>
      </c>
      <c r="L376" s="83">
        <f t="shared" si="99"/>
        <v>2792922.6911017196</v>
      </c>
      <c r="M376" s="80">
        <f t="shared" si="107"/>
        <v>247</v>
      </c>
      <c r="N376" s="157">
        <f t="shared" si="115"/>
        <v>0</v>
      </c>
      <c r="O376" s="140">
        <f t="shared" si="102"/>
        <v>0</v>
      </c>
      <c r="P376" s="149">
        <v>0</v>
      </c>
      <c r="Q376" s="163">
        <f t="shared" si="108"/>
        <v>247</v>
      </c>
      <c r="R376" s="150">
        <f t="shared" si="103"/>
        <v>0</v>
      </c>
      <c r="S376" s="164">
        <f t="shared" si="116"/>
        <v>9119824.2599999998</v>
      </c>
    </row>
    <row r="377" spans="1:19" x14ac:dyDescent="0.25">
      <c r="A377" s="80" t="str">
        <f t="shared" si="113"/>
        <v>Wed</v>
      </c>
      <c r="B377" s="147">
        <f>IF(SUMIFS(CashFlow!$C$16:$C$40,CashFlow!$D$16:$D$40,CashFlowCalcs!$E377)&gt;0,SUMIFS(CashFlow!$C$16:$C$40,CashFlow!$D$16:$D$40,CashFlowCalcs!$E377),B376)</f>
        <v>12</v>
      </c>
      <c r="C377" s="147" t="str">
        <f t="shared" si="104"/>
        <v>N</v>
      </c>
      <c r="D377" s="80">
        <f t="shared" si="109"/>
        <v>248</v>
      </c>
      <c r="E377" s="81">
        <f t="shared" si="117"/>
        <v>44727</v>
      </c>
      <c r="F377" s="80">
        <f t="shared" si="111"/>
        <v>-1.5325443786982249</v>
      </c>
      <c r="G377" s="119">
        <f t="shared" si="105"/>
        <v>0.12328153095304355</v>
      </c>
      <c r="H377" s="125">
        <f t="shared" si="112"/>
        <v>44727</v>
      </c>
      <c r="I377" s="82">
        <f t="shared" si="100"/>
        <v>0.30904261135072242</v>
      </c>
      <c r="J377" s="126">
        <f t="shared" si="106"/>
        <v>2818414.3043700694</v>
      </c>
      <c r="K377" s="139">
        <f t="shared" si="101"/>
        <v>0</v>
      </c>
      <c r="L377" s="83">
        <f t="shared" si="99"/>
        <v>2818414.3043700694</v>
      </c>
      <c r="M377" s="80">
        <f t="shared" si="107"/>
        <v>248</v>
      </c>
      <c r="N377" s="157">
        <f t="shared" si="115"/>
        <v>0</v>
      </c>
      <c r="O377" s="140">
        <f t="shared" si="102"/>
        <v>0</v>
      </c>
      <c r="P377" s="149">
        <v>0</v>
      </c>
      <c r="Q377" s="163">
        <f t="shared" si="108"/>
        <v>248</v>
      </c>
      <c r="R377" s="150">
        <f t="shared" si="103"/>
        <v>0</v>
      </c>
      <c r="S377" s="164">
        <f t="shared" si="116"/>
        <v>9119824.2599999998</v>
      </c>
    </row>
    <row r="378" spans="1:19" x14ac:dyDescent="0.25">
      <c r="A378" s="80" t="str">
        <f t="shared" si="113"/>
        <v>Thu</v>
      </c>
      <c r="B378" s="147">
        <f>IF(SUMIFS(CashFlow!$C$16:$C$40,CashFlow!$D$16:$D$40,CashFlowCalcs!$E378)&gt;0,SUMIFS(CashFlow!$C$16:$C$40,CashFlow!$D$16:$D$40,CashFlowCalcs!$E378),B377)</f>
        <v>12</v>
      </c>
      <c r="C378" s="147" t="str">
        <f t="shared" si="104"/>
        <v>N</v>
      </c>
      <c r="D378" s="80">
        <f t="shared" si="109"/>
        <v>249</v>
      </c>
      <c r="E378" s="81">
        <f t="shared" si="117"/>
        <v>44728</v>
      </c>
      <c r="F378" s="80">
        <f t="shared" si="111"/>
        <v>-1.5266272189349113</v>
      </c>
      <c r="G378" s="119">
        <f t="shared" si="105"/>
        <v>0.12440239256789144</v>
      </c>
      <c r="H378" s="125">
        <f t="shared" si="112"/>
        <v>44728</v>
      </c>
      <c r="I378" s="82">
        <f t="shared" si="100"/>
        <v>0.31185239151598754</v>
      </c>
      <c r="J378" s="126">
        <f t="shared" si="106"/>
        <v>2844039.0056865211</v>
      </c>
      <c r="K378" s="139">
        <f t="shared" si="101"/>
        <v>0</v>
      </c>
      <c r="L378" s="83">
        <f t="shared" si="99"/>
        <v>2844039.0056865211</v>
      </c>
      <c r="M378" s="80">
        <f t="shared" si="107"/>
        <v>249</v>
      </c>
      <c r="N378" s="157">
        <f t="shared" si="115"/>
        <v>0</v>
      </c>
      <c r="O378" s="140">
        <f t="shared" si="102"/>
        <v>0</v>
      </c>
      <c r="P378" s="149">
        <v>0</v>
      </c>
      <c r="Q378" s="163">
        <f t="shared" si="108"/>
        <v>249</v>
      </c>
      <c r="R378" s="150">
        <f t="shared" si="103"/>
        <v>0</v>
      </c>
      <c r="S378" s="164">
        <f t="shared" si="116"/>
        <v>9119824.2599999998</v>
      </c>
    </row>
    <row r="379" spans="1:19" x14ac:dyDescent="0.25">
      <c r="A379" s="80" t="str">
        <f t="shared" si="113"/>
        <v>Fri</v>
      </c>
      <c r="B379" s="147">
        <f>IF(SUMIFS(CashFlow!$C$16:$C$40,CashFlow!$D$16:$D$40,CashFlowCalcs!$E379)&gt;0,SUMIFS(CashFlow!$C$16:$C$40,CashFlow!$D$16:$D$40,CashFlowCalcs!$E379),B378)</f>
        <v>12</v>
      </c>
      <c r="C379" s="147" t="str">
        <f t="shared" si="104"/>
        <v>N</v>
      </c>
      <c r="D379" s="80">
        <f t="shared" si="109"/>
        <v>250</v>
      </c>
      <c r="E379" s="81">
        <f t="shared" si="117"/>
        <v>44729</v>
      </c>
      <c r="F379" s="80">
        <f t="shared" si="111"/>
        <v>-1.5207100591715976</v>
      </c>
      <c r="G379" s="119">
        <f t="shared" si="105"/>
        <v>0.12552904973076467</v>
      </c>
      <c r="H379" s="125">
        <f t="shared" si="112"/>
        <v>44729</v>
      </c>
      <c r="I379" s="82">
        <f t="shared" si="100"/>
        <v>0.31467669998311681</v>
      </c>
      <c r="J379" s="126">
        <f t="shared" si="106"/>
        <v>2869796.2025627703</v>
      </c>
      <c r="K379" s="139">
        <f t="shared" si="101"/>
        <v>0</v>
      </c>
      <c r="L379" s="83">
        <f t="shared" si="99"/>
        <v>2869796.2025627703</v>
      </c>
      <c r="M379" s="80">
        <f t="shared" si="107"/>
        <v>250</v>
      </c>
      <c r="N379" s="157">
        <f t="shared" si="115"/>
        <v>0</v>
      </c>
      <c r="O379" s="140">
        <f t="shared" si="102"/>
        <v>0</v>
      </c>
      <c r="P379" s="149">
        <v>0</v>
      </c>
      <c r="Q379" s="163">
        <f t="shared" si="108"/>
        <v>250</v>
      </c>
      <c r="R379" s="150">
        <f t="shared" si="103"/>
        <v>0</v>
      </c>
      <c r="S379" s="164">
        <f t="shared" si="116"/>
        <v>9119824.2599999998</v>
      </c>
    </row>
    <row r="380" spans="1:19" x14ac:dyDescent="0.25">
      <c r="A380" s="80" t="str">
        <f t="shared" si="113"/>
        <v>Sat</v>
      </c>
      <c r="B380" s="147">
        <f>IF(SUMIFS(CashFlow!$C$16:$C$40,CashFlow!$D$16:$D$40,CashFlowCalcs!$E380)&gt;0,SUMIFS(CashFlow!$C$16:$C$40,CashFlow!$D$16:$D$40,CashFlowCalcs!$E380),B379)</f>
        <v>12</v>
      </c>
      <c r="C380" s="147" t="str">
        <f t="shared" si="104"/>
        <v>Y</v>
      </c>
      <c r="D380" s="80">
        <f t="shared" si="109"/>
        <v>250</v>
      </c>
      <c r="E380" s="81">
        <f t="shared" si="117"/>
        <v>44730</v>
      </c>
      <c r="F380" s="80">
        <f t="shared" si="111"/>
        <v>-1.5207100591715976</v>
      </c>
      <c r="G380" s="119">
        <f t="shared" si="105"/>
        <v>0.12552904973076467</v>
      </c>
      <c r="H380" s="125">
        <f t="shared" si="112"/>
        <v>44730</v>
      </c>
      <c r="I380" s="82">
        <f t="shared" si="100"/>
        <v>0.31467669998311681</v>
      </c>
      <c r="J380" s="126">
        <f t="shared" si="106"/>
        <v>2869796.2025627703</v>
      </c>
      <c r="K380" s="139">
        <f t="shared" si="101"/>
        <v>0</v>
      </c>
      <c r="L380" s="83">
        <f t="shared" si="99"/>
        <v>2869796.2025627703</v>
      </c>
      <c r="M380" s="80">
        <f t="shared" si="107"/>
        <v>250</v>
      </c>
      <c r="N380" s="157">
        <f t="shared" si="115"/>
        <v>0</v>
      </c>
      <c r="O380" s="140">
        <f t="shared" si="102"/>
        <v>0</v>
      </c>
      <c r="P380" s="149">
        <v>0</v>
      </c>
      <c r="Q380" s="163">
        <f t="shared" si="108"/>
        <v>250</v>
      </c>
      <c r="R380" s="150">
        <f t="shared" si="103"/>
        <v>0</v>
      </c>
      <c r="S380" s="164">
        <f t="shared" si="116"/>
        <v>9119824.2599999998</v>
      </c>
    </row>
    <row r="381" spans="1:19" x14ac:dyDescent="0.25">
      <c r="A381" s="80" t="str">
        <f t="shared" si="113"/>
        <v>Sun</v>
      </c>
      <c r="B381" s="147">
        <f>IF(SUMIFS(CashFlow!$C$16:$C$40,CashFlow!$D$16:$D$40,CashFlowCalcs!$E381)&gt;0,SUMIFS(CashFlow!$C$16:$C$40,CashFlow!$D$16:$D$40,CashFlowCalcs!$E381),B380)</f>
        <v>12</v>
      </c>
      <c r="C381" s="147" t="str">
        <f t="shared" si="104"/>
        <v>Y</v>
      </c>
      <c r="D381" s="80">
        <f t="shared" si="109"/>
        <v>250</v>
      </c>
      <c r="E381" s="81">
        <f t="shared" si="117"/>
        <v>44731</v>
      </c>
      <c r="F381" s="80">
        <f t="shared" si="111"/>
        <v>-1.5207100591715976</v>
      </c>
      <c r="G381" s="119">
        <f t="shared" si="105"/>
        <v>0.12552904973076467</v>
      </c>
      <c r="H381" s="125">
        <f t="shared" si="112"/>
        <v>44731</v>
      </c>
      <c r="I381" s="82">
        <f t="shared" si="100"/>
        <v>0.31467669998311681</v>
      </c>
      <c r="J381" s="126">
        <f t="shared" si="106"/>
        <v>2869796.2025627703</v>
      </c>
      <c r="K381" s="139">
        <f t="shared" si="101"/>
        <v>0</v>
      </c>
      <c r="L381" s="83">
        <f t="shared" si="99"/>
        <v>2869796.2025627703</v>
      </c>
      <c r="M381" s="80">
        <f t="shared" si="107"/>
        <v>250</v>
      </c>
      <c r="N381" s="157">
        <f t="shared" si="115"/>
        <v>0</v>
      </c>
      <c r="O381" s="140">
        <f t="shared" si="102"/>
        <v>0</v>
      </c>
      <c r="P381" s="149">
        <v>0</v>
      </c>
      <c r="Q381" s="163">
        <f t="shared" si="108"/>
        <v>250</v>
      </c>
      <c r="R381" s="150">
        <f t="shared" si="103"/>
        <v>0</v>
      </c>
      <c r="S381" s="164">
        <f t="shared" si="116"/>
        <v>9119824.2599999998</v>
      </c>
    </row>
    <row r="382" spans="1:19" x14ac:dyDescent="0.25">
      <c r="A382" s="80" t="str">
        <f t="shared" si="113"/>
        <v>Mon</v>
      </c>
      <c r="B382" s="147">
        <f>IF(SUMIFS(CashFlow!$C$16:$C$40,CashFlow!$D$16:$D$40,CashFlowCalcs!$E382)&gt;0,SUMIFS(CashFlow!$C$16:$C$40,CashFlow!$D$16:$D$40,CashFlowCalcs!$E382),B381)</f>
        <v>12</v>
      </c>
      <c r="C382" s="147" t="str">
        <f t="shared" si="104"/>
        <v>N</v>
      </c>
      <c r="D382" s="80">
        <f t="shared" si="109"/>
        <v>251</v>
      </c>
      <c r="E382" s="81">
        <f t="shared" si="117"/>
        <v>44732</v>
      </c>
      <c r="F382" s="80">
        <f t="shared" si="111"/>
        <v>-1.5147928994082842</v>
      </c>
      <c r="G382" s="119">
        <f t="shared" si="105"/>
        <v>0.12666147567869696</v>
      </c>
      <c r="H382" s="125">
        <f t="shared" si="112"/>
        <v>44732</v>
      </c>
      <c r="I382" s="82">
        <f t="shared" si="100"/>
        <v>0.31751546966260441</v>
      </c>
      <c r="J382" s="126">
        <f t="shared" si="106"/>
        <v>2895685.2831543135</v>
      </c>
      <c r="K382" s="139">
        <f t="shared" si="101"/>
        <v>0</v>
      </c>
      <c r="L382" s="83">
        <f t="shared" si="99"/>
        <v>2895685.2831543135</v>
      </c>
      <c r="M382" s="80">
        <f t="shared" si="107"/>
        <v>251</v>
      </c>
      <c r="N382" s="157">
        <f t="shared" si="115"/>
        <v>0</v>
      </c>
      <c r="O382" s="140">
        <f t="shared" si="102"/>
        <v>0</v>
      </c>
      <c r="P382" s="149">
        <v>0</v>
      </c>
      <c r="Q382" s="163">
        <f t="shared" si="108"/>
        <v>251</v>
      </c>
      <c r="R382" s="150">
        <f t="shared" si="103"/>
        <v>0</v>
      </c>
      <c r="S382" s="164">
        <f t="shared" si="116"/>
        <v>9119824.2599999998</v>
      </c>
    </row>
    <row r="383" spans="1:19" x14ac:dyDescent="0.25">
      <c r="A383" s="80" t="str">
        <f t="shared" si="113"/>
        <v>Tues</v>
      </c>
      <c r="B383" s="147">
        <f>IF(SUMIFS(CashFlow!$C$16:$C$40,CashFlow!$D$16:$D$40,CashFlowCalcs!$E383)&gt;0,SUMIFS(CashFlow!$C$16:$C$40,CashFlow!$D$16:$D$40,CashFlowCalcs!$E383),B382)</f>
        <v>12</v>
      </c>
      <c r="C383" s="147" t="str">
        <f t="shared" si="104"/>
        <v>N</v>
      </c>
      <c r="D383" s="80">
        <f t="shared" si="109"/>
        <v>252</v>
      </c>
      <c r="E383" s="81">
        <f t="shared" si="117"/>
        <v>44733</v>
      </c>
      <c r="F383" s="80">
        <f t="shared" si="111"/>
        <v>-1.5088757396449703</v>
      </c>
      <c r="G383" s="119">
        <f t="shared" si="105"/>
        <v>0.12779964279815115</v>
      </c>
      <c r="H383" s="125">
        <f t="shared" si="112"/>
        <v>44733</v>
      </c>
      <c r="I383" s="82">
        <f t="shared" si="100"/>
        <v>0.32036863133273019</v>
      </c>
      <c r="J383" s="126">
        <f t="shared" si="106"/>
        <v>2921705.6161712287</v>
      </c>
      <c r="K383" s="139">
        <f t="shared" si="101"/>
        <v>0</v>
      </c>
      <c r="L383" s="83">
        <f t="shared" si="99"/>
        <v>2921705.6161712287</v>
      </c>
      <c r="M383" s="80">
        <f t="shared" si="107"/>
        <v>252</v>
      </c>
      <c r="N383" s="157">
        <f t="shared" si="115"/>
        <v>0</v>
      </c>
      <c r="O383" s="140">
        <f t="shared" si="102"/>
        <v>0</v>
      </c>
      <c r="P383" s="149">
        <v>0</v>
      </c>
      <c r="Q383" s="163">
        <f t="shared" si="108"/>
        <v>252</v>
      </c>
      <c r="R383" s="150">
        <f t="shared" si="103"/>
        <v>0</v>
      </c>
      <c r="S383" s="164">
        <f t="shared" si="116"/>
        <v>9119824.2599999998</v>
      </c>
    </row>
    <row r="384" spans="1:19" x14ac:dyDescent="0.25">
      <c r="A384" s="80" t="str">
        <f t="shared" si="113"/>
        <v>Wed</v>
      </c>
      <c r="B384" s="147">
        <f>IF(SUMIFS(CashFlow!$C$16:$C$40,CashFlow!$D$16:$D$40,CashFlowCalcs!$E384)&gt;0,SUMIFS(CashFlow!$C$16:$C$40,CashFlow!$D$16:$D$40,CashFlowCalcs!$E384),B383)</f>
        <v>12</v>
      </c>
      <c r="C384" s="147" t="str">
        <f t="shared" si="104"/>
        <v>N</v>
      </c>
      <c r="D384" s="80">
        <f t="shared" si="109"/>
        <v>253</v>
      </c>
      <c r="E384" s="81">
        <f t="shared" si="117"/>
        <v>44734</v>
      </c>
      <c r="F384" s="80">
        <f t="shared" si="111"/>
        <v>-1.5029585798816569</v>
      </c>
      <c r="G384" s="119">
        <f t="shared" si="105"/>
        <v>0.12894352262123041</v>
      </c>
      <c r="H384" s="125">
        <f t="shared" si="112"/>
        <v>44734</v>
      </c>
      <c r="I384" s="82">
        <f t="shared" si="100"/>
        <v>0.32323611363006205</v>
      </c>
      <c r="J384" s="126">
        <f t="shared" si="106"/>
        <v>2947856.5507915565</v>
      </c>
      <c r="K384" s="139">
        <f t="shared" si="101"/>
        <v>0</v>
      </c>
      <c r="L384" s="83">
        <f t="shared" si="99"/>
        <v>2947856.5507915565</v>
      </c>
      <c r="M384" s="80">
        <f t="shared" si="107"/>
        <v>253</v>
      </c>
      <c r="N384" s="157">
        <f t="shared" si="115"/>
        <v>0</v>
      </c>
      <c r="O384" s="140">
        <f t="shared" si="102"/>
        <v>0</v>
      </c>
      <c r="P384" s="149">
        <v>0</v>
      </c>
      <c r="Q384" s="163">
        <f t="shared" si="108"/>
        <v>253</v>
      </c>
      <c r="R384" s="150">
        <f t="shared" si="103"/>
        <v>0</v>
      </c>
      <c r="S384" s="164">
        <f t="shared" si="116"/>
        <v>9119824.2599999998</v>
      </c>
    </row>
    <row r="385" spans="1:19" x14ac:dyDescent="0.25">
      <c r="A385" s="80" t="str">
        <f t="shared" si="113"/>
        <v>Thu</v>
      </c>
      <c r="B385" s="147">
        <f>IF(SUMIFS(CashFlow!$C$16:$C$40,CashFlow!$D$16:$D$40,CashFlowCalcs!$E385)&gt;0,SUMIFS(CashFlow!$C$16:$C$40,CashFlow!$D$16:$D$40,CashFlowCalcs!$E385),B384)</f>
        <v>12</v>
      </c>
      <c r="C385" s="147" t="str">
        <f t="shared" si="104"/>
        <v>N</v>
      </c>
      <c r="D385" s="80">
        <f t="shared" si="109"/>
        <v>254</v>
      </c>
      <c r="E385" s="81">
        <f t="shared" si="117"/>
        <v>44735</v>
      </c>
      <c r="F385" s="80">
        <f t="shared" si="111"/>
        <v>-1.4970414201183431</v>
      </c>
      <c r="G385" s="119">
        <f t="shared" si="105"/>
        <v>0.13009308582200643</v>
      </c>
      <c r="H385" s="125">
        <f t="shared" si="112"/>
        <v>44735</v>
      </c>
      <c r="I385" s="82">
        <f t="shared" si="100"/>
        <v>0.3261178430402511</v>
      </c>
      <c r="J385" s="126">
        <f t="shared" si="106"/>
        <v>2974137.4165773541</v>
      </c>
      <c r="K385" s="139">
        <f t="shared" si="101"/>
        <v>0</v>
      </c>
      <c r="L385" s="83">
        <f t="shared" si="99"/>
        <v>2974137.4165773541</v>
      </c>
      <c r="M385" s="80">
        <f t="shared" si="107"/>
        <v>254</v>
      </c>
      <c r="N385" s="157">
        <f t="shared" si="115"/>
        <v>0</v>
      </c>
      <c r="O385" s="140">
        <f t="shared" si="102"/>
        <v>0</v>
      </c>
      <c r="P385" s="149">
        <v>0</v>
      </c>
      <c r="Q385" s="163">
        <f t="shared" si="108"/>
        <v>254</v>
      </c>
      <c r="R385" s="150">
        <f t="shared" si="103"/>
        <v>0</v>
      </c>
      <c r="S385" s="164">
        <f t="shared" si="116"/>
        <v>9119824.2599999998</v>
      </c>
    </row>
    <row r="386" spans="1:19" x14ac:dyDescent="0.25">
      <c r="A386" s="80" t="str">
        <f t="shared" si="113"/>
        <v>Fri</v>
      </c>
      <c r="B386" s="147">
        <f>IF(SUMIFS(CashFlow!$C$16:$C$40,CashFlow!$D$16:$D$40,CashFlowCalcs!$E386)&gt;0,SUMIFS(CashFlow!$C$16:$C$40,CashFlow!$D$16:$D$40,CashFlowCalcs!$E386),B385)</f>
        <v>12</v>
      </c>
      <c r="C386" s="147" t="str">
        <f t="shared" si="104"/>
        <v>N</v>
      </c>
      <c r="D386" s="80">
        <f t="shared" si="109"/>
        <v>255</v>
      </c>
      <c r="E386" s="81">
        <f t="shared" si="117"/>
        <v>44736</v>
      </c>
      <c r="F386" s="80">
        <f t="shared" si="111"/>
        <v>-1.4911242603550297</v>
      </c>
      <c r="G386" s="119">
        <f t="shared" si="105"/>
        <v>0.13124830221296438</v>
      </c>
      <c r="H386" s="125">
        <f t="shared" si="112"/>
        <v>44736</v>
      </c>
      <c r="I386" s="82">
        <f t="shared" si="100"/>
        <v>0.32901374388912019</v>
      </c>
      <c r="J386" s="126">
        <f t="shared" si="106"/>
        <v>3000547.5233934252</v>
      </c>
      <c r="K386" s="139">
        <f t="shared" si="101"/>
        <v>0</v>
      </c>
      <c r="L386" s="83">
        <f t="shared" si="99"/>
        <v>3000547.5233934252</v>
      </c>
      <c r="M386" s="80">
        <f t="shared" si="107"/>
        <v>255</v>
      </c>
      <c r="N386" s="157">
        <f t="shared" si="115"/>
        <v>0</v>
      </c>
      <c r="O386" s="140">
        <f t="shared" si="102"/>
        <v>0</v>
      </c>
      <c r="P386" s="149">
        <v>0</v>
      </c>
      <c r="Q386" s="163">
        <f t="shared" si="108"/>
        <v>255</v>
      </c>
      <c r="R386" s="150">
        <f t="shared" si="103"/>
        <v>0</v>
      </c>
      <c r="S386" s="164">
        <f t="shared" si="116"/>
        <v>9119824.2599999998</v>
      </c>
    </row>
    <row r="387" spans="1:19" x14ac:dyDescent="0.25">
      <c r="A387" s="80" t="str">
        <f t="shared" si="113"/>
        <v>Sat</v>
      </c>
      <c r="B387" s="147">
        <f>IF(SUMIFS(CashFlow!$C$16:$C$40,CashFlow!$D$16:$D$40,CashFlowCalcs!$E387)&gt;0,SUMIFS(CashFlow!$C$16:$C$40,CashFlow!$D$16:$D$40,CashFlowCalcs!$E387),B386)</f>
        <v>12</v>
      </c>
      <c r="C387" s="147" t="str">
        <f t="shared" si="104"/>
        <v>Y</v>
      </c>
      <c r="D387" s="80">
        <f t="shared" si="109"/>
        <v>255</v>
      </c>
      <c r="E387" s="81">
        <f t="shared" si="117"/>
        <v>44737</v>
      </c>
      <c r="F387" s="80">
        <f t="shared" si="111"/>
        <v>-1.4911242603550297</v>
      </c>
      <c r="G387" s="119">
        <f t="shared" si="105"/>
        <v>0.13124830221296438</v>
      </c>
      <c r="H387" s="125">
        <f t="shared" si="112"/>
        <v>44737</v>
      </c>
      <c r="I387" s="82">
        <f t="shared" si="100"/>
        <v>0.32901374388912019</v>
      </c>
      <c r="J387" s="126">
        <f t="shared" si="106"/>
        <v>3000547.5233934252</v>
      </c>
      <c r="K387" s="139">
        <f t="shared" si="101"/>
        <v>0</v>
      </c>
      <c r="L387" s="83">
        <f t="shared" si="99"/>
        <v>3000547.5233934252</v>
      </c>
      <c r="M387" s="80">
        <f t="shared" si="107"/>
        <v>255</v>
      </c>
      <c r="N387" s="157">
        <f t="shared" si="115"/>
        <v>0</v>
      </c>
      <c r="O387" s="140">
        <f t="shared" si="102"/>
        <v>0</v>
      </c>
      <c r="P387" s="149">
        <v>0</v>
      </c>
      <c r="Q387" s="163">
        <f t="shared" si="108"/>
        <v>255</v>
      </c>
      <c r="R387" s="150">
        <f t="shared" si="103"/>
        <v>0</v>
      </c>
      <c r="S387" s="164">
        <f t="shared" si="116"/>
        <v>9119824.2599999998</v>
      </c>
    </row>
    <row r="388" spans="1:19" x14ac:dyDescent="0.25">
      <c r="A388" s="80" t="str">
        <f t="shared" si="113"/>
        <v>Sun</v>
      </c>
      <c r="B388" s="147">
        <f>IF(SUMIFS(CashFlow!$C$16:$C$40,CashFlow!$D$16:$D$40,CashFlowCalcs!$E388)&gt;0,SUMIFS(CashFlow!$C$16:$C$40,CashFlow!$D$16:$D$40,CashFlowCalcs!$E388),B387)</f>
        <v>12</v>
      </c>
      <c r="C388" s="147" t="str">
        <f t="shared" si="104"/>
        <v>Y</v>
      </c>
      <c r="D388" s="80">
        <f t="shared" si="109"/>
        <v>255</v>
      </c>
      <c r="E388" s="81">
        <f t="shared" ref="E388:E403" si="118">E387+1</f>
        <v>44738</v>
      </c>
      <c r="F388" s="80">
        <f t="shared" si="111"/>
        <v>-1.4911242603550297</v>
      </c>
      <c r="G388" s="119">
        <f t="shared" si="105"/>
        <v>0.13124830221296438</v>
      </c>
      <c r="H388" s="125">
        <f t="shared" si="112"/>
        <v>44738</v>
      </c>
      <c r="I388" s="82">
        <f t="shared" si="100"/>
        <v>0.32901374388912019</v>
      </c>
      <c r="J388" s="126">
        <f t="shared" si="106"/>
        <v>3000547.5233934252</v>
      </c>
      <c r="K388" s="139">
        <f t="shared" si="101"/>
        <v>0</v>
      </c>
      <c r="L388" s="83">
        <f t="shared" si="99"/>
        <v>3000547.5233934252</v>
      </c>
      <c r="M388" s="80">
        <f t="shared" si="107"/>
        <v>255</v>
      </c>
      <c r="N388" s="157">
        <f t="shared" si="115"/>
        <v>0</v>
      </c>
      <c r="O388" s="140">
        <f t="shared" si="102"/>
        <v>0</v>
      </c>
      <c r="P388" s="149">
        <v>0</v>
      </c>
      <c r="Q388" s="163">
        <f t="shared" si="108"/>
        <v>255</v>
      </c>
      <c r="R388" s="150">
        <f t="shared" si="103"/>
        <v>0</v>
      </c>
      <c r="S388" s="164">
        <f t="shared" si="116"/>
        <v>9119824.2599999998</v>
      </c>
    </row>
    <row r="389" spans="1:19" x14ac:dyDescent="0.25">
      <c r="A389" s="80" t="str">
        <f t="shared" si="113"/>
        <v>Mon</v>
      </c>
      <c r="B389" s="147">
        <f>IF(SUMIFS(CashFlow!$C$16:$C$40,CashFlow!$D$16:$D$40,CashFlowCalcs!$E389)&gt;0,SUMIFS(CashFlow!$C$16:$C$40,CashFlow!$D$16:$D$40,CashFlowCalcs!$E389),B388)</f>
        <v>12</v>
      </c>
      <c r="C389" s="147" t="str">
        <f t="shared" si="104"/>
        <v>N</v>
      </c>
      <c r="D389" s="80">
        <f t="shared" si="109"/>
        <v>256</v>
      </c>
      <c r="E389" s="81">
        <f t="shared" si="118"/>
        <v>44739</v>
      </c>
      <c r="F389" s="80">
        <f t="shared" si="111"/>
        <v>-1.4852071005917158</v>
      </c>
      <c r="G389" s="119">
        <f t="shared" si="105"/>
        <v>0.13240914074156887</v>
      </c>
      <c r="H389" s="125">
        <f t="shared" si="112"/>
        <v>44739</v>
      </c>
      <c r="I389" s="82">
        <f t="shared" si="100"/>
        <v>0.33192373833405536</v>
      </c>
      <c r="J389" s="126">
        <f t="shared" si="106"/>
        <v>3027086.1613288098</v>
      </c>
      <c r="K389" s="139">
        <f t="shared" si="101"/>
        <v>0</v>
      </c>
      <c r="L389" s="83">
        <f t="shared" si="99"/>
        <v>3027086.1613288098</v>
      </c>
      <c r="M389" s="80">
        <f t="shared" si="107"/>
        <v>256</v>
      </c>
      <c r="N389" s="157">
        <f t="shared" si="115"/>
        <v>0</v>
      </c>
      <c r="O389" s="140">
        <f t="shared" si="102"/>
        <v>0</v>
      </c>
      <c r="P389" s="149">
        <v>0</v>
      </c>
      <c r="Q389" s="163">
        <f t="shared" si="108"/>
        <v>256</v>
      </c>
      <c r="R389" s="150">
        <f t="shared" si="103"/>
        <v>0</v>
      </c>
      <c r="S389" s="164">
        <f t="shared" si="116"/>
        <v>9119824.2599999998</v>
      </c>
    </row>
    <row r="390" spans="1:19" x14ac:dyDescent="0.25">
      <c r="A390" s="80" t="str">
        <f t="shared" si="113"/>
        <v>Tues</v>
      </c>
      <c r="B390" s="147">
        <f>IF(SUMIFS(CashFlow!$C$16:$C$40,CashFlow!$D$16:$D$40,CashFlowCalcs!$E390)&gt;0,SUMIFS(CashFlow!$C$16:$C$40,CashFlow!$D$16:$D$40,CashFlowCalcs!$E390),B389)</f>
        <v>12</v>
      </c>
      <c r="C390" s="147" t="str">
        <f t="shared" si="104"/>
        <v>N</v>
      </c>
      <c r="D390" s="80">
        <f t="shared" si="109"/>
        <v>257</v>
      </c>
      <c r="E390" s="81">
        <f t="shared" si="118"/>
        <v>44740</v>
      </c>
      <c r="F390" s="80">
        <f t="shared" si="111"/>
        <v>-1.4792899408284024</v>
      </c>
      <c r="G390" s="119">
        <f t="shared" si="105"/>
        <v>0.1335755694869501</v>
      </c>
      <c r="H390" s="125">
        <f t="shared" si="112"/>
        <v>44740</v>
      </c>
      <c r="I390" s="82">
        <f t="shared" si="100"/>
        <v>0.33484774635569864</v>
      </c>
      <c r="J390" s="126">
        <f t="shared" si="106"/>
        <v>3053752.6006210269</v>
      </c>
      <c r="K390" s="139">
        <f t="shared" si="101"/>
        <v>0</v>
      </c>
      <c r="L390" s="83">
        <f t="shared" si="99"/>
        <v>3053752.6006210269</v>
      </c>
      <c r="M390" s="80">
        <f t="shared" si="107"/>
        <v>257</v>
      </c>
      <c r="N390" s="157">
        <f t="shared" si="115"/>
        <v>0</v>
      </c>
      <c r="O390" s="140">
        <f t="shared" si="102"/>
        <v>0</v>
      </c>
      <c r="P390" s="149">
        <v>0</v>
      </c>
      <c r="Q390" s="163">
        <f t="shared" si="108"/>
        <v>257</v>
      </c>
      <c r="R390" s="150">
        <f t="shared" si="103"/>
        <v>0</v>
      </c>
      <c r="S390" s="164">
        <f t="shared" si="116"/>
        <v>9119824.2599999998</v>
      </c>
    </row>
    <row r="391" spans="1:19" x14ac:dyDescent="0.25">
      <c r="A391" s="80" t="str">
        <f t="shared" si="113"/>
        <v>Wed</v>
      </c>
      <c r="B391" s="147">
        <f>IF(SUMIFS(CashFlow!$C$16:$C$40,CashFlow!$D$16:$D$40,CashFlowCalcs!$E391)&gt;0,SUMIFS(CashFlow!$C$16:$C$40,CashFlow!$D$16:$D$40,CashFlowCalcs!$E391),B390)</f>
        <v>12</v>
      </c>
      <c r="C391" s="147" t="str">
        <f t="shared" si="104"/>
        <v>N</v>
      </c>
      <c r="D391" s="80">
        <f t="shared" si="109"/>
        <v>258</v>
      </c>
      <c r="E391" s="81">
        <f t="shared" si="118"/>
        <v>44741</v>
      </c>
      <c r="F391" s="80">
        <f t="shared" si="111"/>
        <v>-1.4733727810650885</v>
      </c>
      <c r="G391" s="119">
        <f t="shared" si="105"/>
        <v>0.13474755565671498</v>
      </c>
      <c r="H391" s="125">
        <f t="shared" si="112"/>
        <v>44741</v>
      </c>
      <c r="I391" s="82">
        <f t="shared" si="100"/>
        <v>0.3377856857499541</v>
      </c>
      <c r="J391" s="126">
        <f t="shared" si="106"/>
        <v>3080546.0915831677</v>
      </c>
      <c r="K391" s="139">
        <f t="shared" si="101"/>
        <v>0</v>
      </c>
      <c r="L391" s="83">
        <f t="shared" si="99"/>
        <v>3080546.0915831677</v>
      </c>
      <c r="M391" s="80">
        <f t="shared" si="107"/>
        <v>258</v>
      </c>
      <c r="N391" s="157">
        <f t="shared" si="115"/>
        <v>0</v>
      </c>
      <c r="O391" s="140">
        <f t="shared" si="102"/>
        <v>0</v>
      </c>
      <c r="P391" s="149">
        <v>0</v>
      </c>
      <c r="Q391" s="163">
        <f t="shared" si="108"/>
        <v>258</v>
      </c>
      <c r="R391" s="150">
        <f t="shared" si="103"/>
        <v>0</v>
      </c>
      <c r="S391" s="164">
        <f t="shared" si="116"/>
        <v>9119824.2599999998</v>
      </c>
    </row>
    <row r="392" spans="1:19" x14ac:dyDescent="0.25">
      <c r="A392" s="80" t="str">
        <f t="shared" si="113"/>
        <v>Thu</v>
      </c>
      <c r="B392" s="147">
        <f>IF(SUMIFS(CashFlow!$C$16:$C$40,CashFlow!$D$16:$D$40,CashFlowCalcs!$E392)&gt;0,SUMIFS(CashFlow!$C$16:$C$40,CashFlow!$D$16:$D$40,CashFlowCalcs!$E392),B391)</f>
        <v>12</v>
      </c>
      <c r="C392" s="147" t="str">
        <f t="shared" si="104"/>
        <v>N</v>
      </c>
      <c r="D392" s="80">
        <f t="shared" si="109"/>
        <v>259</v>
      </c>
      <c r="E392" s="81">
        <f t="shared" si="118"/>
        <v>44742</v>
      </c>
      <c r="F392" s="80">
        <f t="shared" si="111"/>
        <v>-1.4674556213017751</v>
      </c>
      <c r="G392" s="119">
        <f t="shared" si="105"/>
        <v>0.13592506558388143</v>
      </c>
      <c r="H392" s="125">
        <f t="shared" si="112"/>
        <v>44742</v>
      </c>
      <c r="I392" s="82">
        <f t="shared" si="100"/>
        <v>0.34073747212030281</v>
      </c>
      <c r="J392" s="126">
        <f t="shared" si="106"/>
        <v>3107465.8645338113</v>
      </c>
      <c r="K392" s="139">
        <f t="shared" si="101"/>
        <v>0</v>
      </c>
      <c r="L392" s="83">
        <f t="shared" si="99"/>
        <v>3107465.8645338113</v>
      </c>
      <c r="M392" s="80">
        <f t="shared" si="107"/>
        <v>259</v>
      </c>
      <c r="N392" s="157">
        <f t="shared" si="115"/>
        <v>0</v>
      </c>
      <c r="O392" s="140">
        <f t="shared" si="102"/>
        <v>0</v>
      </c>
      <c r="P392" s="149">
        <v>0</v>
      </c>
      <c r="Q392" s="163">
        <f t="shared" si="108"/>
        <v>259</v>
      </c>
      <c r="R392" s="150">
        <f t="shared" si="103"/>
        <v>0</v>
      </c>
      <c r="S392" s="164">
        <f t="shared" si="116"/>
        <v>9119824.2599999998</v>
      </c>
    </row>
    <row r="393" spans="1:19" x14ac:dyDescent="0.25">
      <c r="A393" s="80" t="str">
        <f t="shared" si="113"/>
        <v>Fri</v>
      </c>
      <c r="B393" s="147">
        <f>IF(SUMIFS(CashFlow!$C$16:$C$40,CashFlow!$D$16:$D$40,CashFlowCalcs!$E393)&gt;0,SUMIFS(CashFlow!$C$16:$C$40,CashFlow!$D$16:$D$40,CashFlowCalcs!$E393),B392)</f>
        <v>12</v>
      </c>
      <c r="C393" s="147" t="str">
        <f t="shared" si="104"/>
        <v>N</v>
      </c>
      <c r="D393" s="80">
        <f t="shared" si="109"/>
        <v>260</v>
      </c>
      <c r="E393" s="81">
        <f t="shared" si="118"/>
        <v>44743</v>
      </c>
      <c r="F393" s="80">
        <f t="shared" si="111"/>
        <v>-1.4615384615384617</v>
      </c>
      <c r="G393" s="119">
        <f t="shared" si="105"/>
        <v>0.13710806472394127</v>
      </c>
      <c r="H393" s="125">
        <f t="shared" si="112"/>
        <v>44743</v>
      </c>
      <c r="I393" s="82">
        <f t="shared" si="100"/>
        <v>0.34370301887044014</v>
      </c>
      <c r="J393" s="126">
        <f t="shared" si="106"/>
        <v>3134511.1297298777</v>
      </c>
      <c r="K393" s="139">
        <f t="shared" si="101"/>
        <v>0</v>
      </c>
      <c r="L393" s="83">
        <f t="shared" si="99"/>
        <v>3134511.1297298777</v>
      </c>
      <c r="M393" s="80">
        <f t="shared" si="107"/>
        <v>260</v>
      </c>
      <c r="N393" s="157">
        <f t="shared" si="115"/>
        <v>0</v>
      </c>
      <c r="O393" s="140">
        <f t="shared" si="102"/>
        <v>0</v>
      </c>
      <c r="P393" s="149">
        <v>0</v>
      </c>
      <c r="Q393" s="163">
        <f t="shared" si="108"/>
        <v>260</v>
      </c>
      <c r="R393" s="150">
        <f t="shared" si="103"/>
        <v>0</v>
      </c>
      <c r="S393" s="164">
        <f t="shared" si="116"/>
        <v>9119824.2599999998</v>
      </c>
    </row>
    <row r="394" spans="1:19" x14ac:dyDescent="0.25">
      <c r="A394" s="80" t="str">
        <f t="shared" si="113"/>
        <v>Sat</v>
      </c>
      <c r="B394" s="147">
        <f>IF(SUMIFS(CashFlow!$C$16:$C$40,CashFlow!$D$16:$D$40,CashFlowCalcs!$E394)&gt;0,SUMIFS(CashFlow!$C$16:$C$40,CashFlow!$D$16:$D$40,CashFlowCalcs!$E394),B393)</f>
        <v>12</v>
      </c>
      <c r="C394" s="147" t="str">
        <f t="shared" si="104"/>
        <v>Y</v>
      </c>
      <c r="D394" s="80">
        <f t="shared" si="109"/>
        <v>260</v>
      </c>
      <c r="E394" s="81">
        <f t="shared" si="118"/>
        <v>44744</v>
      </c>
      <c r="F394" s="80">
        <f t="shared" si="111"/>
        <v>-1.4615384615384617</v>
      </c>
      <c r="G394" s="119">
        <f t="shared" si="105"/>
        <v>0.13710806472394127</v>
      </c>
      <c r="H394" s="125">
        <f t="shared" si="112"/>
        <v>44744</v>
      </c>
      <c r="I394" s="82">
        <f t="shared" si="100"/>
        <v>0.34370301887044014</v>
      </c>
      <c r="J394" s="126">
        <f t="shared" si="106"/>
        <v>3134511.1297298777</v>
      </c>
      <c r="K394" s="139">
        <f t="shared" si="101"/>
        <v>0</v>
      </c>
      <c r="L394" s="83">
        <f t="shared" si="99"/>
        <v>3134511.1297298777</v>
      </c>
      <c r="M394" s="80">
        <f t="shared" si="107"/>
        <v>260</v>
      </c>
      <c r="N394" s="157">
        <f t="shared" si="115"/>
        <v>0</v>
      </c>
      <c r="O394" s="140">
        <f t="shared" si="102"/>
        <v>0</v>
      </c>
      <c r="P394" s="149">
        <v>0</v>
      </c>
      <c r="Q394" s="163">
        <f t="shared" si="108"/>
        <v>260</v>
      </c>
      <c r="R394" s="150">
        <f t="shared" si="103"/>
        <v>0</v>
      </c>
      <c r="S394" s="164">
        <f t="shared" si="116"/>
        <v>9119824.2599999998</v>
      </c>
    </row>
    <row r="395" spans="1:19" x14ac:dyDescent="0.25">
      <c r="A395" s="80" t="str">
        <f t="shared" si="113"/>
        <v>Sun</v>
      </c>
      <c r="B395" s="147">
        <f>IF(SUMIFS(CashFlow!$C$16:$C$40,CashFlow!$D$16:$D$40,CashFlowCalcs!$E395)&gt;0,SUMIFS(CashFlow!$C$16:$C$40,CashFlow!$D$16:$D$40,CashFlowCalcs!$E395),B394)</f>
        <v>12</v>
      </c>
      <c r="C395" s="147" t="str">
        <f t="shared" si="104"/>
        <v>Y</v>
      </c>
      <c r="D395" s="80">
        <f t="shared" si="109"/>
        <v>260</v>
      </c>
      <c r="E395" s="81">
        <f t="shared" si="118"/>
        <v>44745</v>
      </c>
      <c r="F395" s="80">
        <f t="shared" si="111"/>
        <v>-1.4615384615384617</v>
      </c>
      <c r="G395" s="119">
        <f t="shared" si="105"/>
        <v>0.13710806472394127</v>
      </c>
      <c r="H395" s="125">
        <f t="shared" si="112"/>
        <v>44745</v>
      </c>
      <c r="I395" s="82">
        <f t="shared" si="100"/>
        <v>0.34370301887044014</v>
      </c>
      <c r="J395" s="126">
        <f t="shared" si="106"/>
        <v>3134511.1297298777</v>
      </c>
      <c r="K395" s="139">
        <f t="shared" si="101"/>
        <v>0</v>
      </c>
      <c r="L395" s="83">
        <f t="shared" si="99"/>
        <v>3134511.1297298777</v>
      </c>
      <c r="M395" s="80">
        <f t="shared" si="107"/>
        <v>260</v>
      </c>
      <c r="N395" s="157">
        <f t="shared" si="115"/>
        <v>0</v>
      </c>
      <c r="O395" s="140">
        <f t="shared" si="102"/>
        <v>0</v>
      </c>
      <c r="P395" s="149">
        <v>0</v>
      </c>
      <c r="Q395" s="163">
        <f t="shared" si="108"/>
        <v>260</v>
      </c>
      <c r="R395" s="150">
        <f t="shared" si="103"/>
        <v>0</v>
      </c>
      <c r="S395" s="164">
        <f t="shared" si="116"/>
        <v>9119824.2599999998</v>
      </c>
    </row>
    <row r="396" spans="1:19" x14ac:dyDescent="0.25">
      <c r="A396" s="80" t="str">
        <f t="shared" si="113"/>
        <v>Mon</v>
      </c>
      <c r="B396" s="147">
        <f>IF(SUMIFS(CashFlow!$C$16:$C$40,CashFlow!$D$16:$D$40,CashFlowCalcs!$E396)&gt;0,SUMIFS(CashFlow!$C$16:$C$40,CashFlow!$D$16:$D$40,CashFlowCalcs!$E396),B395)</f>
        <v>12</v>
      </c>
      <c r="C396" s="147" t="str">
        <f t="shared" si="104"/>
        <v>N</v>
      </c>
      <c r="D396" s="80">
        <f t="shared" si="109"/>
        <v>261</v>
      </c>
      <c r="E396" s="81">
        <f t="shared" si="118"/>
        <v>44746</v>
      </c>
      <c r="F396" s="80">
        <f t="shared" si="111"/>
        <v>-1.455621301775148</v>
      </c>
      <c r="G396" s="119">
        <f t="shared" si="105"/>
        <v>0.13829651765205067</v>
      </c>
      <c r="H396" s="125">
        <f t="shared" si="112"/>
        <v>44746</v>
      </c>
      <c r="I396" s="82">
        <f t="shared" si="100"/>
        <v>0.34668223719723262</v>
      </c>
      <c r="J396" s="126">
        <f t="shared" si="106"/>
        <v>3161681.0773023963</v>
      </c>
      <c r="K396" s="139">
        <f t="shared" si="101"/>
        <v>0</v>
      </c>
      <c r="L396" s="83">
        <f t="shared" ref="L396:L459" si="119">IF(AND(E396&gt;=$H$3,P396=0,E396&lt;=$I$1),J396+K396,0)</f>
        <v>3161681.0773023963</v>
      </c>
      <c r="M396" s="80">
        <f t="shared" si="107"/>
        <v>261</v>
      </c>
      <c r="N396" s="157">
        <f t="shared" si="115"/>
        <v>0</v>
      </c>
      <c r="O396" s="140">
        <f t="shared" si="102"/>
        <v>0</v>
      </c>
      <c r="P396" s="149">
        <v>0</v>
      </c>
      <c r="Q396" s="163">
        <f t="shared" si="108"/>
        <v>261</v>
      </c>
      <c r="R396" s="150">
        <f t="shared" si="103"/>
        <v>0</v>
      </c>
      <c r="S396" s="164">
        <f t="shared" si="116"/>
        <v>9119824.2599999998</v>
      </c>
    </row>
    <row r="397" spans="1:19" x14ac:dyDescent="0.25">
      <c r="A397" s="80" t="str">
        <f t="shared" si="113"/>
        <v>Tues</v>
      </c>
      <c r="B397" s="147">
        <f>IF(SUMIFS(CashFlow!$C$16:$C$40,CashFlow!$D$16:$D$40,CashFlowCalcs!$E397)&gt;0,SUMIFS(CashFlow!$C$16:$C$40,CashFlow!$D$16:$D$40,CashFlowCalcs!$E397),B396)</f>
        <v>12</v>
      </c>
      <c r="C397" s="147" t="str">
        <f t="shared" si="104"/>
        <v>N</v>
      </c>
      <c r="D397" s="80">
        <f t="shared" si="109"/>
        <v>262</v>
      </c>
      <c r="E397" s="81">
        <f t="shared" si="118"/>
        <v>44747</v>
      </c>
      <c r="F397" s="80">
        <f t="shared" si="111"/>
        <v>-1.4497041420118344</v>
      </c>
      <c r="G397" s="119">
        <f t="shared" si="105"/>
        <v>0.13949038806035083</v>
      </c>
      <c r="H397" s="125">
        <f t="shared" si="112"/>
        <v>44747</v>
      </c>
      <c r="I397" s="82">
        <f t="shared" si="100"/>
        <v>0.34967503608400152</v>
      </c>
      <c r="J397" s="126">
        <f t="shared" si="106"/>
        <v>3188974.8771952526</v>
      </c>
      <c r="K397" s="139">
        <f t="shared" si="101"/>
        <v>0</v>
      </c>
      <c r="L397" s="83">
        <f t="shared" si="119"/>
        <v>3188974.8771952526</v>
      </c>
      <c r="M397" s="80">
        <f t="shared" si="107"/>
        <v>262</v>
      </c>
      <c r="N397" s="157">
        <f t="shared" si="115"/>
        <v>0</v>
      </c>
      <c r="O397" s="140">
        <f t="shared" si="102"/>
        <v>0</v>
      </c>
      <c r="P397" s="149">
        <v>0</v>
      </c>
      <c r="Q397" s="163">
        <f t="shared" si="108"/>
        <v>262</v>
      </c>
      <c r="R397" s="150">
        <f t="shared" si="103"/>
        <v>0</v>
      </c>
      <c r="S397" s="164">
        <f t="shared" si="116"/>
        <v>9119824.2599999998</v>
      </c>
    </row>
    <row r="398" spans="1:19" x14ac:dyDescent="0.25">
      <c r="A398" s="80" t="str">
        <f t="shared" si="113"/>
        <v>Wed</v>
      </c>
      <c r="B398" s="147">
        <f>IF(SUMIFS(CashFlow!$C$16:$C$40,CashFlow!$D$16:$D$40,CashFlowCalcs!$E398)&gt;0,SUMIFS(CashFlow!$C$16:$C$40,CashFlow!$D$16:$D$40,CashFlowCalcs!$E398),B397)</f>
        <v>12</v>
      </c>
      <c r="C398" s="147" t="str">
        <f t="shared" si="104"/>
        <v>N</v>
      </c>
      <c r="D398" s="80">
        <f t="shared" si="109"/>
        <v>263</v>
      </c>
      <c r="E398" s="81">
        <f t="shared" si="118"/>
        <v>44748</v>
      </c>
      <c r="F398" s="80">
        <f t="shared" si="111"/>
        <v>-1.4437869822485208</v>
      </c>
      <c r="G398" s="119">
        <f t="shared" si="105"/>
        <v>0.14068963875542129</v>
      </c>
      <c r="H398" s="125">
        <f t="shared" si="112"/>
        <v>44748</v>
      </c>
      <c r="I398" s="82">
        <f t="shared" si="100"/>
        <v>0.35268132229413879</v>
      </c>
      <c r="J398" s="126">
        <f t="shared" si="106"/>
        <v>3216391.6791069657</v>
      </c>
      <c r="K398" s="139">
        <f t="shared" si="101"/>
        <v>0</v>
      </c>
      <c r="L398" s="83">
        <f t="shared" si="119"/>
        <v>3216391.6791069657</v>
      </c>
      <c r="M398" s="80">
        <f t="shared" si="107"/>
        <v>263</v>
      </c>
      <c r="N398" s="157">
        <f t="shared" si="115"/>
        <v>0</v>
      </c>
      <c r="O398" s="140">
        <f t="shared" si="102"/>
        <v>0</v>
      </c>
      <c r="P398" s="149">
        <v>0</v>
      </c>
      <c r="Q398" s="163">
        <f t="shared" si="108"/>
        <v>263</v>
      </c>
      <c r="R398" s="150">
        <f t="shared" si="103"/>
        <v>0</v>
      </c>
      <c r="S398" s="164">
        <f t="shared" si="116"/>
        <v>9119824.2599999998</v>
      </c>
    </row>
    <row r="399" spans="1:19" x14ac:dyDescent="0.25">
      <c r="A399" s="80" t="str">
        <f t="shared" si="113"/>
        <v>Thu</v>
      </c>
      <c r="B399" s="147">
        <f>IF(SUMIFS(CashFlow!$C$16:$C$40,CashFlow!$D$16:$D$40,CashFlowCalcs!$E399)&gt;0,SUMIFS(CashFlow!$C$16:$C$40,CashFlow!$D$16:$D$40,CashFlowCalcs!$E399),B398)</f>
        <v>12</v>
      </c>
      <c r="C399" s="147" t="str">
        <f t="shared" si="104"/>
        <v>N</v>
      </c>
      <c r="D399" s="80">
        <f t="shared" si="109"/>
        <v>264</v>
      </c>
      <c r="E399" s="81">
        <f t="shared" si="118"/>
        <v>44749</v>
      </c>
      <c r="F399" s="80">
        <f t="shared" si="111"/>
        <v>-1.4378698224852071</v>
      </c>
      <c r="G399" s="119">
        <f t="shared" si="105"/>
        <v>0.1418942316558664</v>
      </c>
      <c r="H399" s="125">
        <f t="shared" si="112"/>
        <v>44749</v>
      </c>
      <c r="I399" s="82">
        <f t="shared" si="100"/>
        <v>0.3557010003650567</v>
      </c>
      <c r="J399" s="126">
        <f t="shared" si="106"/>
        <v>3243930.6124355127</v>
      </c>
      <c r="K399" s="139">
        <f t="shared" si="101"/>
        <v>0</v>
      </c>
      <c r="L399" s="83">
        <f t="shared" si="119"/>
        <v>3243930.6124355127</v>
      </c>
      <c r="M399" s="80">
        <f t="shared" si="107"/>
        <v>264</v>
      </c>
      <c r="N399" s="157">
        <f t="shared" si="115"/>
        <v>0</v>
      </c>
      <c r="O399" s="140">
        <f t="shared" si="102"/>
        <v>0</v>
      </c>
      <c r="P399" s="149">
        <v>0</v>
      </c>
      <c r="Q399" s="163">
        <f t="shared" si="108"/>
        <v>264</v>
      </c>
      <c r="R399" s="150">
        <f t="shared" si="103"/>
        <v>0</v>
      </c>
      <c r="S399" s="164">
        <f t="shared" si="116"/>
        <v>9119824.2599999998</v>
      </c>
    </row>
    <row r="400" spans="1:19" x14ac:dyDescent="0.25">
      <c r="A400" s="80" t="str">
        <f t="shared" si="113"/>
        <v>Fri</v>
      </c>
      <c r="B400" s="147">
        <f>IF(SUMIFS(CashFlow!$C$16:$C$40,CashFlow!$D$16:$D$40,CashFlowCalcs!$E400)&gt;0,SUMIFS(CashFlow!$C$16:$C$40,CashFlow!$D$16:$D$40,CashFlowCalcs!$E400),B399)</f>
        <v>12</v>
      </c>
      <c r="C400" s="147" t="str">
        <f t="shared" si="104"/>
        <v>N</v>
      </c>
      <c r="D400" s="80">
        <f t="shared" si="109"/>
        <v>265</v>
      </c>
      <c r="E400" s="81">
        <f t="shared" si="118"/>
        <v>44750</v>
      </c>
      <c r="F400" s="80">
        <f t="shared" si="111"/>
        <v>-1.4319526627218935</v>
      </c>
      <c r="G400" s="119">
        <f t="shared" si="105"/>
        <v>0.14310412779003714</v>
      </c>
      <c r="H400" s="125">
        <f t="shared" si="112"/>
        <v>44750</v>
      </c>
      <c r="I400" s="82">
        <f t="shared" si="100"/>
        <v>0.35873397260247719</v>
      </c>
      <c r="J400" s="126">
        <f t="shared" si="106"/>
        <v>3271590.786226247</v>
      </c>
      <c r="K400" s="139">
        <f t="shared" si="101"/>
        <v>0</v>
      </c>
      <c r="L400" s="83">
        <f t="shared" si="119"/>
        <v>3271590.786226247</v>
      </c>
      <c r="M400" s="80">
        <f t="shared" si="107"/>
        <v>265</v>
      </c>
      <c r="N400" s="157">
        <f t="shared" si="115"/>
        <v>0</v>
      </c>
      <c r="O400" s="140">
        <f t="shared" si="102"/>
        <v>0</v>
      </c>
      <c r="P400" s="149">
        <v>0</v>
      </c>
      <c r="Q400" s="163">
        <f t="shared" si="108"/>
        <v>265</v>
      </c>
      <c r="R400" s="150">
        <f t="shared" si="103"/>
        <v>0</v>
      </c>
      <c r="S400" s="164">
        <f t="shared" si="116"/>
        <v>9119824.2599999998</v>
      </c>
    </row>
    <row r="401" spans="1:19" x14ac:dyDescent="0.25">
      <c r="A401" s="80" t="str">
        <f t="shared" si="113"/>
        <v>Sat</v>
      </c>
      <c r="B401" s="147">
        <f>IF(SUMIFS(CashFlow!$C$16:$C$40,CashFlow!$D$16:$D$40,CashFlowCalcs!$E401)&gt;0,SUMIFS(CashFlow!$C$16:$C$40,CashFlow!$D$16:$D$40,CashFlowCalcs!$E401),B400)</f>
        <v>12</v>
      </c>
      <c r="C401" s="147" t="str">
        <f t="shared" si="104"/>
        <v>Y</v>
      </c>
      <c r="D401" s="80">
        <f t="shared" si="109"/>
        <v>265</v>
      </c>
      <c r="E401" s="81">
        <f t="shared" si="118"/>
        <v>44751</v>
      </c>
      <c r="F401" s="80">
        <f t="shared" si="111"/>
        <v>-1.4319526627218935</v>
      </c>
      <c r="G401" s="119">
        <f t="shared" si="105"/>
        <v>0.14310412779003714</v>
      </c>
      <c r="H401" s="125">
        <f t="shared" si="112"/>
        <v>44751</v>
      </c>
      <c r="I401" s="82">
        <f t="shared" si="100"/>
        <v>0.35873397260247719</v>
      </c>
      <c r="J401" s="126">
        <f t="shared" si="106"/>
        <v>3271590.786226247</v>
      </c>
      <c r="K401" s="139">
        <f t="shared" si="101"/>
        <v>0</v>
      </c>
      <c r="L401" s="83">
        <f t="shared" si="119"/>
        <v>3271590.786226247</v>
      </c>
      <c r="M401" s="80">
        <f t="shared" si="107"/>
        <v>265</v>
      </c>
      <c r="N401" s="157">
        <f t="shared" si="115"/>
        <v>0</v>
      </c>
      <c r="O401" s="140">
        <f t="shared" si="102"/>
        <v>0</v>
      </c>
      <c r="P401" s="149">
        <v>0</v>
      </c>
      <c r="Q401" s="163">
        <f t="shared" si="108"/>
        <v>265</v>
      </c>
      <c r="R401" s="150">
        <f t="shared" si="103"/>
        <v>0</v>
      </c>
      <c r="S401" s="164">
        <f t="shared" si="116"/>
        <v>9119824.2599999998</v>
      </c>
    </row>
    <row r="402" spans="1:19" x14ac:dyDescent="0.25">
      <c r="A402" s="80" t="str">
        <f t="shared" si="113"/>
        <v>Sun</v>
      </c>
      <c r="B402" s="147">
        <f>IF(SUMIFS(CashFlow!$C$16:$C$40,CashFlow!$D$16:$D$40,CashFlowCalcs!$E402)&gt;0,SUMIFS(CashFlow!$C$16:$C$40,CashFlow!$D$16:$D$40,CashFlowCalcs!$E402),B401)</f>
        <v>12</v>
      </c>
      <c r="C402" s="147" t="str">
        <f t="shared" si="104"/>
        <v>Y</v>
      </c>
      <c r="D402" s="80">
        <f t="shared" si="109"/>
        <v>265</v>
      </c>
      <c r="E402" s="81">
        <f t="shared" si="118"/>
        <v>44752</v>
      </c>
      <c r="F402" s="80">
        <f t="shared" si="111"/>
        <v>-1.4319526627218935</v>
      </c>
      <c r="G402" s="119">
        <f t="shared" si="105"/>
        <v>0.14310412779003714</v>
      </c>
      <c r="H402" s="125">
        <f t="shared" si="112"/>
        <v>44752</v>
      </c>
      <c r="I402" s="82">
        <f t="shared" ref="I402:I465" si="120">G402/VLOOKUP($J$5,$D$18:$G$750,4)</f>
        <v>0.35873397260247719</v>
      </c>
      <c r="J402" s="126">
        <f t="shared" si="106"/>
        <v>3271590.786226247</v>
      </c>
      <c r="K402" s="139">
        <f t="shared" ref="K402:K465" si="121">N402*O402</f>
        <v>0</v>
      </c>
      <c r="L402" s="83">
        <f t="shared" si="119"/>
        <v>3271590.786226247</v>
      </c>
      <c r="M402" s="80">
        <f t="shared" si="107"/>
        <v>265</v>
      </c>
      <c r="N402" s="157">
        <f t="shared" si="115"/>
        <v>0</v>
      </c>
      <c r="O402" s="140">
        <f t="shared" ref="O402:O465" si="122">IF(E402&lt;$J$6,0,IF(E402&gt;=$I$1,0,($J$5-D402)/($J$5-VLOOKUP($J$6,$H$17:$M$750,6))))</f>
        <v>0</v>
      </c>
      <c r="P402" s="149">
        <v>0</v>
      </c>
      <c r="Q402" s="163">
        <f t="shared" si="108"/>
        <v>265</v>
      </c>
      <c r="R402" s="150">
        <f t="shared" ref="R402:R465" si="123">IF(OR(E402&lt;$J$6+1,E402&gt;$I$1),0,1)</f>
        <v>0</v>
      </c>
      <c r="S402" s="164">
        <f t="shared" si="116"/>
        <v>9119824.2599999998</v>
      </c>
    </row>
    <row r="403" spans="1:19" x14ac:dyDescent="0.25">
      <c r="A403" s="80" t="str">
        <f t="shared" si="113"/>
        <v>Mon</v>
      </c>
      <c r="B403" s="147">
        <f>IF(SUMIFS(CashFlow!$C$16:$C$40,CashFlow!$D$16:$D$40,CashFlowCalcs!$E403)&gt;0,SUMIFS(CashFlow!$C$16:$C$40,CashFlow!$D$16:$D$40,CashFlowCalcs!$E403),B402)</f>
        <v>12</v>
      </c>
      <c r="C403" s="147" t="str">
        <f t="shared" ref="C403:C466" si="124">IF(LEFT(A403,1)="S","Y","N")</f>
        <v>N</v>
      </c>
      <c r="D403" s="80">
        <f t="shared" si="109"/>
        <v>266</v>
      </c>
      <c r="E403" s="81">
        <f t="shared" si="118"/>
        <v>44753</v>
      </c>
      <c r="F403" s="80">
        <f t="shared" si="111"/>
        <v>-1.4260355029585798</v>
      </c>
      <c r="G403" s="119">
        <f t="shared" ref="G403:G466" si="125">NORMDIST(F403,0,1,0)</f>
        <v>0.14431928729389026</v>
      </c>
      <c r="H403" s="125">
        <f t="shared" si="112"/>
        <v>44753</v>
      </c>
      <c r="I403" s="82">
        <f t="shared" si="120"/>
        <v>0.36178013907506462</v>
      </c>
      <c r="J403" s="126">
        <f t="shared" ref="J403:J466" si="126">(I403*$G$8)+$G$7</f>
        <v>3299371.2891229484</v>
      </c>
      <c r="K403" s="139">
        <f t="shared" si="121"/>
        <v>0</v>
      </c>
      <c r="L403" s="83">
        <f t="shared" si="119"/>
        <v>3299371.2891229484</v>
      </c>
      <c r="M403" s="80">
        <f t="shared" ref="M403:M466" si="127">D403</f>
        <v>266</v>
      </c>
      <c r="N403" s="157">
        <f t="shared" si="115"/>
        <v>0</v>
      </c>
      <c r="O403" s="140">
        <f t="shared" si="122"/>
        <v>0</v>
      </c>
      <c r="P403" s="149">
        <v>0</v>
      </c>
      <c r="Q403" s="163">
        <f t="shared" ref="Q403:Q466" si="128">D403</f>
        <v>266</v>
      </c>
      <c r="R403" s="150">
        <f t="shared" si="123"/>
        <v>0</v>
      </c>
      <c r="S403" s="164">
        <f t="shared" si="116"/>
        <v>9119824.2599999998</v>
      </c>
    </row>
    <row r="404" spans="1:19" x14ac:dyDescent="0.25">
      <c r="A404" s="80" t="str">
        <f t="shared" si="113"/>
        <v>Tues</v>
      </c>
      <c r="B404" s="147">
        <f>IF(SUMIFS(CashFlow!$C$16:$C$40,CashFlow!$D$16:$D$40,CashFlowCalcs!$E404)&gt;0,SUMIFS(CashFlow!$C$16:$C$40,CashFlow!$D$16:$D$40,CashFlowCalcs!$E404),B403)</f>
        <v>12</v>
      </c>
      <c r="C404" s="147" t="str">
        <f t="shared" si="124"/>
        <v>N</v>
      </c>
      <c r="D404" s="80">
        <f t="shared" ref="D404:D467" si="129">IF($C404="N",$D403+1,$D403)</f>
        <v>267</v>
      </c>
      <c r="E404" s="81">
        <f t="shared" ref="E404:E419" si="130">E403+1</f>
        <v>44754</v>
      </c>
      <c r="F404" s="80">
        <f t="shared" ref="F404:F467" si="131">$F$18+((((D404)/($J$5+2)*3)))</f>
        <v>-1.4201183431952662</v>
      </c>
      <c r="G404" s="119">
        <f t="shared" si="125"/>
        <v>0.14553966940898563</v>
      </c>
      <c r="H404" s="125">
        <f t="shared" ref="H404:H467" si="132">H403+1</f>
        <v>44754</v>
      </c>
      <c r="I404" s="82">
        <f t="shared" si="120"/>
        <v>0.3648393976094062</v>
      </c>
      <c r="J404" s="126">
        <f t="shared" si="126"/>
        <v>3327271.1893220488</v>
      </c>
      <c r="K404" s="139">
        <f t="shared" si="121"/>
        <v>0</v>
      </c>
      <c r="L404" s="83">
        <f t="shared" si="119"/>
        <v>3327271.1893220488</v>
      </c>
      <c r="M404" s="80">
        <f t="shared" si="127"/>
        <v>267</v>
      </c>
      <c r="N404" s="157">
        <f t="shared" si="115"/>
        <v>0</v>
      </c>
      <c r="O404" s="140">
        <f t="shared" si="122"/>
        <v>0</v>
      </c>
      <c r="P404" s="149">
        <v>0</v>
      </c>
      <c r="Q404" s="163">
        <f t="shared" si="128"/>
        <v>267</v>
      </c>
      <c r="R404" s="150">
        <f t="shared" si="123"/>
        <v>0</v>
      </c>
      <c r="S404" s="164">
        <f t="shared" si="116"/>
        <v>9119824.2599999998</v>
      </c>
    </row>
    <row r="405" spans="1:19" x14ac:dyDescent="0.25">
      <c r="A405" s="80" t="str">
        <f t="shared" si="113"/>
        <v>Wed</v>
      </c>
      <c r="B405" s="147">
        <f>IF(SUMIFS(CashFlow!$C$16:$C$40,CashFlow!$D$16:$D$40,CashFlowCalcs!$E405)&gt;0,SUMIFS(CashFlow!$C$16:$C$40,CashFlow!$D$16:$D$40,CashFlowCalcs!$E405),B404)</f>
        <v>12</v>
      </c>
      <c r="C405" s="147" t="str">
        <f t="shared" si="124"/>
        <v>N</v>
      </c>
      <c r="D405" s="80">
        <f t="shared" si="129"/>
        <v>268</v>
      </c>
      <c r="E405" s="81">
        <f t="shared" si="130"/>
        <v>44755</v>
      </c>
      <c r="F405" s="80">
        <f t="shared" si="131"/>
        <v>-1.4142011834319526</v>
      </c>
      <c r="G405" s="119">
        <f t="shared" si="125"/>
        <v>0.14676523248062384</v>
      </c>
      <c r="H405" s="125">
        <f t="shared" si="132"/>
        <v>44755</v>
      </c>
      <c r="I405" s="82">
        <f t="shared" si="120"/>
        <v>0.36791164378534269</v>
      </c>
      <c r="J405" s="126">
        <f t="shared" si="126"/>
        <v>3355289.5345300464</v>
      </c>
      <c r="K405" s="139">
        <f t="shared" si="121"/>
        <v>0</v>
      </c>
      <c r="L405" s="83">
        <f t="shared" si="119"/>
        <v>3355289.5345300464</v>
      </c>
      <c r="M405" s="80">
        <f t="shared" si="127"/>
        <v>268</v>
      </c>
      <c r="N405" s="157">
        <f t="shared" si="115"/>
        <v>0</v>
      </c>
      <c r="O405" s="140">
        <f t="shared" si="122"/>
        <v>0</v>
      </c>
      <c r="P405" s="149">
        <v>0</v>
      </c>
      <c r="Q405" s="163">
        <f t="shared" si="128"/>
        <v>268</v>
      </c>
      <c r="R405" s="150">
        <f t="shared" si="123"/>
        <v>0</v>
      </c>
      <c r="S405" s="164">
        <f t="shared" si="116"/>
        <v>9119824.2599999998</v>
      </c>
    </row>
    <row r="406" spans="1:19" x14ac:dyDescent="0.25">
      <c r="A406" s="80" t="str">
        <f t="shared" si="113"/>
        <v>Thu</v>
      </c>
      <c r="B406" s="147">
        <f>IF(SUMIFS(CashFlow!$C$16:$C$40,CashFlow!$D$16:$D$40,CashFlowCalcs!$E406)&gt;0,SUMIFS(CashFlow!$C$16:$C$40,CashFlow!$D$16:$D$40,CashFlowCalcs!$E406),B405)</f>
        <v>12</v>
      </c>
      <c r="C406" s="147" t="str">
        <f t="shared" si="124"/>
        <v>N</v>
      </c>
      <c r="D406" s="80">
        <f t="shared" si="129"/>
        <v>269</v>
      </c>
      <c r="E406" s="81">
        <f t="shared" si="130"/>
        <v>44756</v>
      </c>
      <c r="F406" s="80">
        <f t="shared" si="131"/>
        <v>-1.4082840236686389</v>
      </c>
      <c r="G406" s="119">
        <f t="shared" si="125"/>
        <v>0.14799593395612595</v>
      </c>
      <c r="H406" s="125">
        <f t="shared" si="132"/>
        <v>44756</v>
      </c>
      <c r="I406" s="82">
        <f t="shared" si="120"/>
        <v>0.37099677093165651</v>
      </c>
      <c r="J406" s="126">
        <f t="shared" si="126"/>
        <v>3383425.3519241838</v>
      </c>
      <c r="K406" s="139">
        <f t="shared" si="121"/>
        <v>0</v>
      </c>
      <c r="L406" s="83">
        <f t="shared" si="119"/>
        <v>3383425.3519241838</v>
      </c>
      <c r="M406" s="80">
        <f t="shared" si="127"/>
        <v>269</v>
      </c>
      <c r="N406" s="157">
        <f t="shared" si="115"/>
        <v>0</v>
      </c>
      <c r="O406" s="140">
        <f t="shared" si="122"/>
        <v>0</v>
      </c>
      <c r="P406" s="149">
        <v>0</v>
      </c>
      <c r="Q406" s="163">
        <f t="shared" si="128"/>
        <v>269</v>
      </c>
      <c r="R406" s="150">
        <f t="shared" si="123"/>
        <v>0</v>
      </c>
      <c r="S406" s="164">
        <f t="shared" si="116"/>
        <v>9119824.2599999998</v>
      </c>
    </row>
    <row r="407" spans="1:19" x14ac:dyDescent="0.25">
      <c r="A407" s="80" t="str">
        <f t="shared" si="113"/>
        <v>Fri</v>
      </c>
      <c r="B407" s="147">
        <f>IF(SUMIFS(CashFlow!$C$16:$C$40,CashFlow!$D$16:$D$40,CashFlowCalcs!$E407)&gt;0,SUMIFS(CashFlow!$C$16:$C$40,CashFlow!$D$16:$D$40,CashFlowCalcs!$E407),B406)</f>
        <v>12</v>
      </c>
      <c r="C407" s="147" t="str">
        <f t="shared" si="124"/>
        <v>N</v>
      </c>
      <c r="D407" s="80">
        <f t="shared" si="129"/>
        <v>270</v>
      </c>
      <c r="E407" s="81">
        <f t="shared" si="130"/>
        <v>44757</v>
      </c>
      <c r="F407" s="80">
        <f t="shared" si="131"/>
        <v>-1.4023668639053253</v>
      </c>
      <c r="G407" s="119">
        <f t="shared" si="125"/>
        <v>0.14923173038325596</v>
      </c>
      <c r="H407" s="125">
        <f t="shared" si="132"/>
        <v>44757</v>
      </c>
      <c r="I407" s="82">
        <f t="shared" si="120"/>
        <v>0.37409467012211689</v>
      </c>
      <c r="J407" s="126">
        <f t="shared" si="126"/>
        <v>3411677.6481163786</v>
      </c>
      <c r="K407" s="139">
        <f t="shared" si="121"/>
        <v>0</v>
      </c>
      <c r="L407" s="83">
        <f t="shared" si="119"/>
        <v>3411677.6481163786</v>
      </c>
      <c r="M407" s="80">
        <f t="shared" si="127"/>
        <v>270</v>
      </c>
      <c r="N407" s="157">
        <f t="shared" si="115"/>
        <v>0</v>
      </c>
      <c r="O407" s="140">
        <f t="shared" si="122"/>
        <v>0</v>
      </c>
      <c r="P407" s="149">
        <v>0</v>
      </c>
      <c r="Q407" s="163">
        <f t="shared" si="128"/>
        <v>270</v>
      </c>
      <c r="R407" s="150">
        <f t="shared" si="123"/>
        <v>0</v>
      </c>
      <c r="S407" s="164">
        <f t="shared" si="116"/>
        <v>9119824.2599999998</v>
      </c>
    </row>
    <row r="408" spans="1:19" x14ac:dyDescent="0.25">
      <c r="A408" s="80" t="str">
        <f t="shared" si="113"/>
        <v>Sat</v>
      </c>
      <c r="B408" s="147">
        <f>IF(SUMIFS(CashFlow!$C$16:$C$40,CashFlow!$D$16:$D$40,CashFlowCalcs!$E408)&gt;0,SUMIFS(CashFlow!$C$16:$C$40,CashFlow!$D$16:$D$40,CashFlowCalcs!$E408),B407)</f>
        <v>12</v>
      </c>
      <c r="C408" s="147" t="str">
        <f t="shared" si="124"/>
        <v>Y</v>
      </c>
      <c r="D408" s="80">
        <f t="shared" si="129"/>
        <v>270</v>
      </c>
      <c r="E408" s="81">
        <f t="shared" si="130"/>
        <v>44758</v>
      </c>
      <c r="F408" s="80">
        <f t="shared" si="131"/>
        <v>-1.4023668639053253</v>
      </c>
      <c r="G408" s="119">
        <f t="shared" si="125"/>
        <v>0.14923173038325596</v>
      </c>
      <c r="H408" s="125">
        <f t="shared" si="132"/>
        <v>44758</v>
      </c>
      <c r="I408" s="82">
        <f t="shared" si="120"/>
        <v>0.37409467012211689</v>
      </c>
      <c r="J408" s="126">
        <f t="shared" si="126"/>
        <v>3411677.6481163786</v>
      </c>
      <c r="K408" s="139">
        <f t="shared" si="121"/>
        <v>0</v>
      </c>
      <c r="L408" s="83">
        <f t="shared" si="119"/>
        <v>3411677.6481163786</v>
      </c>
      <c r="M408" s="80">
        <f t="shared" si="127"/>
        <v>270</v>
      </c>
      <c r="N408" s="157">
        <f t="shared" si="115"/>
        <v>0</v>
      </c>
      <c r="O408" s="140">
        <f t="shared" si="122"/>
        <v>0</v>
      </c>
      <c r="P408" s="149">
        <v>0</v>
      </c>
      <c r="Q408" s="163">
        <f t="shared" si="128"/>
        <v>270</v>
      </c>
      <c r="R408" s="150">
        <f t="shared" si="123"/>
        <v>0</v>
      </c>
      <c r="S408" s="164">
        <f t="shared" si="116"/>
        <v>9119824.2599999998</v>
      </c>
    </row>
    <row r="409" spans="1:19" x14ac:dyDescent="0.25">
      <c r="A409" s="80" t="str">
        <f t="shared" si="113"/>
        <v>Sun</v>
      </c>
      <c r="B409" s="147">
        <f>IF(SUMIFS(CashFlow!$C$16:$C$40,CashFlow!$D$16:$D$40,CashFlowCalcs!$E409)&gt;0,SUMIFS(CashFlow!$C$16:$C$40,CashFlow!$D$16:$D$40,CashFlowCalcs!$E409),B408)</f>
        <v>12</v>
      </c>
      <c r="C409" s="147" t="str">
        <f t="shared" si="124"/>
        <v>Y</v>
      </c>
      <c r="D409" s="80">
        <f t="shared" si="129"/>
        <v>270</v>
      </c>
      <c r="E409" s="81">
        <f t="shared" si="130"/>
        <v>44759</v>
      </c>
      <c r="F409" s="80">
        <f t="shared" si="131"/>
        <v>-1.4023668639053253</v>
      </c>
      <c r="G409" s="119">
        <f t="shared" si="125"/>
        <v>0.14923173038325596</v>
      </c>
      <c r="H409" s="125">
        <f t="shared" si="132"/>
        <v>44759</v>
      </c>
      <c r="I409" s="82">
        <f t="shared" si="120"/>
        <v>0.37409467012211689</v>
      </c>
      <c r="J409" s="126">
        <f t="shared" si="126"/>
        <v>3411677.6481163786</v>
      </c>
      <c r="K409" s="139">
        <f t="shared" si="121"/>
        <v>0</v>
      </c>
      <c r="L409" s="83">
        <f t="shared" si="119"/>
        <v>3411677.6481163786</v>
      </c>
      <c r="M409" s="80">
        <f t="shared" si="127"/>
        <v>270</v>
      </c>
      <c r="N409" s="157">
        <f t="shared" si="115"/>
        <v>0</v>
      </c>
      <c r="O409" s="140">
        <f t="shared" si="122"/>
        <v>0</v>
      </c>
      <c r="P409" s="149">
        <v>0</v>
      </c>
      <c r="Q409" s="163">
        <f t="shared" si="128"/>
        <v>270</v>
      </c>
      <c r="R409" s="150">
        <f t="shared" si="123"/>
        <v>0</v>
      </c>
      <c r="S409" s="164">
        <f t="shared" si="116"/>
        <v>9119824.2599999998</v>
      </c>
    </row>
    <row r="410" spans="1:19" x14ac:dyDescent="0.25">
      <c r="A410" s="80" t="str">
        <f t="shared" ref="A410:A473" si="133">A403</f>
        <v>Mon</v>
      </c>
      <c r="B410" s="147">
        <f>IF(SUMIFS(CashFlow!$C$16:$C$40,CashFlow!$D$16:$D$40,CashFlowCalcs!$E410)&gt;0,SUMIFS(CashFlow!$C$16:$C$40,CashFlow!$D$16:$D$40,CashFlowCalcs!$E410),B409)</f>
        <v>12</v>
      </c>
      <c r="C410" s="147" t="str">
        <f t="shared" si="124"/>
        <v>N</v>
      </c>
      <c r="D410" s="80">
        <f t="shared" si="129"/>
        <v>271</v>
      </c>
      <c r="E410" s="81">
        <f t="shared" si="130"/>
        <v>44760</v>
      </c>
      <c r="F410" s="80">
        <f t="shared" si="131"/>
        <v>-1.3964497041420119</v>
      </c>
      <c r="G410" s="119">
        <f t="shared" si="125"/>
        <v>0.15047257740878878</v>
      </c>
      <c r="H410" s="125">
        <f t="shared" si="132"/>
        <v>44760</v>
      </c>
      <c r="I410" s="82">
        <f t="shared" si="120"/>
        <v>0.37720523017189028</v>
      </c>
      <c r="J410" s="126">
        <f t="shared" si="126"/>
        <v>3440045.4091204889</v>
      </c>
      <c r="K410" s="139">
        <f t="shared" si="121"/>
        <v>0</v>
      </c>
      <c r="L410" s="83">
        <f t="shared" si="119"/>
        <v>3440045.4091204889</v>
      </c>
      <c r="M410" s="80">
        <f t="shared" si="127"/>
        <v>271</v>
      </c>
      <c r="N410" s="157">
        <f t="shared" si="115"/>
        <v>0</v>
      </c>
      <c r="O410" s="140">
        <f t="shared" si="122"/>
        <v>0</v>
      </c>
      <c r="P410" s="149">
        <v>0</v>
      </c>
      <c r="Q410" s="163">
        <f t="shared" si="128"/>
        <v>271</v>
      </c>
      <c r="R410" s="150">
        <f t="shared" si="123"/>
        <v>0</v>
      </c>
      <c r="S410" s="164">
        <f t="shared" si="116"/>
        <v>9119824.2599999998</v>
      </c>
    </row>
    <row r="411" spans="1:19" x14ac:dyDescent="0.25">
      <c r="A411" s="80" t="str">
        <f t="shared" si="133"/>
        <v>Tues</v>
      </c>
      <c r="B411" s="147">
        <f>IF(SUMIFS(CashFlow!$C$16:$C$40,CashFlow!$D$16:$D$40,CashFlowCalcs!$E411)&gt;0,SUMIFS(CashFlow!$C$16:$C$40,CashFlow!$D$16:$D$40,CashFlowCalcs!$E411),B410)</f>
        <v>12</v>
      </c>
      <c r="C411" s="147" t="str">
        <f t="shared" si="124"/>
        <v>N</v>
      </c>
      <c r="D411" s="80">
        <f t="shared" si="129"/>
        <v>272</v>
      </c>
      <c r="E411" s="81">
        <f t="shared" si="130"/>
        <v>44761</v>
      </c>
      <c r="F411" s="80">
        <f t="shared" si="131"/>
        <v>-1.3905325443786984</v>
      </c>
      <c r="G411" s="119">
        <f t="shared" si="125"/>
        <v>0.15171842977722422</v>
      </c>
      <c r="H411" s="125">
        <f t="shared" si="132"/>
        <v>44761</v>
      </c>
      <c r="I411" s="82">
        <f t="shared" si="120"/>
        <v>0.38032833763431639</v>
      </c>
      <c r="J411" s="126">
        <f t="shared" si="126"/>
        <v>3468527.6003229097</v>
      </c>
      <c r="K411" s="139">
        <f t="shared" si="121"/>
        <v>0</v>
      </c>
      <c r="L411" s="83">
        <f t="shared" si="119"/>
        <v>3468527.6003229097</v>
      </c>
      <c r="M411" s="80">
        <f t="shared" si="127"/>
        <v>272</v>
      </c>
      <c r="N411" s="157">
        <f t="shared" si="115"/>
        <v>0</v>
      </c>
      <c r="O411" s="140">
        <f t="shared" si="122"/>
        <v>0</v>
      </c>
      <c r="P411" s="149">
        <v>0</v>
      </c>
      <c r="Q411" s="163">
        <f t="shared" si="128"/>
        <v>272</v>
      </c>
      <c r="R411" s="150">
        <f t="shared" si="123"/>
        <v>0</v>
      </c>
      <c r="S411" s="164">
        <f t="shared" si="116"/>
        <v>9119824.2599999998</v>
      </c>
    </row>
    <row r="412" spans="1:19" x14ac:dyDescent="0.25">
      <c r="A412" s="80" t="str">
        <f t="shared" si="133"/>
        <v>Wed</v>
      </c>
      <c r="B412" s="147">
        <f>IF(SUMIFS(CashFlow!$C$16:$C$40,CashFlow!$D$16:$D$40,CashFlowCalcs!$E412)&gt;0,SUMIFS(CashFlow!$C$16:$C$40,CashFlow!$D$16:$D$40,CashFlowCalcs!$E412),B411)</f>
        <v>12</v>
      </c>
      <c r="C412" s="147" t="str">
        <f t="shared" si="124"/>
        <v>N</v>
      </c>
      <c r="D412" s="80">
        <f t="shared" si="129"/>
        <v>273</v>
      </c>
      <c r="E412" s="81">
        <f t="shared" si="130"/>
        <v>44762</v>
      </c>
      <c r="F412" s="80">
        <f t="shared" si="131"/>
        <v>-1.3846153846153846</v>
      </c>
      <c r="G412" s="119">
        <f t="shared" si="125"/>
        <v>0.15296924132964909</v>
      </c>
      <c r="H412" s="125">
        <f t="shared" si="132"/>
        <v>44762</v>
      </c>
      <c r="I412" s="82">
        <f t="shared" si="120"/>
        <v>0.38346387679805594</v>
      </c>
      <c r="J412" s="126">
        <f t="shared" si="126"/>
        <v>3497123.1664565615</v>
      </c>
      <c r="K412" s="139">
        <f t="shared" si="121"/>
        <v>0</v>
      </c>
      <c r="L412" s="83">
        <f t="shared" si="119"/>
        <v>3497123.1664565615</v>
      </c>
      <c r="M412" s="80">
        <f t="shared" si="127"/>
        <v>273</v>
      </c>
      <c r="N412" s="157">
        <f t="shared" si="115"/>
        <v>0</v>
      </c>
      <c r="O412" s="140">
        <f t="shared" si="122"/>
        <v>0</v>
      </c>
      <c r="P412" s="149">
        <v>0</v>
      </c>
      <c r="Q412" s="163">
        <f t="shared" si="128"/>
        <v>273</v>
      </c>
      <c r="R412" s="150">
        <f t="shared" si="123"/>
        <v>0</v>
      </c>
      <c r="S412" s="164">
        <f t="shared" si="116"/>
        <v>9119824.2599999998</v>
      </c>
    </row>
    <row r="413" spans="1:19" x14ac:dyDescent="0.25">
      <c r="A413" s="80" t="str">
        <f t="shared" si="133"/>
        <v>Thu</v>
      </c>
      <c r="B413" s="147">
        <f>IF(SUMIFS(CashFlow!$C$16:$C$40,CashFlow!$D$16:$D$40,CashFlowCalcs!$E413)&gt;0,SUMIFS(CashFlow!$C$16:$C$40,CashFlow!$D$16:$D$40,CashFlowCalcs!$E413),B412)</f>
        <v>12</v>
      </c>
      <c r="C413" s="147" t="str">
        <f t="shared" si="124"/>
        <v>N</v>
      </c>
      <c r="D413" s="80">
        <f t="shared" si="129"/>
        <v>274</v>
      </c>
      <c r="E413" s="81">
        <f t="shared" si="130"/>
        <v>44763</v>
      </c>
      <c r="F413" s="80">
        <f t="shared" si="131"/>
        <v>-1.3786982248520712</v>
      </c>
      <c r="G413" s="119">
        <f t="shared" si="125"/>
        <v>0.15422496500274815</v>
      </c>
      <c r="H413" s="125">
        <f t="shared" si="132"/>
        <v>44763</v>
      </c>
      <c r="I413" s="82">
        <f t="shared" si="120"/>
        <v>0.38661172968461094</v>
      </c>
      <c r="J413" s="126">
        <f t="shared" si="126"/>
        <v>3525831.0315782768</v>
      </c>
      <c r="K413" s="139">
        <f t="shared" si="121"/>
        <v>0</v>
      </c>
      <c r="L413" s="83">
        <f t="shared" si="119"/>
        <v>3525831.0315782768</v>
      </c>
      <c r="M413" s="80">
        <f t="shared" si="127"/>
        <v>274</v>
      </c>
      <c r="N413" s="157">
        <f t="shared" si="115"/>
        <v>0</v>
      </c>
      <c r="O413" s="140">
        <f t="shared" si="122"/>
        <v>0</v>
      </c>
      <c r="P413" s="149">
        <v>0</v>
      </c>
      <c r="Q413" s="163">
        <f t="shared" si="128"/>
        <v>274</v>
      </c>
      <c r="R413" s="150">
        <f t="shared" si="123"/>
        <v>0</v>
      </c>
      <c r="S413" s="164">
        <f t="shared" si="116"/>
        <v>9119824.2599999998</v>
      </c>
    </row>
    <row r="414" spans="1:19" x14ac:dyDescent="0.25">
      <c r="A414" s="80" t="str">
        <f t="shared" si="133"/>
        <v>Fri</v>
      </c>
      <c r="B414" s="147">
        <f>IF(SUMIFS(CashFlow!$C$16:$C$40,CashFlow!$D$16:$D$40,CashFlowCalcs!$E414)&gt;0,SUMIFS(CashFlow!$C$16:$C$40,CashFlow!$D$16:$D$40,CashFlowCalcs!$E414),B413)</f>
        <v>12</v>
      </c>
      <c r="C414" s="147" t="str">
        <f t="shared" si="124"/>
        <v>N</v>
      </c>
      <c r="D414" s="80">
        <f t="shared" si="129"/>
        <v>275</v>
      </c>
      <c r="E414" s="81">
        <f t="shared" si="130"/>
        <v>44764</v>
      </c>
      <c r="F414" s="80">
        <f t="shared" si="131"/>
        <v>-1.3727810650887573</v>
      </c>
      <c r="G414" s="119">
        <f t="shared" si="125"/>
        <v>0.15548555282796697</v>
      </c>
      <c r="H414" s="125">
        <f t="shared" si="132"/>
        <v>44764</v>
      </c>
      <c r="I414" s="82">
        <f t="shared" si="120"/>
        <v>0.38977177604622637</v>
      </c>
      <c r="J414" s="126">
        <f t="shared" si="126"/>
        <v>3554650.0990496622</v>
      </c>
      <c r="K414" s="139">
        <f t="shared" si="121"/>
        <v>0</v>
      </c>
      <c r="L414" s="83">
        <f t="shared" si="119"/>
        <v>3554650.0990496622</v>
      </c>
      <c r="M414" s="80">
        <f t="shared" si="127"/>
        <v>275</v>
      </c>
      <c r="N414" s="157">
        <f t="shared" si="115"/>
        <v>0</v>
      </c>
      <c r="O414" s="140">
        <f t="shared" si="122"/>
        <v>0</v>
      </c>
      <c r="P414" s="149">
        <v>0</v>
      </c>
      <c r="Q414" s="163">
        <f t="shared" si="128"/>
        <v>275</v>
      </c>
      <c r="R414" s="150">
        <f t="shared" si="123"/>
        <v>0</v>
      </c>
      <c r="S414" s="164">
        <f t="shared" si="116"/>
        <v>9119824.2599999998</v>
      </c>
    </row>
    <row r="415" spans="1:19" x14ac:dyDescent="0.25">
      <c r="A415" s="80" t="str">
        <f t="shared" si="133"/>
        <v>Sat</v>
      </c>
      <c r="B415" s="147">
        <f>IF(SUMIFS(CashFlow!$C$16:$C$40,CashFlow!$D$16:$D$40,CashFlowCalcs!$E415)&gt;0,SUMIFS(CashFlow!$C$16:$C$40,CashFlow!$D$16:$D$40,CashFlowCalcs!$E415),B414)</f>
        <v>12</v>
      </c>
      <c r="C415" s="147" t="str">
        <f t="shared" si="124"/>
        <v>Y</v>
      </c>
      <c r="D415" s="80">
        <f t="shared" si="129"/>
        <v>275</v>
      </c>
      <c r="E415" s="81">
        <f t="shared" si="130"/>
        <v>44765</v>
      </c>
      <c r="F415" s="80">
        <f t="shared" si="131"/>
        <v>-1.3727810650887573</v>
      </c>
      <c r="G415" s="119">
        <f t="shared" si="125"/>
        <v>0.15548555282796697</v>
      </c>
      <c r="H415" s="125">
        <f t="shared" si="132"/>
        <v>44765</v>
      </c>
      <c r="I415" s="82">
        <f t="shared" si="120"/>
        <v>0.38977177604622637</v>
      </c>
      <c r="J415" s="126">
        <f t="shared" si="126"/>
        <v>3554650.0990496622</v>
      </c>
      <c r="K415" s="139">
        <f t="shared" si="121"/>
        <v>0</v>
      </c>
      <c r="L415" s="83">
        <f t="shared" si="119"/>
        <v>3554650.0990496622</v>
      </c>
      <c r="M415" s="80">
        <f t="shared" si="127"/>
        <v>275</v>
      </c>
      <c r="N415" s="157">
        <f t="shared" si="115"/>
        <v>0</v>
      </c>
      <c r="O415" s="140">
        <f t="shared" si="122"/>
        <v>0</v>
      </c>
      <c r="P415" s="149">
        <v>0</v>
      </c>
      <c r="Q415" s="163">
        <f t="shared" si="128"/>
        <v>275</v>
      </c>
      <c r="R415" s="150">
        <f t="shared" si="123"/>
        <v>0</v>
      </c>
      <c r="S415" s="164">
        <f t="shared" si="116"/>
        <v>9119824.2599999998</v>
      </c>
    </row>
    <row r="416" spans="1:19" x14ac:dyDescent="0.25">
      <c r="A416" s="80" t="str">
        <f t="shared" si="133"/>
        <v>Sun</v>
      </c>
      <c r="B416" s="147">
        <f>IF(SUMIFS(CashFlow!$C$16:$C$40,CashFlow!$D$16:$D$40,CashFlowCalcs!$E416)&gt;0,SUMIFS(CashFlow!$C$16:$C$40,CashFlow!$D$16:$D$40,CashFlowCalcs!$E416),B415)</f>
        <v>12</v>
      </c>
      <c r="C416" s="147" t="str">
        <f t="shared" si="124"/>
        <v>Y</v>
      </c>
      <c r="D416" s="80">
        <f t="shared" si="129"/>
        <v>275</v>
      </c>
      <c r="E416" s="81">
        <f t="shared" si="130"/>
        <v>44766</v>
      </c>
      <c r="F416" s="80">
        <f t="shared" si="131"/>
        <v>-1.3727810650887573</v>
      </c>
      <c r="G416" s="119">
        <f t="shared" si="125"/>
        <v>0.15548555282796697</v>
      </c>
      <c r="H416" s="125">
        <f t="shared" si="132"/>
        <v>44766</v>
      </c>
      <c r="I416" s="82">
        <f t="shared" si="120"/>
        <v>0.38977177604622637</v>
      </c>
      <c r="J416" s="126">
        <f t="shared" si="126"/>
        <v>3554650.0990496622</v>
      </c>
      <c r="K416" s="139">
        <f t="shared" si="121"/>
        <v>0</v>
      </c>
      <c r="L416" s="83">
        <f t="shared" si="119"/>
        <v>3554650.0990496622</v>
      </c>
      <c r="M416" s="80">
        <f t="shared" si="127"/>
        <v>275</v>
      </c>
      <c r="N416" s="157">
        <f t="shared" si="115"/>
        <v>0</v>
      </c>
      <c r="O416" s="140">
        <f t="shared" si="122"/>
        <v>0</v>
      </c>
      <c r="P416" s="149">
        <v>0</v>
      </c>
      <c r="Q416" s="163">
        <f t="shared" si="128"/>
        <v>275</v>
      </c>
      <c r="R416" s="150">
        <f t="shared" si="123"/>
        <v>0</v>
      </c>
      <c r="S416" s="164">
        <f t="shared" si="116"/>
        <v>9119824.2599999998</v>
      </c>
    </row>
    <row r="417" spans="1:19" x14ac:dyDescent="0.25">
      <c r="A417" s="80" t="str">
        <f t="shared" si="133"/>
        <v>Mon</v>
      </c>
      <c r="B417" s="147">
        <f>IF(SUMIFS(CashFlow!$C$16:$C$40,CashFlow!$D$16:$D$40,CashFlowCalcs!$E417)&gt;0,SUMIFS(CashFlow!$C$16:$C$40,CashFlow!$D$16:$D$40,CashFlowCalcs!$E417),B416)</f>
        <v>12</v>
      </c>
      <c r="C417" s="147" t="str">
        <f t="shared" si="124"/>
        <v>N</v>
      </c>
      <c r="D417" s="80">
        <f t="shared" si="129"/>
        <v>276</v>
      </c>
      <c r="E417" s="81">
        <f t="shared" si="130"/>
        <v>44767</v>
      </c>
      <c r="F417" s="80">
        <f t="shared" si="131"/>
        <v>-1.3668639053254439</v>
      </c>
      <c r="G417" s="119">
        <f t="shared" si="125"/>
        <v>0.15675095593082547</v>
      </c>
      <c r="H417" s="125">
        <f t="shared" si="132"/>
        <v>44767</v>
      </c>
      <c r="I417" s="82">
        <f t="shared" si="120"/>
        <v>0.39294389336416957</v>
      </c>
      <c r="J417" s="126">
        <f t="shared" si="126"/>
        <v>3583579.2515214067</v>
      </c>
      <c r="K417" s="139">
        <f t="shared" si="121"/>
        <v>0</v>
      </c>
      <c r="L417" s="83">
        <f t="shared" si="119"/>
        <v>3583579.2515214067</v>
      </c>
      <c r="M417" s="80">
        <f t="shared" si="127"/>
        <v>276</v>
      </c>
      <c r="N417" s="157">
        <f t="shared" si="115"/>
        <v>0</v>
      </c>
      <c r="O417" s="140">
        <f t="shared" si="122"/>
        <v>0</v>
      </c>
      <c r="P417" s="149">
        <v>0</v>
      </c>
      <c r="Q417" s="163">
        <f t="shared" si="128"/>
        <v>276</v>
      </c>
      <c r="R417" s="150">
        <f t="shared" si="123"/>
        <v>0</v>
      </c>
      <c r="S417" s="164">
        <f t="shared" si="116"/>
        <v>9119824.2599999998</v>
      </c>
    </row>
    <row r="418" spans="1:19" x14ac:dyDescent="0.25">
      <c r="A418" s="80" t="str">
        <f t="shared" si="133"/>
        <v>Tues</v>
      </c>
      <c r="B418" s="147">
        <f>IF(SUMIFS(CashFlow!$C$16:$C$40,CashFlow!$D$16:$D$40,CashFlowCalcs!$E418)&gt;0,SUMIFS(CashFlow!$C$16:$C$40,CashFlow!$D$16:$D$40,CashFlowCalcs!$E418),B417)</f>
        <v>12</v>
      </c>
      <c r="C418" s="147" t="str">
        <f t="shared" si="124"/>
        <v>N</v>
      </c>
      <c r="D418" s="80">
        <f t="shared" si="129"/>
        <v>277</v>
      </c>
      <c r="E418" s="81">
        <f t="shared" si="130"/>
        <v>44768</v>
      </c>
      <c r="F418" s="80">
        <f t="shared" si="131"/>
        <v>-1.36094674556213</v>
      </c>
      <c r="G418" s="119">
        <f t="shared" si="125"/>
        <v>0.15802112453038686</v>
      </c>
      <c r="H418" s="125">
        <f t="shared" si="132"/>
        <v>44768</v>
      </c>
      <c r="I418" s="82">
        <f t="shared" si="120"/>
        <v>0.39612795684739849</v>
      </c>
      <c r="J418" s="126">
        <f t="shared" si="126"/>
        <v>3612617.3509211377</v>
      </c>
      <c r="K418" s="139">
        <f t="shared" si="121"/>
        <v>0</v>
      </c>
      <c r="L418" s="83">
        <f t="shared" si="119"/>
        <v>3612617.3509211377</v>
      </c>
      <c r="M418" s="80">
        <f t="shared" si="127"/>
        <v>277</v>
      </c>
      <c r="N418" s="157">
        <f t="shared" si="115"/>
        <v>0</v>
      </c>
      <c r="O418" s="140">
        <f t="shared" si="122"/>
        <v>0</v>
      </c>
      <c r="P418" s="149">
        <v>0</v>
      </c>
      <c r="Q418" s="163">
        <f t="shared" si="128"/>
        <v>277</v>
      </c>
      <c r="R418" s="150">
        <f t="shared" si="123"/>
        <v>0</v>
      </c>
      <c r="S418" s="164">
        <f t="shared" si="116"/>
        <v>9119824.2599999998</v>
      </c>
    </row>
    <row r="419" spans="1:19" x14ac:dyDescent="0.25">
      <c r="A419" s="80" t="str">
        <f t="shared" si="133"/>
        <v>Wed</v>
      </c>
      <c r="B419" s="147">
        <f>IF(SUMIFS(CashFlow!$C$16:$C$40,CashFlow!$D$16:$D$40,CashFlowCalcs!$E419)&gt;0,SUMIFS(CashFlow!$C$16:$C$40,CashFlow!$D$16:$D$40,CashFlowCalcs!$E419),B418)</f>
        <v>12</v>
      </c>
      <c r="C419" s="147" t="str">
        <f t="shared" si="124"/>
        <v>N</v>
      </c>
      <c r="D419" s="80">
        <f t="shared" si="129"/>
        <v>278</v>
      </c>
      <c r="E419" s="81">
        <f t="shared" si="130"/>
        <v>44769</v>
      </c>
      <c r="F419" s="80">
        <f t="shared" si="131"/>
        <v>-1.3550295857988166</v>
      </c>
      <c r="G419" s="119">
        <f t="shared" si="125"/>
        <v>0.15929600793887977</v>
      </c>
      <c r="H419" s="125">
        <f t="shared" si="132"/>
        <v>44769</v>
      </c>
      <c r="I419" s="82">
        <f t="shared" si="120"/>
        <v>0.39932383943161481</v>
      </c>
      <c r="J419" s="126">
        <f t="shared" si="126"/>
        <v>3641763.2384447851</v>
      </c>
      <c r="K419" s="139">
        <f t="shared" si="121"/>
        <v>0</v>
      </c>
      <c r="L419" s="83">
        <f t="shared" si="119"/>
        <v>3641763.2384447851</v>
      </c>
      <c r="M419" s="80">
        <f t="shared" si="127"/>
        <v>278</v>
      </c>
      <c r="N419" s="157">
        <f t="shared" si="115"/>
        <v>0</v>
      </c>
      <c r="O419" s="140">
        <f t="shared" si="122"/>
        <v>0</v>
      </c>
      <c r="P419" s="149">
        <v>0</v>
      </c>
      <c r="Q419" s="163">
        <f t="shared" si="128"/>
        <v>278</v>
      </c>
      <c r="R419" s="150">
        <f t="shared" si="123"/>
        <v>0</v>
      </c>
      <c r="S419" s="164">
        <f t="shared" si="116"/>
        <v>9119824.2599999998</v>
      </c>
    </row>
    <row r="420" spans="1:19" x14ac:dyDescent="0.25">
      <c r="A420" s="80" t="str">
        <f t="shared" si="133"/>
        <v>Thu</v>
      </c>
      <c r="B420" s="147">
        <f>IF(SUMIFS(CashFlow!$C$16:$C$40,CashFlow!$D$16:$D$40,CashFlowCalcs!$E420)&gt;0,SUMIFS(CashFlow!$C$16:$C$40,CashFlow!$D$16:$D$40,CashFlowCalcs!$E420),B419)</f>
        <v>12</v>
      </c>
      <c r="C420" s="147" t="str">
        <f t="shared" si="124"/>
        <v>N</v>
      </c>
      <c r="D420" s="80">
        <f t="shared" si="129"/>
        <v>279</v>
      </c>
      <c r="E420" s="81">
        <f t="shared" ref="E420:E435" si="134">E419+1</f>
        <v>44770</v>
      </c>
      <c r="F420" s="80">
        <f t="shared" si="131"/>
        <v>-1.3491124260355027</v>
      </c>
      <c r="G420" s="119">
        <f t="shared" si="125"/>
        <v>0.16057555456147829</v>
      </c>
      <c r="H420" s="125">
        <f t="shared" si="132"/>
        <v>44770</v>
      </c>
      <c r="I420" s="82">
        <f t="shared" si="120"/>
        <v>0.40253141177871249</v>
      </c>
      <c r="J420" s="126">
        <f t="shared" si="126"/>
        <v>3671015.7345515518</v>
      </c>
      <c r="K420" s="139">
        <f t="shared" si="121"/>
        <v>0</v>
      </c>
      <c r="L420" s="83">
        <f t="shared" si="119"/>
        <v>3671015.7345515518</v>
      </c>
      <c r="M420" s="80">
        <f t="shared" si="127"/>
        <v>279</v>
      </c>
      <c r="N420" s="157">
        <f t="shared" ref="N420:N483" si="135">IF(E420&lt;$J$6,0,IF(E420&gt;=$I$1,0,1))*$I$10</f>
        <v>0</v>
      </c>
      <c r="O420" s="140">
        <f t="shared" si="122"/>
        <v>0</v>
      </c>
      <c r="P420" s="149">
        <v>0</v>
      </c>
      <c r="Q420" s="163">
        <f t="shared" si="128"/>
        <v>279</v>
      </c>
      <c r="R420" s="150">
        <f t="shared" si="123"/>
        <v>0</v>
      </c>
      <c r="S420" s="164">
        <f t="shared" si="116"/>
        <v>9119824.2599999998</v>
      </c>
    </row>
    <row r="421" spans="1:19" x14ac:dyDescent="0.25">
      <c r="A421" s="80" t="str">
        <f t="shared" si="133"/>
        <v>Fri</v>
      </c>
      <c r="B421" s="147">
        <f>IF(SUMIFS(CashFlow!$C$16:$C$40,CashFlow!$D$16:$D$40,CashFlowCalcs!$E421)&gt;0,SUMIFS(CashFlow!$C$16:$C$40,CashFlow!$D$16:$D$40,CashFlowCalcs!$E421),B420)</f>
        <v>14</v>
      </c>
      <c r="C421" s="147" t="str">
        <f t="shared" si="124"/>
        <v>N</v>
      </c>
      <c r="D421" s="80">
        <f t="shared" si="129"/>
        <v>280</v>
      </c>
      <c r="E421" s="81">
        <f t="shared" si="134"/>
        <v>44771</v>
      </c>
      <c r="F421" s="80">
        <f t="shared" si="131"/>
        <v>-1.3431952662721893</v>
      </c>
      <c r="G421" s="119">
        <f t="shared" si="125"/>
        <v>0.1618597118962383</v>
      </c>
      <c r="H421" s="125">
        <f t="shared" si="132"/>
        <v>44771</v>
      </c>
      <c r="I421" s="82">
        <f t="shared" si="120"/>
        <v>0.40575054227661789</v>
      </c>
      <c r="J421" s="126">
        <f t="shared" si="126"/>
        <v>3700373.6389624556</v>
      </c>
      <c r="K421" s="139">
        <f t="shared" si="121"/>
        <v>0</v>
      </c>
      <c r="L421" s="83">
        <f t="shared" si="119"/>
        <v>3700373.6389624556</v>
      </c>
      <c r="M421" s="80">
        <f t="shared" si="127"/>
        <v>280</v>
      </c>
      <c r="N421" s="157">
        <f t="shared" si="135"/>
        <v>0</v>
      </c>
      <c r="O421" s="140">
        <f t="shared" si="122"/>
        <v>0</v>
      </c>
      <c r="P421" s="149">
        <v>0</v>
      </c>
      <c r="Q421" s="163">
        <f t="shared" si="128"/>
        <v>280</v>
      </c>
      <c r="R421" s="150">
        <f t="shared" si="123"/>
        <v>0</v>
      </c>
      <c r="S421" s="164">
        <f t="shared" si="116"/>
        <v>9119824.2599999998</v>
      </c>
    </row>
    <row r="422" spans="1:19" x14ac:dyDescent="0.25">
      <c r="A422" s="80" t="str">
        <f t="shared" si="133"/>
        <v>Sat</v>
      </c>
      <c r="B422" s="147">
        <f>IF(SUMIFS(CashFlow!$C$16:$C$40,CashFlow!$D$16:$D$40,CashFlowCalcs!$E422)&gt;0,SUMIFS(CashFlow!$C$16:$C$40,CashFlow!$D$16:$D$40,CashFlowCalcs!$E422),B421)</f>
        <v>14</v>
      </c>
      <c r="C422" s="147" t="str">
        <f t="shared" si="124"/>
        <v>Y</v>
      </c>
      <c r="D422" s="80">
        <f t="shared" si="129"/>
        <v>280</v>
      </c>
      <c r="E422" s="81">
        <f t="shared" si="134"/>
        <v>44772</v>
      </c>
      <c r="F422" s="80">
        <f t="shared" si="131"/>
        <v>-1.3431952662721893</v>
      </c>
      <c r="G422" s="119">
        <f t="shared" si="125"/>
        <v>0.1618597118962383</v>
      </c>
      <c r="H422" s="125">
        <f t="shared" si="132"/>
        <v>44772</v>
      </c>
      <c r="I422" s="82">
        <f t="shared" si="120"/>
        <v>0.40575054227661789</v>
      </c>
      <c r="J422" s="126">
        <f t="shared" si="126"/>
        <v>3700373.6389624556</v>
      </c>
      <c r="K422" s="139">
        <f t="shared" si="121"/>
        <v>0</v>
      </c>
      <c r="L422" s="83">
        <f t="shared" si="119"/>
        <v>3700373.6389624556</v>
      </c>
      <c r="M422" s="80">
        <f t="shared" si="127"/>
        <v>280</v>
      </c>
      <c r="N422" s="157">
        <f t="shared" si="135"/>
        <v>0</v>
      </c>
      <c r="O422" s="140">
        <f t="shared" si="122"/>
        <v>0</v>
      </c>
      <c r="P422" s="149">
        <v>0</v>
      </c>
      <c r="Q422" s="163">
        <f t="shared" si="128"/>
        <v>280</v>
      </c>
      <c r="R422" s="150">
        <f t="shared" si="123"/>
        <v>0</v>
      </c>
      <c r="S422" s="164">
        <f t="shared" si="116"/>
        <v>9119824.2599999998</v>
      </c>
    </row>
    <row r="423" spans="1:19" x14ac:dyDescent="0.25">
      <c r="A423" s="80" t="str">
        <f t="shared" si="133"/>
        <v>Sun</v>
      </c>
      <c r="B423" s="147">
        <f>IF(SUMIFS(CashFlow!$C$16:$C$40,CashFlow!$D$16:$D$40,CashFlowCalcs!$E423)&gt;0,SUMIFS(CashFlow!$C$16:$C$40,CashFlow!$D$16:$D$40,CashFlowCalcs!$E423),B422)</f>
        <v>14</v>
      </c>
      <c r="C423" s="147" t="str">
        <f t="shared" si="124"/>
        <v>Y</v>
      </c>
      <c r="D423" s="80">
        <f t="shared" si="129"/>
        <v>280</v>
      </c>
      <c r="E423" s="81">
        <f t="shared" si="134"/>
        <v>44773</v>
      </c>
      <c r="F423" s="80">
        <f t="shared" si="131"/>
        <v>-1.3431952662721893</v>
      </c>
      <c r="G423" s="119">
        <f t="shared" si="125"/>
        <v>0.1618597118962383</v>
      </c>
      <c r="H423" s="125">
        <f t="shared" si="132"/>
        <v>44773</v>
      </c>
      <c r="I423" s="82">
        <f t="shared" si="120"/>
        <v>0.40575054227661789</v>
      </c>
      <c r="J423" s="126">
        <f t="shared" si="126"/>
        <v>3700373.6389624556</v>
      </c>
      <c r="K423" s="139">
        <f t="shared" si="121"/>
        <v>0</v>
      </c>
      <c r="L423" s="83">
        <f t="shared" si="119"/>
        <v>3700373.6389624556</v>
      </c>
      <c r="M423" s="80">
        <f t="shared" si="127"/>
        <v>280</v>
      </c>
      <c r="N423" s="157">
        <f t="shared" si="135"/>
        <v>0</v>
      </c>
      <c r="O423" s="140">
        <f t="shared" si="122"/>
        <v>0</v>
      </c>
      <c r="P423" s="149">
        <v>0</v>
      </c>
      <c r="Q423" s="163">
        <f t="shared" si="128"/>
        <v>280</v>
      </c>
      <c r="R423" s="150">
        <f t="shared" si="123"/>
        <v>0</v>
      </c>
      <c r="S423" s="164">
        <f t="shared" si="116"/>
        <v>9119824.2599999998</v>
      </c>
    </row>
    <row r="424" spans="1:19" x14ac:dyDescent="0.25">
      <c r="A424" s="80" t="str">
        <f t="shared" si="133"/>
        <v>Mon</v>
      </c>
      <c r="B424" s="147">
        <f>IF(SUMIFS(CashFlow!$C$16:$C$40,CashFlow!$D$16:$D$40,CashFlowCalcs!$E424)&gt;0,SUMIFS(CashFlow!$C$16:$C$40,CashFlow!$D$16:$D$40,CashFlowCalcs!$E424),B423)</f>
        <v>14</v>
      </c>
      <c r="C424" s="147" t="str">
        <f t="shared" si="124"/>
        <v>N</v>
      </c>
      <c r="D424" s="80">
        <f t="shared" si="129"/>
        <v>281</v>
      </c>
      <c r="E424" s="81">
        <f t="shared" si="134"/>
        <v>44774</v>
      </c>
      <c r="F424" s="80">
        <f t="shared" si="131"/>
        <v>-1.3372781065088755</v>
      </c>
      <c r="G424" s="119">
        <f t="shared" si="125"/>
        <v>0.16314842653419412</v>
      </c>
      <c r="H424" s="125">
        <f t="shared" si="132"/>
        <v>44774</v>
      </c>
      <c r="I424" s="82">
        <f t="shared" si="120"/>
        <v>0.40898109703953256</v>
      </c>
      <c r="J424" s="126">
        <f t="shared" si="126"/>
        <v>3729835.7306625433</v>
      </c>
      <c r="K424" s="139">
        <f t="shared" si="121"/>
        <v>0</v>
      </c>
      <c r="L424" s="83">
        <f t="shared" si="119"/>
        <v>3729835.7306625433</v>
      </c>
      <c r="M424" s="80">
        <f t="shared" si="127"/>
        <v>281</v>
      </c>
      <c r="N424" s="157">
        <f t="shared" si="135"/>
        <v>0</v>
      </c>
      <c r="O424" s="140">
        <f t="shared" si="122"/>
        <v>0</v>
      </c>
      <c r="P424" s="149">
        <v>0</v>
      </c>
      <c r="Q424" s="163">
        <f t="shared" si="128"/>
        <v>281</v>
      </c>
      <c r="R424" s="150">
        <f t="shared" si="123"/>
        <v>0</v>
      </c>
      <c r="S424" s="164">
        <f t="shared" si="116"/>
        <v>9119824.2599999998</v>
      </c>
    </row>
    <row r="425" spans="1:19" x14ac:dyDescent="0.25">
      <c r="A425" s="80" t="str">
        <f t="shared" si="133"/>
        <v>Tues</v>
      </c>
      <c r="B425" s="147">
        <f>IF(SUMIFS(CashFlow!$C$16:$C$40,CashFlow!$D$16:$D$40,CashFlowCalcs!$E425)&gt;0,SUMIFS(CashFlow!$C$16:$C$40,CashFlow!$D$16:$D$40,CashFlowCalcs!$E425),B424)</f>
        <v>14</v>
      </c>
      <c r="C425" s="147" t="str">
        <f t="shared" si="124"/>
        <v>N</v>
      </c>
      <c r="D425" s="80">
        <f t="shared" si="129"/>
        <v>282</v>
      </c>
      <c r="E425" s="81">
        <f t="shared" si="134"/>
        <v>44775</v>
      </c>
      <c r="F425" s="80">
        <f t="shared" si="131"/>
        <v>-1.3313609467455623</v>
      </c>
      <c r="G425" s="119">
        <f t="shared" si="125"/>
        <v>0.16444164415961368</v>
      </c>
      <c r="H425" s="125">
        <f t="shared" si="132"/>
        <v>44775</v>
      </c>
      <c r="I425" s="82">
        <f t="shared" si="120"/>
        <v>0.41222293990857245</v>
      </c>
      <c r="J425" s="126">
        <f t="shared" si="126"/>
        <v>3759400.7679067212</v>
      </c>
      <c r="K425" s="139">
        <f t="shared" si="121"/>
        <v>0</v>
      </c>
      <c r="L425" s="83">
        <f t="shared" si="119"/>
        <v>3759400.7679067212</v>
      </c>
      <c r="M425" s="80">
        <f t="shared" si="127"/>
        <v>282</v>
      </c>
      <c r="N425" s="157">
        <f t="shared" si="135"/>
        <v>0</v>
      </c>
      <c r="O425" s="140">
        <f t="shared" si="122"/>
        <v>0</v>
      </c>
      <c r="P425" s="149">
        <v>0</v>
      </c>
      <c r="Q425" s="163">
        <f t="shared" si="128"/>
        <v>282</v>
      </c>
      <c r="R425" s="150">
        <f t="shared" si="123"/>
        <v>0</v>
      </c>
      <c r="S425" s="164">
        <f t="shared" si="116"/>
        <v>9119824.2599999998</v>
      </c>
    </row>
    <row r="426" spans="1:19" x14ac:dyDescent="0.25">
      <c r="A426" s="80" t="str">
        <f t="shared" si="133"/>
        <v>Wed</v>
      </c>
      <c r="B426" s="147">
        <f>IF(SUMIFS(CashFlow!$C$16:$C$40,CashFlow!$D$16:$D$40,CashFlowCalcs!$E426)&gt;0,SUMIFS(CashFlow!$C$16:$C$40,CashFlow!$D$16:$D$40,CashFlowCalcs!$E426),B425)</f>
        <v>14</v>
      </c>
      <c r="C426" s="147" t="str">
        <f t="shared" si="124"/>
        <v>N</v>
      </c>
      <c r="D426" s="80">
        <f t="shared" si="129"/>
        <v>283</v>
      </c>
      <c r="E426" s="81">
        <f t="shared" si="134"/>
        <v>44776</v>
      </c>
      <c r="F426" s="80">
        <f t="shared" si="131"/>
        <v>-1.3254437869822486</v>
      </c>
      <c r="G426" s="119">
        <f t="shared" si="125"/>
        <v>0.1657393095504171</v>
      </c>
      <c r="H426" s="125">
        <f t="shared" si="132"/>
        <v>44776</v>
      </c>
      <c r="I426" s="82">
        <f t="shared" si="120"/>
        <v>0.41547593245281733</v>
      </c>
      <c r="J426" s="126">
        <f t="shared" si="126"/>
        <v>3789067.4882293246</v>
      </c>
      <c r="K426" s="139">
        <f t="shared" si="121"/>
        <v>0</v>
      </c>
      <c r="L426" s="83">
        <f t="shared" si="119"/>
        <v>3789067.4882293246</v>
      </c>
      <c r="M426" s="80">
        <f t="shared" si="127"/>
        <v>283</v>
      </c>
      <c r="N426" s="157">
        <f t="shared" si="135"/>
        <v>0</v>
      </c>
      <c r="O426" s="140">
        <f t="shared" si="122"/>
        <v>0</v>
      </c>
      <c r="P426" s="149">
        <v>0</v>
      </c>
      <c r="Q426" s="163">
        <f t="shared" si="128"/>
        <v>283</v>
      </c>
      <c r="R426" s="150">
        <f t="shared" si="123"/>
        <v>0</v>
      </c>
      <c r="S426" s="164">
        <f t="shared" si="116"/>
        <v>9119824.2599999998</v>
      </c>
    </row>
    <row r="427" spans="1:19" x14ac:dyDescent="0.25">
      <c r="A427" s="80" t="str">
        <f t="shared" si="133"/>
        <v>Thu</v>
      </c>
      <c r="B427" s="147">
        <f>IF(SUMIFS(CashFlow!$C$16:$C$40,CashFlow!$D$16:$D$40,CashFlowCalcs!$E427)&gt;0,SUMIFS(CashFlow!$C$16:$C$40,CashFlow!$D$16:$D$40,CashFlowCalcs!$E427),B426)</f>
        <v>14</v>
      </c>
      <c r="C427" s="147" t="str">
        <f t="shared" si="124"/>
        <v>N</v>
      </c>
      <c r="D427" s="80">
        <f t="shared" si="129"/>
        <v>284</v>
      </c>
      <c r="E427" s="81">
        <f t="shared" si="134"/>
        <v>44777</v>
      </c>
      <c r="F427" s="80">
        <f t="shared" si="131"/>
        <v>-1.319526627218935</v>
      </c>
      <c r="G427" s="119">
        <f t="shared" si="125"/>
        <v>0.1670413665787559</v>
      </c>
      <c r="H427" s="125">
        <f t="shared" si="132"/>
        <v>44777</v>
      </c>
      <c r="I427" s="82">
        <f t="shared" si="120"/>
        <v>0.41873993397076287</v>
      </c>
      <c r="J427" s="126">
        <f t="shared" si="126"/>
        <v>3818834.6084573613</v>
      </c>
      <c r="K427" s="139">
        <f t="shared" si="121"/>
        <v>0</v>
      </c>
      <c r="L427" s="83">
        <f t="shared" si="119"/>
        <v>3818834.6084573613</v>
      </c>
      <c r="M427" s="80">
        <f t="shared" si="127"/>
        <v>284</v>
      </c>
      <c r="N427" s="157">
        <f t="shared" si="135"/>
        <v>0</v>
      </c>
      <c r="O427" s="140">
        <f t="shared" si="122"/>
        <v>0</v>
      </c>
      <c r="P427" s="149">
        <v>0</v>
      </c>
      <c r="Q427" s="163">
        <f t="shared" si="128"/>
        <v>284</v>
      </c>
      <c r="R427" s="150">
        <f t="shared" si="123"/>
        <v>0</v>
      </c>
      <c r="S427" s="164">
        <f t="shared" si="116"/>
        <v>9119824.2599999998</v>
      </c>
    </row>
    <row r="428" spans="1:19" x14ac:dyDescent="0.25">
      <c r="A428" s="80" t="str">
        <f t="shared" si="133"/>
        <v>Fri</v>
      </c>
      <c r="B428" s="147">
        <f>IF(SUMIFS(CashFlow!$C$16:$C$40,CashFlow!$D$16:$D$40,CashFlowCalcs!$E428)&gt;0,SUMIFS(CashFlow!$C$16:$C$40,CashFlow!$D$16:$D$40,CashFlowCalcs!$E428),B427)</f>
        <v>14</v>
      </c>
      <c r="C428" s="147" t="str">
        <f t="shared" si="124"/>
        <v>N</v>
      </c>
      <c r="D428" s="80">
        <f t="shared" si="129"/>
        <v>285</v>
      </c>
      <c r="E428" s="81">
        <f t="shared" si="134"/>
        <v>44778</v>
      </c>
      <c r="F428" s="80">
        <f t="shared" si="131"/>
        <v>-1.3136094674556213</v>
      </c>
      <c r="G428" s="119">
        <f t="shared" si="125"/>
        <v>0.16834775821175729</v>
      </c>
      <c r="H428" s="125">
        <f t="shared" si="132"/>
        <v>44778</v>
      </c>
      <c r="I428" s="82">
        <f t="shared" si="120"/>
        <v>0.42201480149218634</v>
      </c>
      <c r="J428" s="126">
        <f t="shared" si="126"/>
        <v>3848700.824727525</v>
      </c>
      <c r="K428" s="139">
        <f t="shared" si="121"/>
        <v>0</v>
      </c>
      <c r="L428" s="83">
        <f t="shared" si="119"/>
        <v>3848700.824727525</v>
      </c>
      <c r="M428" s="80">
        <f t="shared" si="127"/>
        <v>285</v>
      </c>
      <c r="N428" s="157">
        <f t="shared" si="135"/>
        <v>0</v>
      </c>
      <c r="O428" s="140">
        <f t="shared" si="122"/>
        <v>0</v>
      </c>
      <c r="P428" s="149">
        <v>0</v>
      </c>
      <c r="Q428" s="163">
        <f t="shared" si="128"/>
        <v>285</v>
      </c>
      <c r="R428" s="150">
        <f t="shared" si="123"/>
        <v>0</v>
      </c>
      <c r="S428" s="164">
        <f t="shared" si="116"/>
        <v>9119824.2599999998</v>
      </c>
    </row>
    <row r="429" spans="1:19" x14ac:dyDescent="0.25">
      <c r="A429" s="80" t="str">
        <f t="shared" si="133"/>
        <v>Sat</v>
      </c>
      <c r="B429" s="147">
        <f>IF(SUMIFS(CashFlow!$C$16:$C$40,CashFlow!$D$16:$D$40,CashFlowCalcs!$E429)&gt;0,SUMIFS(CashFlow!$C$16:$C$40,CashFlow!$D$16:$D$40,CashFlowCalcs!$E429),B428)</f>
        <v>14</v>
      </c>
      <c r="C429" s="147" t="str">
        <f t="shared" si="124"/>
        <v>Y</v>
      </c>
      <c r="D429" s="80">
        <f t="shared" si="129"/>
        <v>285</v>
      </c>
      <c r="E429" s="81">
        <f t="shared" si="134"/>
        <v>44779</v>
      </c>
      <c r="F429" s="80">
        <f t="shared" si="131"/>
        <v>-1.3136094674556213</v>
      </c>
      <c r="G429" s="119">
        <f t="shared" si="125"/>
        <v>0.16834775821175729</v>
      </c>
      <c r="H429" s="125">
        <f t="shared" si="132"/>
        <v>44779</v>
      </c>
      <c r="I429" s="82">
        <f t="shared" si="120"/>
        <v>0.42201480149218634</v>
      </c>
      <c r="J429" s="126">
        <f t="shared" si="126"/>
        <v>3848700.824727525</v>
      </c>
      <c r="K429" s="139">
        <f t="shared" si="121"/>
        <v>0</v>
      </c>
      <c r="L429" s="83">
        <f t="shared" si="119"/>
        <v>3848700.824727525</v>
      </c>
      <c r="M429" s="80">
        <f t="shared" si="127"/>
        <v>285</v>
      </c>
      <c r="N429" s="157">
        <f t="shared" si="135"/>
        <v>0</v>
      </c>
      <c r="O429" s="140">
        <f t="shared" si="122"/>
        <v>0</v>
      </c>
      <c r="P429" s="149">
        <v>0</v>
      </c>
      <c r="Q429" s="163">
        <f t="shared" si="128"/>
        <v>285</v>
      </c>
      <c r="R429" s="150">
        <f t="shared" si="123"/>
        <v>0</v>
      </c>
      <c r="S429" s="164">
        <f t="shared" si="116"/>
        <v>9119824.2599999998</v>
      </c>
    </row>
    <row r="430" spans="1:19" x14ac:dyDescent="0.25">
      <c r="A430" s="80" t="str">
        <f t="shared" si="133"/>
        <v>Sun</v>
      </c>
      <c r="B430" s="147">
        <f>IF(SUMIFS(CashFlow!$C$16:$C$40,CashFlow!$D$16:$D$40,CashFlowCalcs!$E430)&gt;0,SUMIFS(CashFlow!$C$16:$C$40,CashFlow!$D$16:$D$40,CashFlowCalcs!$E430),B429)</f>
        <v>14</v>
      </c>
      <c r="C430" s="147" t="str">
        <f t="shared" si="124"/>
        <v>Y</v>
      </c>
      <c r="D430" s="80">
        <f t="shared" si="129"/>
        <v>285</v>
      </c>
      <c r="E430" s="81">
        <f t="shared" si="134"/>
        <v>44780</v>
      </c>
      <c r="F430" s="80">
        <f t="shared" si="131"/>
        <v>-1.3136094674556213</v>
      </c>
      <c r="G430" s="119">
        <f t="shared" si="125"/>
        <v>0.16834775821175729</v>
      </c>
      <c r="H430" s="125">
        <f t="shared" si="132"/>
        <v>44780</v>
      </c>
      <c r="I430" s="82">
        <f t="shared" si="120"/>
        <v>0.42201480149218634</v>
      </c>
      <c r="J430" s="126">
        <f t="shared" si="126"/>
        <v>3848700.824727525</v>
      </c>
      <c r="K430" s="139">
        <f t="shared" si="121"/>
        <v>0</v>
      </c>
      <c r="L430" s="83">
        <f t="shared" si="119"/>
        <v>3848700.824727525</v>
      </c>
      <c r="M430" s="80">
        <f t="shared" si="127"/>
        <v>285</v>
      </c>
      <c r="N430" s="157">
        <f t="shared" si="135"/>
        <v>0</v>
      </c>
      <c r="O430" s="140">
        <f t="shared" si="122"/>
        <v>0</v>
      </c>
      <c r="P430" s="149">
        <v>0</v>
      </c>
      <c r="Q430" s="163">
        <f t="shared" si="128"/>
        <v>285</v>
      </c>
      <c r="R430" s="150">
        <f t="shared" si="123"/>
        <v>0</v>
      </c>
      <c r="S430" s="164">
        <f t="shared" si="116"/>
        <v>9119824.2599999998</v>
      </c>
    </row>
    <row r="431" spans="1:19" x14ac:dyDescent="0.25">
      <c r="A431" s="80" t="str">
        <f t="shared" si="133"/>
        <v>Mon</v>
      </c>
      <c r="B431" s="147">
        <f>IF(SUMIFS(CashFlow!$C$16:$C$40,CashFlow!$D$16:$D$40,CashFlowCalcs!$E431)&gt;0,SUMIFS(CashFlow!$C$16:$C$40,CashFlow!$D$16:$D$40,CashFlowCalcs!$E431),B430)</f>
        <v>14</v>
      </c>
      <c r="C431" s="147" t="str">
        <f t="shared" si="124"/>
        <v>N</v>
      </c>
      <c r="D431" s="80">
        <f t="shared" si="129"/>
        <v>286</v>
      </c>
      <c r="E431" s="81">
        <f t="shared" si="134"/>
        <v>44781</v>
      </c>
      <c r="F431" s="80">
        <f t="shared" si="131"/>
        <v>-1.3076923076923077</v>
      </c>
      <c r="G431" s="119">
        <f t="shared" si="125"/>
        <v>0.16965842651243296</v>
      </c>
      <c r="H431" s="125">
        <f t="shared" si="132"/>
        <v>44781</v>
      </c>
      <c r="I431" s="82">
        <f t="shared" si="120"/>
        <v>0.42530038978042478</v>
      </c>
      <c r="J431" s="126">
        <f t="shared" si="126"/>
        <v>3878664.8125069737</v>
      </c>
      <c r="K431" s="139">
        <f t="shared" si="121"/>
        <v>0</v>
      </c>
      <c r="L431" s="83">
        <f t="shared" si="119"/>
        <v>3878664.8125069737</v>
      </c>
      <c r="M431" s="80">
        <f t="shared" si="127"/>
        <v>286</v>
      </c>
      <c r="N431" s="157">
        <f t="shared" si="135"/>
        <v>0</v>
      </c>
      <c r="O431" s="140">
        <f t="shared" si="122"/>
        <v>0</v>
      </c>
      <c r="P431" s="149">
        <v>0</v>
      </c>
      <c r="Q431" s="163">
        <f t="shared" si="128"/>
        <v>286</v>
      </c>
      <c r="R431" s="150">
        <f t="shared" si="123"/>
        <v>0</v>
      </c>
      <c r="S431" s="164">
        <f t="shared" si="116"/>
        <v>9119824.2599999998</v>
      </c>
    </row>
    <row r="432" spans="1:19" x14ac:dyDescent="0.25">
      <c r="A432" s="80" t="str">
        <f t="shared" si="133"/>
        <v>Tues</v>
      </c>
      <c r="B432" s="147">
        <f>IF(SUMIFS(CashFlow!$C$16:$C$40,CashFlow!$D$16:$D$40,CashFlowCalcs!$E432)&gt;0,SUMIFS(CashFlow!$C$16:$C$40,CashFlow!$D$16:$D$40,CashFlowCalcs!$E432),B431)</f>
        <v>14</v>
      </c>
      <c r="C432" s="147" t="str">
        <f t="shared" si="124"/>
        <v>N</v>
      </c>
      <c r="D432" s="80">
        <f t="shared" si="129"/>
        <v>287</v>
      </c>
      <c r="E432" s="81">
        <f t="shared" si="134"/>
        <v>44782</v>
      </c>
      <c r="F432" s="80">
        <f t="shared" si="131"/>
        <v>-1.3017751479289941</v>
      </c>
      <c r="G432" s="119">
        <f t="shared" si="125"/>
        <v>0.1709733126407538</v>
      </c>
      <c r="H432" s="125">
        <f t="shared" si="132"/>
        <v>44782</v>
      </c>
      <c r="I432" s="82">
        <f t="shared" si="120"/>
        <v>0.42859655133506908</v>
      </c>
      <c r="J432" s="126">
        <f t="shared" si="126"/>
        <v>3908725.2266178983</v>
      </c>
      <c r="K432" s="139">
        <f t="shared" si="121"/>
        <v>0</v>
      </c>
      <c r="L432" s="83">
        <f t="shared" si="119"/>
        <v>3908725.2266178983</v>
      </c>
      <c r="M432" s="80">
        <f t="shared" si="127"/>
        <v>287</v>
      </c>
      <c r="N432" s="157">
        <f t="shared" si="135"/>
        <v>0</v>
      </c>
      <c r="O432" s="140">
        <f t="shared" si="122"/>
        <v>0</v>
      </c>
      <c r="P432" s="149">
        <v>0</v>
      </c>
      <c r="Q432" s="163">
        <f t="shared" si="128"/>
        <v>287</v>
      </c>
      <c r="R432" s="150">
        <f t="shared" si="123"/>
        <v>0</v>
      </c>
      <c r="S432" s="164">
        <f t="shared" si="116"/>
        <v>9119824.2599999998</v>
      </c>
    </row>
    <row r="433" spans="1:19" x14ac:dyDescent="0.25">
      <c r="A433" s="80" t="str">
        <f t="shared" si="133"/>
        <v>Wed</v>
      </c>
      <c r="B433" s="147">
        <f>IF(SUMIFS(CashFlow!$C$16:$C$40,CashFlow!$D$16:$D$40,CashFlowCalcs!$E433)&gt;0,SUMIFS(CashFlow!$C$16:$C$40,CashFlow!$D$16:$D$40,CashFlowCalcs!$E433),B432)</f>
        <v>14</v>
      </c>
      <c r="C433" s="147" t="str">
        <f t="shared" si="124"/>
        <v>N</v>
      </c>
      <c r="D433" s="80">
        <f t="shared" si="129"/>
        <v>288</v>
      </c>
      <c r="E433" s="81">
        <f t="shared" si="134"/>
        <v>44783</v>
      </c>
      <c r="F433" s="80">
        <f t="shared" si="131"/>
        <v>-1.2958579881656804</v>
      </c>
      <c r="G433" s="119">
        <f t="shared" si="125"/>
        <v>0.17229235685489191</v>
      </c>
      <c r="H433" s="125">
        <f t="shared" si="132"/>
        <v>44783</v>
      </c>
      <c r="I433" s="82">
        <f t="shared" si="120"/>
        <v>0.43190313639507755</v>
      </c>
      <c r="J433" s="126">
        <f t="shared" si="126"/>
        <v>3938880.7012659172</v>
      </c>
      <c r="K433" s="139">
        <f t="shared" si="121"/>
        <v>0</v>
      </c>
      <c r="L433" s="83">
        <f t="shared" si="119"/>
        <v>3938880.7012659172</v>
      </c>
      <c r="M433" s="80">
        <f t="shared" si="127"/>
        <v>288</v>
      </c>
      <c r="N433" s="157">
        <f t="shared" si="135"/>
        <v>0</v>
      </c>
      <c r="O433" s="140">
        <f t="shared" si="122"/>
        <v>0</v>
      </c>
      <c r="P433" s="149">
        <v>0</v>
      </c>
      <c r="Q433" s="163">
        <f t="shared" si="128"/>
        <v>288</v>
      </c>
      <c r="R433" s="150">
        <f t="shared" si="123"/>
        <v>0</v>
      </c>
      <c r="S433" s="164">
        <f t="shared" si="116"/>
        <v>9119824.2599999998</v>
      </c>
    </row>
    <row r="434" spans="1:19" x14ac:dyDescent="0.25">
      <c r="A434" s="80" t="str">
        <f t="shared" si="133"/>
        <v>Thu</v>
      </c>
      <c r="B434" s="147">
        <f>IF(SUMIFS(CashFlow!$C$16:$C$40,CashFlow!$D$16:$D$40,CashFlowCalcs!$E434)&gt;0,SUMIFS(CashFlow!$C$16:$C$40,CashFlow!$D$16:$D$40,CashFlowCalcs!$E434),B433)</f>
        <v>14</v>
      </c>
      <c r="C434" s="147" t="str">
        <f t="shared" si="124"/>
        <v>N</v>
      </c>
      <c r="D434" s="80">
        <f t="shared" si="129"/>
        <v>289</v>
      </c>
      <c r="E434" s="81">
        <f t="shared" si="134"/>
        <v>44784</v>
      </c>
      <c r="F434" s="80">
        <f t="shared" si="131"/>
        <v>-1.2899408284023668</v>
      </c>
      <c r="G434" s="119">
        <f t="shared" si="125"/>
        <v>0.17361549851263061</v>
      </c>
      <c r="H434" s="125">
        <f t="shared" si="132"/>
        <v>44784</v>
      </c>
      <c r="I434" s="82">
        <f t="shared" si="120"/>
        <v>0.43521999294231034</v>
      </c>
      <c r="J434" s="126">
        <f t="shared" si="126"/>
        <v>3969129.8500723103</v>
      </c>
      <c r="K434" s="139">
        <f t="shared" si="121"/>
        <v>0</v>
      </c>
      <c r="L434" s="83">
        <f t="shared" si="119"/>
        <v>3969129.8500723103</v>
      </c>
      <c r="M434" s="80">
        <f t="shared" si="127"/>
        <v>289</v>
      </c>
      <c r="N434" s="157">
        <f t="shared" si="135"/>
        <v>0</v>
      </c>
      <c r="O434" s="140">
        <f t="shared" si="122"/>
        <v>0</v>
      </c>
      <c r="P434" s="149">
        <v>0</v>
      </c>
      <c r="Q434" s="163">
        <f t="shared" si="128"/>
        <v>289</v>
      </c>
      <c r="R434" s="150">
        <f t="shared" si="123"/>
        <v>0</v>
      </c>
      <c r="S434" s="164">
        <f t="shared" si="116"/>
        <v>9119824.2599999998</v>
      </c>
    </row>
    <row r="435" spans="1:19" x14ac:dyDescent="0.25">
      <c r="A435" s="80" t="str">
        <f t="shared" si="133"/>
        <v>Fri</v>
      </c>
      <c r="B435" s="147">
        <f>IF(SUMIFS(CashFlow!$C$16:$C$40,CashFlow!$D$16:$D$40,CashFlowCalcs!$E435)&gt;0,SUMIFS(CashFlow!$C$16:$C$40,CashFlow!$D$16:$D$40,CashFlowCalcs!$E435),B434)</f>
        <v>14</v>
      </c>
      <c r="C435" s="147" t="str">
        <f t="shared" si="124"/>
        <v>N</v>
      </c>
      <c r="D435" s="80">
        <f t="shared" si="129"/>
        <v>290</v>
      </c>
      <c r="E435" s="81">
        <f t="shared" si="134"/>
        <v>44785</v>
      </c>
      <c r="F435" s="80">
        <f t="shared" si="131"/>
        <v>-1.2840236686390532</v>
      </c>
      <c r="G435" s="119">
        <f t="shared" si="125"/>
        <v>0.17494267607294356</v>
      </c>
      <c r="H435" s="125">
        <f t="shared" si="132"/>
        <v>44785</v>
      </c>
      <c r="I435" s="82">
        <f t="shared" si="120"/>
        <v>0.43854696670548837</v>
      </c>
      <c r="J435" s="126">
        <f t="shared" si="126"/>
        <v>3999471.266110125</v>
      </c>
      <c r="K435" s="139">
        <f t="shared" si="121"/>
        <v>0</v>
      </c>
      <c r="L435" s="83">
        <f t="shared" si="119"/>
        <v>3999471.266110125</v>
      </c>
      <c r="M435" s="80">
        <f t="shared" si="127"/>
        <v>290</v>
      </c>
      <c r="N435" s="157">
        <f t="shared" si="135"/>
        <v>0</v>
      </c>
      <c r="O435" s="140">
        <f t="shared" si="122"/>
        <v>0</v>
      </c>
      <c r="P435" s="149">
        <v>0</v>
      </c>
      <c r="Q435" s="163">
        <f t="shared" si="128"/>
        <v>290</v>
      </c>
      <c r="R435" s="150">
        <f t="shared" si="123"/>
        <v>0</v>
      </c>
      <c r="S435" s="164">
        <f t="shared" ref="S435:S498" si="136">(1-(IF(AND(R435=1,D434&lt;$I$2),(1-I434)/(1-VLOOKUP($K$6,$D$17:$I$750,6)),0)))*$M$8</f>
        <v>9119824.2599999998</v>
      </c>
    </row>
    <row r="436" spans="1:19" x14ac:dyDescent="0.25">
      <c r="A436" s="80" t="str">
        <f t="shared" si="133"/>
        <v>Sat</v>
      </c>
      <c r="B436" s="147">
        <f>IF(SUMIFS(CashFlow!$C$16:$C$40,CashFlow!$D$16:$D$40,CashFlowCalcs!$E436)&gt;0,SUMIFS(CashFlow!$C$16:$C$40,CashFlow!$D$16:$D$40,CashFlowCalcs!$E436),B435)</f>
        <v>14</v>
      </c>
      <c r="C436" s="147" t="str">
        <f t="shared" si="124"/>
        <v>Y</v>
      </c>
      <c r="D436" s="80">
        <f t="shared" si="129"/>
        <v>290</v>
      </c>
      <c r="E436" s="81">
        <f t="shared" ref="E436:E451" si="137">E435+1</f>
        <v>44786</v>
      </c>
      <c r="F436" s="80">
        <f t="shared" si="131"/>
        <v>-1.2840236686390532</v>
      </c>
      <c r="G436" s="119">
        <f t="shared" si="125"/>
        <v>0.17494267607294356</v>
      </c>
      <c r="H436" s="125">
        <f t="shared" si="132"/>
        <v>44786</v>
      </c>
      <c r="I436" s="82">
        <f t="shared" si="120"/>
        <v>0.43854696670548837</v>
      </c>
      <c r="J436" s="126">
        <f t="shared" si="126"/>
        <v>3999471.266110125</v>
      </c>
      <c r="K436" s="139">
        <f t="shared" si="121"/>
        <v>0</v>
      </c>
      <c r="L436" s="83">
        <f t="shared" si="119"/>
        <v>3999471.266110125</v>
      </c>
      <c r="M436" s="80">
        <f t="shared" si="127"/>
        <v>290</v>
      </c>
      <c r="N436" s="157">
        <f t="shared" si="135"/>
        <v>0</v>
      </c>
      <c r="O436" s="140">
        <f t="shared" si="122"/>
        <v>0</v>
      </c>
      <c r="P436" s="149">
        <v>0</v>
      </c>
      <c r="Q436" s="163">
        <f t="shared" si="128"/>
        <v>290</v>
      </c>
      <c r="R436" s="150">
        <f t="shared" si="123"/>
        <v>0</v>
      </c>
      <c r="S436" s="164">
        <f t="shared" si="136"/>
        <v>9119824.2599999998</v>
      </c>
    </row>
    <row r="437" spans="1:19" x14ac:dyDescent="0.25">
      <c r="A437" s="80" t="str">
        <f t="shared" si="133"/>
        <v>Sun</v>
      </c>
      <c r="B437" s="147">
        <f>IF(SUMIFS(CashFlow!$C$16:$C$40,CashFlow!$D$16:$D$40,CashFlowCalcs!$E437)&gt;0,SUMIFS(CashFlow!$C$16:$C$40,CashFlow!$D$16:$D$40,CashFlowCalcs!$E437),B436)</f>
        <v>14</v>
      </c>
      <c r="C437" s="147" t="str">
        <f t="shared" si="124"/>
        <v>Y</v>
      </c>
      <c r="D437" s="80">
        <f t="shared" si="129"/>
        <v>290</v>
      </c>
      <c r="E437" s="81">
        <f t="shared" si="137"/>
        <v>44787</v>
      </c>
      <c r="F437" s="80">
        <f t="shared" si="131"/>
        <v>-1.2840236686390532</v>
      </c>
      <c r="G437" s="119">
        <f t="shared" si="125"/>
        <v>0.17494267607294356</v>
      </c>
      <c r="H437" s="125">
        <f t="shared" si="132"/>
        <v>44787</v>
      </c>
      <c r="I437" s="82">
        <f t="shared" si="120"/>
        <v>0.43854696670548837</v>
      </c>
      <c r="J437" s="126">
        <f t="shared" si="126"/>
        <v>3999471.266110125</v>
      </c>
      <c r="K437" s="139">
        <f t="shared" si="121"/>
        <v>0</v>
      </c>
      <c r="L437" s="83">
        <f t="shared" si="119"/>
        <v>3999471.266110125</v>
      </c>
      <c r="M437" s="80">
        <f t="shared" si="127"/>
        <v>290</v>
      </c>
      <c r="N437" s="157">
        <f t="shared" si="135"/>
        <v>0</v>
      </c>
      <c r="O437" s="140">
        <f t="shared" si="122"/>
        <v>0</v>
      </c>
      <c r="P437" s="149">
        <v>0</v>
      </c>
      <c r="Q437" s="163">
        <f t="shared" si="128"/>
        <v>290</v>
      </c>
      <c r="R437" s="150">
        <f t="shared" si="123"/>
        <v>0</v>
      </c>
      <c r="S437" s="164">
        <f t="shared" si="136"/>
        <v>9119824.2599999998</v>
      </c>
    </row>
    <row r="438" spans="1:19" x14ac:dyDescent="0.25">
      <c r="A438" s="80" t="str">
        <f t="shared" si="133"/>
        <v>Mon</v>
      </c>
      <c r="B438" s="147">
        <f>IF(SUMIFS(CashFlow!$C$16:$C$40,CashFlow!$D$16:$D$40,CashFlowCalcs!$E438)&gt;0,SUMIFS(CashFlow!$C$16:$C$40,CashFlow!$D$16:$D$40,CashFlowCalcs!$E438),B437)</f>
        <v>14</v>
      </c>
      <c r="C438" s="147" t="str">
        <f t="shared" si="124"/>
        <v>N</v>
      </c>
      <c r="D438" s="80">
        <f t="shared" si="129"/>
        <v>291</v>
      </c>
      <c r="E438" s="81">
        <f t="shared" si="137"/>
        <v>44788</v>
      </c>
      <c r="F438" s="80">
        <f t="shared" si="131"/>
        <v>-1.2781065088757395</v>
      </c>
      <c r="G438" s="119">
        <f t="shared" si="125"/>
        <v>0.17627382709774403</v>
      </c>
      <c r="H438" s="125">
        <f t="shared" si="132"/>
        <v>44788</v>
      </c>
      <c r="I438" s="82">
        <f t="shared" si="120"/>
        <v>0.44188390116457793</v>
      </c>
      <c r="J438" s="126">
        <f t="shared" si="126"/>
        <v>4029903.5219441601</v>
      </c>
      <c r="K438" s="139">
        <f t="shared" si="121"/>
        <v>0</v>
      </c>
      <c r="L438" s="83">
        <f t="shared" si="119"/>
        <v>4029903.5219441601</v>
      </c>
      <c r="M438" s="80">
        <f t="shared" si="127"/>
        <v>291</v>
      </c>
      <c r="N438" s="157">
        <f t="shared" si="135"/>
        <v>0</v>
      </c>
      <c r="O438" s="140">
        <f t="shared" si="122"/>
        <v>0</v>
      </c>
      <c r="P438" s="149">
        <v>0</v>
      </c>
      <c r="Q438" s="163">
        <f t="shared" si="128"/>
        <v>291</v>
      </c>
      <c r="R438" s="150">
        <f t="shared" si="123"/>
        <v>0</v>
      </c>
      <c r="S438" s="164">
        <f t="shared" si="136"/>
        <v>9119824.2599999998</v>
      </c>
    </row>
    <row r="439" spans="1:19" x14ac:dyDescent="0.25">
      <c r="A439" s="80" t="str">
        <f t="shared" si="133"/>
        <v>Tues</v>
      </c>
      <c r="B439" s="147">
        <f>IF(SUMIFS(CashFlow!$C$16:$C$40,CashFlow!$D$16:$D$40,CashFlowCalcs!$E439)&gt;0,SUMIFS(CashFlow!$C$16:$C$40,CashFlow!$D$16:$D$40,CashFlowCalcs!$E439),B438)</f>
        <v>14</v>
      </c>
      <c r="C439" s="147" t="str">
        <f t="shared" si="124"/>
        <v>N</v>
      </c>
      <c r="D439" s="80">
        <f t="shared" si="129"/>
        <v>292</v>
      </c>
      <c r="E439" s="81">
        <f t="shared" si="137"/>
        <v>44789</v>
      </c>
      <c r="F439" s="80">
        <f t="shared" si="131"/>
        <v>-1.2721893491124259</v>
      </c>
      <c r="G439" s="119">
        <f t="shared" si="125"/>
        <v>0.17760888825380527</v>
      </c>
      <c r="H439" s="125">
        <f t="shared" si="132"/>
        <v>44789</v>
      </c>
      <c r="I439" s="82">
        <f t="shared" si="120"/>
        <v>0.44523063755560499</v>
      </c>
      <c r="J439" s="126">
        <f t="shared" si="126"/>
        <v>4060425.1696748734</v>
      </c>
      <c r="K439" s="139">
        <f t="shared" si="121"/>
        <v>0</v>
      </c>
      <c r="L439" s="83">
        <f t="shared" si="119"/>
        <v>4060425.1696748734</v>
      </c>
      <c r="M439" s="80">
        <f t="shared" si="127"/>
        <v>292</v>
      </c>
      <c r="N439" s="157">
        <f t="shared" si="135"/>
        <v>0</v>
      </c>
      <c r="O439" s="140">
        <f t="shared" si="122"/>
        <v>0</v>
      </c>
      <c r="P439" s="149">
        <v>0</v>
      </c>
      <c r="Q439" s="163">
        <f t="shared" si="128"/>
        <v>292</v>
      </c>
      <c r="R439" s="150">
        <f t="shared" si="123"/>
        <v>0</v>
      </c>
      <c r="S439" s="164">
        <f t="shared" si="136"/>
        <v>9119824.2599999998</v>
      </c>
    </row>
    <row r="440" spans="1:19" x14ac:dyDescent="0.25">
      <c r="A440" s="80" t="str">
        <f t="shared" si="133"/>
        <v>Wed</v>
      </c>
      <c r="B440" s="147">
        <f>IF(SUMIFS(CashFlow!$C$16:$C$40,CashFlow!$D$16:$D$40,CashFlowCalcs!$E440)&gt;0,SUMIFS(CashFlow!$C$16:$C$40,CashFlow!$D$16:$D$40,CashFlowCalcs!$E440),B439)</f>
        <v>14</v>
      </c>
      <c r="C440" s="147" t="str">
        <f t="shared" si="124"/>
        <v>N</v>
      </c>
      <c r="D440" s="80">
        <f t="shared" si="129"/>
        <v>293</v>
      </c>
      <c r="E440" s="81">
        <f t="shared" si="137"/>
        <v>44790</v>
      </c>
      <c r="F440" s="80">
        <f t="shared" si="131"/>
        <v>-1.2662721893491127</v>
      </c>
      <c r="G440" s="119">
        <f t="shared" si="125"/>
        <v>0.17894779531485266</v>
      </c>
      <c r="H440" s="125">
        <f t="shared" si="132"/>
        <v>44790</v>
      </c>
      <c r="I440" s="82">
        <f t="shared" si="120"/>
        <v>0.44858701487589975</v>
      </c>
      <c r="J440" s="126">
        <f t="shared" si="126"/>
        <v>4091034.7409862112</v>
      </c>
      <c r="K440" s="139">
        <f t="shared" si="121"/>
        <v>0</v>
      </c>
      <c r="L440" s="83">
        <f t="shared" si="119"/>
        <v>4091034.7409862112</v>
      </c>
      <c r="M440" s="80">
        <f t="shared" si="127"/>
        <v>293</v>
      </c>
      <c r="N440" s="157">
        <f t="shared" si="135"/>
        <v>0</v>
      </c>
      <c r="O440" s="140">
        <f t="shared" si="122"/>
        <v>0</v>
      </c>
      <c r="P440" s="149">
        <v>0</v>
      </c>
      <c r="Q440" s="163">
        <f t="shared" si="128"/>
        <v>293</v>
      </c>
      <c r="R440" s="150">
        <f t="shared" si="123"/>
        <v>0</v>
      </c>
      <c r="S440" s="164">
        <f t="shared" si="136"/>
        <v>9119824.2599999998</v>
      </c>
    </row>
    <row r="441" spans="1:19" x14ac:dyDescent="0.25">
      <c r="A441" s="80" t="str">
        <f t="shared" si="133"/>
        <v>Thu</v>
      </c>
      <c r="B441" s="147">
        <f>IF(SUMIFS(CashFlow!$C$16:$C$40,CashFlow!$D$16:$D$40,CashFlowCalcs!$E441)&gt;0,SUMIFS(CashFlow!$C$16:$C$40,CashFlow!$D$16:$D$40,CashFlowCalcs!$E441),B440)</f>
        <v>14</v>
      </c>
      <c r="C441" s="147" t="str">
        <f t="shared" si="124"/>
        <v>N</v>
      </c>
      <c r="D441" s="80">
        <f t="shared" si="129"/>
        <v>294</v>
      </c>
      <c r="E441" s="81">
        <f t="shared" si="137"/>
        <v>44791</v>
      </c>
      <c r="F441" s="80">
        <f t="shared" si="131"/>
        <v>-1.2603550295857988</v>
      </c>
      <c r="G441" s="119">
        <f t="shared" si="125"/>
        <v>0.18029048316382909</v>
      </c>
      <c r="H441" s="125">
        <f t="shared" si="132"/>
        <v>44791</v>
      </c>
      <c r="I441" s="82">
        <f t="shared" si="120"/>
        <v>0.45195286988977529</v>
      </c>
      <c r="J441" s="126">
        <f t="shared" si="126"/>
        <v>4121730.7471973961</v>
      </c>
      <c r="K441" s="139">
        <f t="shared" si="121"/>
        <v>0</v>
      </c>
      <c r="L441" s="83">
        <f t="shared" si="119"/>
        <v>4121730.7471973961</v>
      </c>
      <c r="M441" s="80">
        <f t="shared" si="127"/>
        <v>294</v>
      </c>
      <c r="N441" s="157">
        <f t="shared" si="135"/>
        <v>0</v>
      </c>
      <c r="O441" s="140">
        <f t="shared" si="122"/>
        <v>0</v>
      </c>
      <c r="P441" s="149">
        <v>0</v>
      </c>
      <c r="Q441" s="163">
        <f t="shared" si="128"/>
        <v>294</v>
      </c>
      <c r="R441" s="150">
        <f t="shared" si="123"/>
        <v>0</v>
      </c>
      <c r="S441" s="164">
        <f t="shared" si="136"/>
        <v>9119824.2599999998</v>
      </c>
    </row>
    <row r="442" spans="1:19" x14ac:dyDescent="0.25">
      <c r="A442" s="80" t="str">
        <f t="shared" si="133"/>
        <v>Fri</v>
      </c>
      <c r="B442" s="147">
        <f>IF(SUMIFS(CashFlow!$C$16:$C$40,CashFlow!$D$16:$D$40,CashFlowCalcs!$E442)&gt;0,SUMIFS(CashFlow!$C$16:$C$40,CashFlow!$D$16:$D$40,CashFlowCalcs!$E442),B441)</f>
        <v>14</v>
      </c>
      <c r="C442" s="147" t="str">
        <f t="shared" si="124"/>
        <v>N</v>
      </c>
      <c r="D442" s="80">
        <f t="shared" si="129"/>
        <v>295</v>
      </c>
      <c r="E442" s="81">
        <f t="shared" si="137"/>
        <v>44792</v>
      </c>
      <c r="F442" s="80">
        <f t="shared" si="131"/>
        <v>-1.2544378698224854</v>
      </c>
      <c r="G442" s="119">
        <f t="shared" si="125"/>
        <v>0.18163688579533302</v>
      </c>
      <c r="H442" s="125">
        <f t="shared" si="132"/>
        <v>44792</v>
      </c>
      <c r="I442" s="82">
        <f t="shared" si="120"/>
        <v>0.45532803713463976</v>
      </c>
      <c r="J442" s="126">
        <f t="shared" si="126"/>
        <v>4152511.6793186683</v>
      </c>
      <c r="K442" s="139">
        <f t="shared" si="121"/>
        <v>0</v>
      </c>
      <c r="L442" s="83">
        <f t="shared" si="119"/>
        <v>4152511.6793186683</v>
      </c>
      <c r="M442" s="80">
        <f t="shared" si="127"/>
        <v>295</v>
      </c>
      <c r="N442" s="157">
        <f t="shared" si="135"/>
        <v>0</v>
      </c>
      <c r="O442" s="140">
        <f t="shared" si="122"/>
        <v>0</v>
      </c>
      <c r="P442" s="149">
        <v>0</v>
      </c>
      <c r="Q442" s="163">
        <f t="shared" si="128"/>
        <v>295</v>
      </c>
      <c r="R442" s="150">
        <f t="shared" si="123"/>
        <v>0</v>
      </c>
      <c r="S442" s="164">
        <f t="shared" si="136"/>
        <v>9119824.2599999998</v>
      </c>
    </row>
    <row r="443" spans="1:19" x14ac:dyDescent="0.25">
      <c r="A443" s="80" t="str">
        <f t="shared" si="133"/>
        <v>Sat</v>
      </c>
      <c r="B443" s="147">
        <f>IF(SUMIFS(CashFlow!$C$16:$C$40,CashFlow!$D$16:$D$40,CashFlowCalcs!$E443)&gt;0,SUMIFS(CashFlow!$C$16:$C$40,CashFlow!$D$16:$D$40,CashFlowCalcs!$E443),B442)</f>
        <v>14</v>
      </c>
      <c r="C443" s="147" t="str">
        <f t="shared" si="124"/>
        <v>Y</v>
      </c>
      <c r="D443" s="80">
        <f t="shared" si="129"/>
        <v>295</v>
      </c>
      <c r="E443" s="81">
        <f t="shared" si="137"/>
        <v>44793</v>
      </c>
      <c r="F443" s="80">
        <f t="shared" si="131"/>
        <v>-1.2544378698224854</v>
      </c>
      <c r="G443" s="119">
        <f t="shared" si="125"/>
        <v>0.18163688579533302</v>
      </c>
      <c r="H443" s="125">
        <f t="shared" si="132"/>
        <v>44793</v>
      </c>
      <c r="I443" s="82">
        <f t="shared" si="120"/>
        <v>0.45532803713463976</v>
      </c>
      <c r="J443" s="126">
        <f t="shared" si="126"/>
        <v>4152511.6793186683</v>
      </c>
      <c r="K443" s="139">
        <f t="shared" si="121"/>
        <v>0</v>
      </c>
      <c r="L443" s="83">
        <f t="shared" si="119"/>
        <v>4152511.6793186683</v>
      </c>
      <c r="M443" s="80">
        <f t="shared" si="127"/>
        <v>295</v>
      </c>
      <c r="N443" s="157">
        <f t="shared" si="135"/>
        <v>0</v>
      </c>
      <c r="O443" s="140">
        <f t="shared" si="122"/>
        <v>0</v>
      </c>
      <c r="P443" s="149">
        <v>0</v>
      </c>
      <c r="Q443" s="163">
        <f t="shared" si="128"/>
        <v>295</v>
      </c>
      <c r="R443" s="150">
        <f t="shared" si="123"/>
        <v>0</v>
      </c>
      <c r="S443" s="164">
        <f t="shared" si="136"/>
        <v>9119824.2599999998</v>
      </c>
    </row>
    <row r="444" spans="1:19" x14ac:dyDescent="0.25">
      <c r="A444" s="80" t="str">
        <f t="shared" si="133"/>
        <v>Sun</v>
      </c>
      <c r="B444" s="147">
        <f>IF(SUMIFS(CashFlow!$C$16:$C$40,CashFlow!$D$16:$D$40,CashFlowCalcs!$E444)&gt;0,SUMIFS(CashFlow!$C$16:$C$40,CashFlow!$D$16:$D$40,CashFlowCalcs!$E444),B443)</f>
        <v>14</v>
      </c>
      <c r="C444" s="147" t="str">
        <f t="shared" si="124"/>
        <v>Y</v>
      </c>
      <c r="D444" s="80">
        <f t="shared" si="129"/>
        <v>295</v>
      </c>
      <c r="E444" s="81">
        <f t="shared" si="137"/>
        <v>44794</v>
      </c>
      <c r="F444" s="80">
        <f t="shared" si="131"/>
        <v>-1.2544378698224854</v>
      </c>
      <c r="G444" s="119">
        <f t="shared" si="125"/>
        <v>0.18163688579533302</v>
      </c>
      <c r="H444" s="125">
        <f t="shared" si="132"/>
        <v>44794</v>
      </c>
      <c r="I444" s="82">
        <f t="shared" si="120"/>
        <v>0.45532803713463976</v>
      </c>
      <c r="J444" s="126">
        <f t="shared" si="126"/>
        <v>4152511.6793186683</v>
      </c>
      <c r="K444" s="139">
        <f t="shared" si="121"/>
        <v>0</v>
      </c>
      <c r="L444" s="83">
        <f t="shared" si="119"/>
        <v>4152511.6793186683</v>
      </c>
      <c r="M444" s="80">
        <f t="shared" si="127"/>
        <v>295</v>
      </c>
      <c r="N444" s="157">
        <f t="shared" si="135"/>
        <v>0</v>
      </c>
      <c r="O444" s="140">
        <f t="shared" si="122"/>
        <v>0</v>
      </c>
      <c r="P444" s="149">
        <v>0</v>
      </c>
      <c r="Q444" s="163">
        <f t="shared" si="128"/>
        <v>295</v>
      </c>
      <c r="R444" s="150">
        <f t="shared" si="123"/>
        <v>0</v>
      </c>
      <c r="S444" s="164">
        <f t="shared" si="136"/>
        <v>9119824.2599999998</v>
      </c>
    </row>
    <row r="445" spans="1:19" x14ac:dyDescent="0.25">
      <c r="A445" s="80" t="str">
        <f t="shared" si="133"/>
        <v>Mon</v>
      </c>
      <c r="B445" s="147">
        <f>IF(SUMIFS(CashFlow!$C$16:$C$40,CashFlow!$D$16:$D$40,CashFlowCalcs!$E445)&gt;0,SUMIFS(CashFlow!$C$16:$C$40,CashFlow!$D$16:$D$40,CashFlowCalcs!$E445),B444)</f>
        <v>14</v>
      </c>
      <c r="C445" s="147" t="str">
        <f t="shared" si="124"/>
        <v>N</v>
      </c>
      <c r="D445" s="80">
        <f t="shared" si="129"/>
        <v>296</v>
      </c>
      <c r="E445" s="81">
        <f t="shared" si="137"/>
        <v>44795</v>
      </c>
      <c r="F445" s="80">
        <f t="shared" si="131"/>
        <v>-1.2485207100591715</v>
      </c>
      <c r="G445" s="119">
        <f t="shared" si="125"/>
        <v>0.18298693631823248</v>
      </c>
      <c r="H445" s="125">
        <f t="shared" si="132"/>
        <v>44795</v>
      </c>
      <c r="I445" s="82">
        <f t="shared" si="120"/>
        <v>0.45871234892754875</v>
      </c>
      <c r="J445" s="126">
        <f t="shared" si="126"/>
        <v>4183376.0081110438</v>
      </c>
      <c r="K445" s="139">
        <f t="shared" si="121"/>
        <v>0</v>
      </c>
      <c r="L445" s="83">
        <f t="shared" si="119"/>
        <v>4183376.0081110438</v>
      </c>
      <c r="M445" s="80">
        <f t="shared" si="127"/>
        <v>296</v>
      </c>
      <c r="N445" s="157">
        <f t="shared" si="135"/>
        <v>0</v>
      </c>
      <c r="O445" s="140">
        <f t="shared" si="122"/>
        <v>0</v>
      </c>
      <c r="P445" s="149">
        <v>0</v>
      </c>
      <c r="Q445" s="163">
        <f t="shared" si="128"/>
        <v>296</v>
      </c>
      <c r="R445" s="150">
        <f t="shared" si="123"/>
        <v>0</v>
      </c>
      <c r="S445" s="164">
        <f t="shared" si="136"/>
        <v>9119824.2599999998</v>
      </c>
    </row>
    <row r="446" spans="1:19" s="74" customFormat="1" x14ac:dyDescent="0.25">
      <c r="A446" s="166" t="str">
        <f t="shared" si="133"/>
        <v>Tues</v>
      </c>
      <c r="B446" s="147">
        <f>IF(SUMIFS(CashFlow!$C$16:$C$40,CashFlow!$D$16:$D$40,CashFlowCalcs!$E446)&gt;0,SUMIFS(CashFlow!$C$16:$C$40,CashFlow!$D$16:$D$40,CashFlowCalcs!$E446),B445)</f>
        <v>14</v>
      </c>
      <c r="C446" s="348" t="str">
        <f t="shared" si="124"/>
        <v>N</v>
      </c>
      <c r="D446" s="166">
        <f t="shared" si="129"/>
        <v>297</v>
      </c>
      <c r="E446" s="85">
        <f t="shared" si="137"/>
        <v>44796</v>
      </c>
      <c r="F446" s="166">
        <f t="shared" si="131"/>
        <v>-1.2426035502958581</v>
      </c>
      <c r="G446" s="121">
        <f t="shared" si="125"/>
        <v>0.18434056695845252</v>
      </c>
      <c r="H446" s="129">
        <f t="shared" si="132"/>
        <v>44796</v>
      </c>
      <c r="I446" s="86">
        <f t="shared" si="120"/>
        <v>0.46210563537219301</v>
      </c>
      <c r="J446" s="130">
        <f t="shared" si="126"/>
        <v>4214322.1841500401</v>
      </c>
      <c r="K446" s="143">
        <f t="shared" si="121"/>
        <v>0</v>
      </c>
      <c r="L446" s="349">
        <f t="shared" si="119"/>
        <v>4214322.1841500401</v>
      </c>
      <c r="M446" s="166">
        <f t="shared" si="127"/>
        <v>297</v>
      </c>
      <c r="N446" s="350">
        <f t="shared" si="135"/>
        <v>0</v>
      </c>
      <c r="O446" s="144">
        <f t="shared" si="122"/>
        <v>0</v>
      </c>
      <c r="P446" s="149">
        <v>0</v>
      </c>
      <c r="Q446" s="351">
        <f t="shared" si="128"/>
        <v>297</v>
      </c>
      <c r="R446" s="352">
        <f t="shared" si="123"/>
        <v>0</v>
      </c>
      <c r="S446" s="353">
        <f t="shared" si="136"/>
        <v>9119824.2599999998</v>
      </c>
    </row>
    <row r="447" spans="1:19" x14ac:dyDescent="0.25">
      <c r="A447" s="80" t="str">
        <f t="shared" si="133"/>
        <v>Wed</v>
      </c>
      <c r="B447" s="147">
        <f>IF(SUMIFS(CashFlow!$C$16:$C$40,CashFlow!$D$16:$D$40,CashFlowCalcs!$E447)&gt;0,SUMIFS(CashFlow!$C$16:$C$40,CashFlow!$D$16:$D$40,CashFlowCalcs!$E447),B446)</f>
        <v>14</v>
      </c>
      <c r="C447" s="147" t="str">
        <f t="shared" si="124"/>
        <v>N</v>
      </c>
      <c r="D447" s="80">
        <f t="shared" si="129"/>
        <v>298</v>
      </c>
      <c r="E447" s="81">
        <f t="shared" si="137"/>
        <v>44797</v>
      </c>
      <c r="F447" s="80">
        <f t="shared" si="131"/>
        <v>-1.2366863905325443</v>
      </c>
      <c r="G447" s="119">
        <f t="shared" si="125"/>
        <v>0.18569770906194033</v>
      </c>
      <c r="H447" s="125">
        <f t="shared" si="132"/>
        <v>44797</v>
      </c>
      <c r="I447" s="82">
        <f t="shared" si="120"/>
        <v>0.46550772436633142</v>
      </c>
      <c r="J447" s="126">
        <f t="shared" si="126"/>
        <v>4245348.6378934626</v>
      </c>
      <c r="K447" s="139">
        <f t="shared" si="121"/>
        <v>0</v>
      </c>
      <c r="L447" s="83">
        <f t="shared" si="119"/>
        <v>4245348.6378934626</v>
      </c>
      <c r="M447" s="80">
        <f t="shared" si="127"/>
        <v>298</v>
      </c>
      <c r="N447" s="157">
        <f t="shared" si="135"/>
        <v>0</v>
      </c>
      <c r="O447" s="140">
        <f t="shared" si="122"/>
        <v>0</v>
      </c>
      <c r="P447" s="149">
        <v>0</v>
      </c>
      <c r="Q447" s="163">
        <f t="shared" si="128"/>
        <v>298</v>
      </c>
      <c r="R447" s="150">
        <f t="shared" si="123"/>
        <v>0</v>
      </c>
      <c r="S447" s="164">
        <f t="shared" si="136"/>
        <v>9119824.2599999998</v>
      </c>
    </row>
    <row r="448" spans="1:19" x14ac:dyDescent="0.25">
      <c r="A448" s="80" t="str">
        <f t="shared" si="133"/>
        <v>Thu</v>
      </c>
      <c r="B448" s="147">
        <f>IF(SUMIFS(CashFlow!$C$16:$C$40,CashFlow!$D$16:$D$40,CashFlowCalcs!$E448)&gt;0,SUMIFS(CashFlow!$C$16:$C$40,CashFlow!$D$16:$D$40,CashFlowCalcs!$E448),B447)</f>
        <v>14</v>
      </c>
      <c r="C448" s="147" t="str">
        <f t="shared" si="124"/>
        <v>N</v>
      </c>
      <c r="D448" s="80">
        <f t="shared" si="129"/>
        <v>299</v>
      </c>
      <c r="E448" s="81">
        <f t="shared" si="137"/>
        <v>44798</v>
      </c>
      <c r="F448" s="80">
        <f t="shared" si="131"/>
        <v>-1.2307692307692308</v>
      </c>
      <c r="G448" s="119">
        <f t="shared" si="125"/>
        <v>0.18705829309780525</v>
      </c>
      <c r="H448" s="125">
        <f t="shared" si="132"/>
        <v>44798</v>
      </c>
      <c r="I448" s="82">
        <f t="shared" si="120"/>
        <v>0.46891844160966251</v>
      </c>
      <c r="J448" s="126">
        <f t="shared" si="126"/>
        <v>4276453.7797531933</v>
      </c>
      <c r="K448" s="139">
        <f t="shared" si="121"/>
        <v>0</v>
      </c>
      <c r="L448" s="83">
        <f t="shared" si="119"/>
        <v>4276453.7797531933</v>
      </c>
      <c r="M448" s="80">
        <f t="shared" si="127"/>
        <v>299</v>
      </c>
      <c r="N448" s="157">
        <f t="shared" si="135"/>
        <v>0</v>
      </c>
      <c r="O448" s="140">
        <f t="shared" si="122"/>
        <v>0</v>
      </c>
      <c r="P448" s="149">
        <v>0</v>
      </c>
      <c r="Q448" s="163">
        <f t="shared" si="128"/>
        <v>299</v>
      </c>
      <c r="R448" s="150">
        <f t="shared" si="123"/>
        <v>0</v>
      </c>
      <c r="S448" s="164">
        <f t="shared" si="136"/>
        <v>9119824.2599999998</v>
      </c>
    </row>
    <row r="449" spans="1:19" x14ac:dyDescent="0.25">
      <c r="A449" s="80" t="str">
        <f t="shared" si="133"/>
        <v>Fri</v>
      </c>
      <c r="B449" s="147">
        <f>IF(SUMIFS(CashFlow!$C$16:$C$40,CashFlow!$D$16:$D$40,CashFlowCalcs!$E449)&gt;0,SUMIFS(CashFlow!$C$16:$C$40,CashFlow!$D$16:$D$40,CashFlowCalcs!$E449),B448)</f>
        <v>14</v>
      </c>
      <c r="C449" s="147" t="str">
        <f t="shared" si="124"/>
        <v>N</v>
      </c>
      <c r="D449" s="80">
        <f t="shared" si="129"/>
        <v>300</v>
      </c>
      <c r="E449" s="81">
        <f t="shared" si="137"/>
        <v>44799</v>
      </c>
      <c r="F449" s="80">
        <f t="shared" si="131"/>
        <v>-1.224852071005917</v>
      </c>
      <c r="G449" s="119">
        <f t="shared" si="125"/>
        <v>0.1884222486616377</v>
      </c>
      <c r="H449" s="125">
        <f t="shared" si="132"/>
        <v>44799</v>
      </c>
      <c r="I449" s="82">
        <f t="shared" si="120"/>
        <v>0.47233761061214413</v>
      </c>
      <c r="J449" s="126">
        <f t="shared" si="126"/>
        <v>4307636.0001710653</v>
      </c>
      <c r="K449" s="139">
        <f t="shared" si="121"/>
        <v>0</v>
      </c>
      <c r="L449" s="83">
        <f t="shared" si="119"/>
        <v>4307636.0001710653</v>
      </c>
      <c r="M449" s="80">
        <f t="shared" si="127"/>
        <v>300</v>
      </c>
      <c r="N449" s="157">
        <f t="shared" si="135"/>
        <v>0</v>
      </c>
      <c r="O449" s="140">
        <f t="shared" si="122"/>
        <v>0</v>
      </c>
      <c r="P449" s="149">
        <v>0</v>
      </c>
      <c r="Q449" s="163">
        <f t="shared" si="128"/>
        <v>300</v>
      </c>
      <c r="R449" s="150">
        <f t="shared" si="123"/>
        <v>0</v>
      </c>
      <c r="S449" s="164">
        <f t="shared" si="136"/>
        <v>9119824.2599999998</v>
      </c>
    </row>
    <row r="450" spans="1:19" x14ac:dyDescent="0.25">
      <c r="A450" s="80" t="str">
        <f t="shared" si="133"/>
        <v>Sat</v>
      </c>
      <c r="B450" s="147">
        <f>IF(SUMIFS(CashFlow!$C$16:$C$40,CashFlow!$D$16:$D$40,CashFlowCalcs!$E450)&gt;0,SUMIFS(CashFlow!$C$16:$C$40,CashFlow!$D$16:$D$40,CashFlowCalcs!$E450),B449)</f>
        <v>14</v>
      </c>
      <c r="C450" s="147" t="str">
        <f t="shared" si="124"/>
        <v>Y</v>
      </c>
      <c r="D450" s="80">
        <f t="shared" si="129"/>
        <v>300</v>
      </c>
      <c r="E450" s="81">
        <f t="shared" si="137"/>
        <v>44800</v>
      </c>
      <c r="F450" s="80">
        <f t="shared" si="131"/>
        <v>-1.224852071005917</v>
      </c>
      <c r="G450" s="119">
        <f t="shared" si="125"/>
        <v>0.1884222486616377</v>
      </c>
      <c r="H450" s="125">
        <f t="shared" si="132"/>
        <v>44800</v>
      </c>
      <c r="I450" s="82">
        <f t="shared" si="120"/>
        <v>0.47233761061214413</v>
      </c>
      <c r="J450" s="126">
        <f t="shared" si="126"/>
        <v>4307636.0001710653</v>
      </c>
      <c r="K450" s="139">
        <f t="shared" si="121"/>
        <v>0</v>
      </c>
      <c r="L450" s="83">
        <f t="shared" si="119"/>
        <v>4307636.0001710653</v>
      </c>
      <c r="M450" s="80">
        <f t="shared" si="127"/>
        <v>300</v>
      </c>
      <c r="N450" s="157">
        <f t="shared" si="135"/>
        <v>0</v>
      </c>
      <c r="O450" s="140">
        <f t="shared" si="122"/>
        <v>0</v>
      </c>
      <c r="P450" s="149">
        <v>0</v>
      </c>
      <c r="Q450" s="163">
        <f t="shared" si="128"/>
        <v>300</v>
      </c>
      <c r="R450" s="150">
        <f t="shared" si="123"/>
        <v>0</v>
      </c>
      <c r="S450" s="164">
        <f t="shared" si="136"/>
        <v>9119824.2599999998</v>
      </c>
    </row>
    <row r="451" spans="1:19" x14ac:dyDescent="0.25">
      <c r="A451" s="80" t="str">
        <f t="shared" si="133"/>
        <v>Sun</v>
      </c>
      <c r="B451" s="147">
        <f>IF(SUMIFS(CashFlow!$C$16:$C$40,CashFlow!$D$16:$D$40,CashFlowCalcs!$E451)&gt;0,SUMIFS(CashFlow!$C$16:$C$40,CashFlow!$D$16:$D$40,CashFlowCalcs!$E451),B450)</f>
        <v>14</v>
      </c>
      <c r="C451" s="147" t="str">
        <f t="shared" si="124"/>
        <v>Y</v>
      </c>
      <c r="D451" s="80">
        <f t="shared" si="129"/>
        <v>300</v>
      </c>
      <c r="E451" s="81">
        <f t="shared" si="137"/>
        <v>44801</v>
      </c>
      <c r="F451" s="80">
        <f t="shared" si="131"/>
        <v>-1.224852071005917</v>
      </c>
      <c r="G451" s="119">
        <f t="shared" si="125"/>
        <v>0.1884222486616377</v>
      </c>
      <c r="H451" s="125">
        <f t="shared" si="132"/>
        <v>44801</v>
      </c>
      <c r="I451" s="82">
        <f t="shared" si="120"/>
        <v>0.47233761061214413</v>
      </c>
      <c r="J451" s="126">
        <f t="shared" si="126"/>
        <v>4307636.0001710653</v>
      </c>
      <c r="K451" s="139">
        <f t="shared" si="121"/>
        <v>0</v>
      </c>
      <c r="L451" s="83">
        <f t="shared" si="119"/>
        <v>4307636.0001710653</v>
      </c>
      <c r="M451" s="80">
        <f t="shared" si="127"/>
        <v>300</v>
      </c>
      <c r="N451" s="157">
        <f t="shared" si="135"/>
        <v>0</v>
      </c>
      <c r="O451" s="140">
        <f t="shared" si="122"/>
        <v>0</v>
      </c>
      <c r="P451" s="149">
        <v>0</v>
      </c>
      <c r="Q451" s="163">
        <f t="shared" si="128"/>
        <v>300</v>
      </c>
      <c r="R451" s="150">
        <f t="shared" si="123"/>
        <v>0</v>
      </c>
      <c r="S451" s="164">
        <f t="shared" si="136"/>
        <v>9119824.2599999998</v>
      </c>
    </row>
    <row r="452" spans="1:19" x14ac:dyDescent="0.25">
      <c r="A452" s="80" t="str">
        <f t="shared" si="133"/>
        <v>Mon</v>
      </c>
      <c r="B452" s="147">
        <f>IF(SUMIFS(CashFlow!$C$16:$C$40,CashFlow!$D$16:$D$40,CashFlowCalcs!$E452)&gt;0,SUMIFS(CashFlow!$C$16:$C$40,CashFlow!$D$16:$D$40,CashFlowCalcs!$E452),B451)</f>
        <v>14</v>
      </c>
      <c r="C452" s="147" t="str">
        <f t="shared" si="124"/>
        <v>N</v>
      </c>
      <c r="D452" s="80">
        <f t="shared" si="129"/>
        <v>301</v>
      </c>
      <c r="E452" s="81">
        <f t="shared" ref="E452:E467" si="138">E451+1</f>
        <v>44802</v>
      </c>
      <c r="F452" s="80">
        <f t="shared" si="131"/>
        <v>-1.2189349112426036</v>
      </c>
      <c r="G452" s="119">
        <f t="shared" si="125"/>
        <v>0.18978950447900425</v>
      </c>
      <c r="H452" s="125">
        <f t="shared" si="132"/>
        <v>44802</v>
      </c>
      <c r="I452" s="82">
        <f t="shared" si="120"/>
        <v>0.47576505270275515</v>
      </c>
      <c r="J452" s="126">
        <f t="shared" si="126"/>
        <v>4338893.6696987646</v>
      </c>
      <c r="K452" s="139">
        <f t="shared" si="121"/>
        <v>0</v>
      </c>
      <c r="L452" s="83">
        <f t="shared" si="119"/>
        <v>4338893.6696987646</v>
      </c>
      <c r="M452" s="80">
        <f t="shared" si="127"/>
        <v>301</v>
      </c>
      <c r="N452" s="157">
        <f t="shared" si="135"/>
        <v>0</v>
      </c>
      <c r="O452" s="140">
        <f t="shared" si="122"/>
        <v>0</v>
      </c>
      <c r="P452" s="149">
        <v>0</v>
      </c>
      <c r="Q452" s="163">
        <f t="shared" si="128"/>
        <v>301</v>
      </c>
      <c r="R452" s="150">
        <f t="shared" si="123"/>
        <v>0</v>
      </c>
      <c r="S452" s="164">
        <f t="shared" si="136"/>
        <v>9119824.2599999998</v>
      </c>
    </row>
    <row r="453" spans="1:19" x14ac:dyDescent="0.25">
      <c r="A453" s="80" t="str">
        <f t="shared" si="133"/>
        <v>Tues</v>
      </c>
      <c r="B453" s="147">
        <f>IF(SUMIFS(CashFlow!$C$16:$C$40,CashFlow!$D$16:$D$40,CashFlowCalcs!$E453)&gt;0,SUMIFS(CashFlow!$C$16:$C$40,CashFlow!$D$16:$D$40,CashFlowCalcs!$E453),B452)</f>
        <v>14</v>
      </c>
      <c r="C453" s="147" t="str">
        <f t="shared" si="124"/>
        <v>N</v>
      </c>
      <c r="D453" s="80">
        <f t="shared" si="129"/>
        <v>302</v>
      </c>
      <c r="E453" s="81">
        <f t="shared" si="138"/>
        <v>44803</v>
      </c>
      <c r="F453" s="80">
        <f t="shared" si="131"/>
        <v>-1.2130177514792897</v>
      </c>
      <c r="G453" s="119">
        <f t="shared" si="125"/>
        <v>0.19115998840912291</v>
      </c>
      <c r="H453" s="125">
        <f t="shared" si="132"/>
        <v>44803</v>
      </c>
      <c r="I453" s="82">
        <f t="shared" si="120"/>
        <v>0.47920058703870844</v>
      </c>
      <c r="J453" s="126">
        <f t="shared" si="126"/>
        <v>4370225.1390818544</v>
      </c>
      <c r="K453" s="139">
        <f t="shared" si="121"/>
        <v>0</v>
      </c>
      <c r="L453" s="83">
        <f t="shared" si="119"/>
        <v>4370225.1390818544</v>
      </c>
      <c r="M453" s="80">
        <f t="shared" si="127"/>
        <v>302</v>
      </c>
      <c r="N453" s="157">
        <f t="shared" si="135"/>
        <v>0</v>
      </c>
      <c r="O453" s="140">
        <f t="shared" si="122"/>
        <v>0</v>
      </c>
      <c r="P453" s="149">
        <v>0</v>
      </c>
      <c r="Q453" s="163">
        <f t="shared" si="128"/>
        <v>302</v>
      </c>
      <c r="R453" s="150">
        <f t="shared" si="123"/>
        <v>0</v>
      </c>
      <c r="S453" s="164">
        <f t="shared" si="136"/>
        <v>9119824.2599999998</v>
      </c>
    </row>
    <row r="454" spans="1:19" x14ac:dyDescent="0.25">
      <c r="A454" s="80" t="str">
        <f t="shared" si="133"/>
        <v>Wed</v>
      </c>
      <c r="B454" s="147">
        <f>IF(SUMIFS(CashFlow!$C$16:$C$40,CashFlow!$D$16:$D$40,CashFlowCalcs!$E454)&gt;0,SUMIFS(CashFlow!$C$16:$C$40,CashFlow!$D$16:$D$40,CashFlowCalcs!$E454),B453)</f>
        <v>14</v>
      </c>
      <c r="C454" s="147" t="str">
        <f t="shared" si="124"/>
        <v>N</v>
      </c>
      <c r="D454" s="80">
        <f t="shared" si="129"/>
        <v>303</v>
      </c>
      <c r="E454" s="81">
        <f t="shared" si="138"/>
        <v>44804</v>
      </c>
      <c r="F454" s="80">
        <f t="shared" si="131"/>
        <v>-1.2071005917159763</v>
      </c>
      <c r="G454" s="119">
        <f t="shared" si="125"/>
        <v>0.19253362744871549</v>
      </c>
      <c r="H454" s="125">
        <f t="shared" si="132"/>
        <v>44804</v>
      </c>
      <c r="I454" s="82">
        <f t="shared" si="120"/>
        <v>0.48264403061510824</v>
      </c>
      <c r="J454" s="126">
        <f t="shared" si="126"/>
        <v>4401628.7393478472</v>
      </c>
      <c r="K454" s="139">
        <f t="shared" si="121"/>
        <v>0</v>
      </c>
      <c r="L454" s="83">
        <f t="shared" si="119"/>
        <v>4401628.7393478472</v>
      </c>
      <c r="M454" s="80">
        <f t="shared" si="127"/>
        <v>303</v>
      </c>
      <c r="N454" s="157">
        <f t="shared" si="135"/>
        <v>0</v>
      </c>
      <c r="O454" s="140">
        <f t="shared" si="122"/>
        <v>0</v>
      </c>
      <c r="P454" s="149">
        <v>0</v>
      </c>
      <c r="Q454" s="163">
        <f t="shared" si="128"/>
        <v>303</v>
      </c>
      <c r="R454" s="150">
        <f t="shared" si="123"/>
        <v>0</v>
      </c>
      <c r="S454" s="164">
        <f t="shared" si="136"/>
        <v>9119824.2599999998</v>
      </c>
    </row>
    <row r="455" spans="1:19" x14ac:dyDescent="0.25">
      <c r="A455" s="80" t="str">
        <f t="shared" si="133"/>
        <v>Thu</v>
      </c>
      <c r="B455" s="147">
        <f>IF(SUMIFS(CashFlow!$C$16:$C$40,CashFlow!$D$16:$D$40,CashFlowCalcs!$E455)&gt;0,SUMIFS(CashFlow!$C$16:$C$40,CashFlow!$D$16:$D$40,CashFlowCalcs!$E455),B454)</f>
        <v>14</v>
      </c>
      <c r="C455" s="147" t="str">
        <f t="shared" si="124"/>
        <v>N</v>
      </c>
      <c r="D455" s="80">
        <f t="shared" si="129"/>
        <v>304</v>
      </c>
      <c r="E455" s="81">
        <f t="shared" si="138"/>
        <v>44805</v>
      </c>
      <c r="F455" s="80">
        <f t="shared" si="131"/>
        <v>-1.2011834319526629</v>
      </c>
      <c r="G455" s="119">
        <f t="shared" si="125"/>
        <v>0.19391034773604113</v>
      </c>
      <c r="H455" s="125">
        <f t="shared" si="132"/>
        <v>44805</v>
      </c>
      <c r="I455" s="82">
        <f t="shared" si="120"/>
        <v>0.4860951982750612</v>
      </c>
      <c r="J455" s="126">
        <f t="shared" si="126"/>
        <v>4433102.7818984129</v>
      </c>
      <c r="K455" s="139">
        <f t="shared" si="121"/>
        <v>0</v>
      </c>
      <c r="L455" s="83">
        <f t="shared" si="119"/>
        <v>4433102.7818984129</v>
      </c>
      <c r="M455" s="80">
        <f t="shared" si="127"/>
        <v>304</v>
      </c>
      <c r="N455" s="157">
        <f t="shared" si="135"/>
        <v>0</v>
      </c>
      <c r="O455" s="140">
        <f t="shared" si="122"/>
        <v>0</v>
      </c>
      <c r="P455" s="149">
        <v>0</v>
      </c>
      <c r="Q455" s="163">
        <f t="shared" si="128"/>
        <v>304</v>
      </c>
      <c r="R455" s="150">
        <f t="shared" si="123"/>
        <v>0</v>
      </c>
      <c r="S455" s="164">
        <f t="shared" si="136"/>
        <v>9119824.2599999998</v>
      </c>
    </row>
    <row r="456" spans="1:19" x14ac:dyDescent="0.25">
      <c r="A456" s="80" t="str">
        <f t="shared" si="133"/>
        <v>Fri</v>
      </c>
      <c r="B456" s="147">
        <f>IF(SUMIFS(CashFlow!$C$16:$C$40,CashFlow!$D$16:$D$40,CashFlowCalcs!$E456)&gt;0,SUMIFS(CashFlow!$C$16:$C$40,CashFlow!$D$16:$D$40,CashFlowCalcs!$E456),B455)</f>
        <v>14</v>
      </c>
      <c r="C456" s="147" t="str">
        <f t="shared" si="124"/>
        <v>N</v>
      </c>
      <c r="D456" s="80">
        <f t="shared" si="129"/>
        <v>305</v>
      </c>
      <c r="E456" s="81">
        <f t="shared" si="138"/>
        <v>44806</v>
      </c>
      <c r="F456" s="80">
        <f t="shared" si="131"/>
        <v>-1.1952662721893492</v>
      </c>
      <c r="G456" s="119">
        <f t="shared" si="125"/>
        <v>0.19529007455510841</v>
      </c>
      <c r="H456" s="125">
        <f t="shared" si="132"/>
        <v>44806</v>
      </c>
      <c r="I456" s="82">
        <f t="shared" si="120"/>
        <v>0.48955390272023547</v>
      </c>
      <c r="J456" s="126">
        <f t="shared" si="126"/>
        <v>4464645.558605683</v>
      </c>
      <c r="K456" s="139">
        <f t="shared" si="121"/>
        <v>0</v>
      </c>
      <c r="L456" s="83">
        <f t="shared" si="119"/>
        <v>4464645.558605683</v>
      </c>
      <c r="M456" s="80">
        <f t="shared" si="127"/>
        <v>305</v>
      </c>
      <c r="N456" s="157">
        <f t="shared" si="135"/>
        <v>0</v>
      </c>
      <c r="O456" s="140">
        <f t="shared" si="122"/>
        <v>0</v>
      </c>
      <c r="P456" s="149">
        <v>0</v>
      </c>
      <c r="Q456" s="163">
        <f t="shared" si="128"/>
        <v>305</v>
      </c>
      <c r="R456" s="150">
        <f t="shared" si="123"/>
        <v>0</v>
      </c>
      <c r="S456" s="164">
        <f t="shared" si="136"/>
        <v>9119824.2599999998</v>
      </c>
    </row>
    <row r="457" spans="1:19" x14ac:dyDescent="0.25">
      <c r="A457" s="80" t="str">
        <f t="shared" si="133"/>
        <v>Sat</v>
      </c>
      <c r="B457" s="147">
        <f>IF(SUMIFS(CashFlow!$C$16:$C$40,CashFlow!$D$16:$D$40,CashFlowCalcs!$E457)&gt;0,SUMIFS(CashFlow!$C$16:$C$40,CashFlow!$D$16:$D$40,CashFlowCalcs!$E457),B456)</f>
        <v>14</v>
      </c>
      <c r="C457" s="147" t="str">
        <f t="shared" si="124"/>
        <v>Y</v>
      </c>
      <c r="D457" s="80">
        <f t="shared" si="129"/>
        <v>305</v>
      </c>
      <c r="E457" s="81">
        <f t="shared" si="138"/>
        <v>44807</v>
      </c>
      <c r="F457" s="80">
        <f t="shared" si="131"/>
        <v>-1.1952662721893492</v>
      </c>
      <c r="G457" s="119">
        <f t="shared" si="125"/>
        <v>0.19529007455510841</v>
      </c>
      <c r="H457" s="125">
        <f t="shared" si="132"/>
        <v>44807</v>
      </c>
      <c r="I457" s="82">
        <f t="shared" si="120"/>
        <v>0.48955390272023547</v>
      </c>
      <c r="J457" s="126">
        <f t="shared" si="126"/>
        <v>4464645.558605683</v>
      </c>
      <c r="K457" s="139">
        <f t="shared" si="121"/>
        <v>0</v>
      </c>
      <c r="L457" s="83">
        <f t="shared" si="119"/>
        <v>4464645.558605683</v>
      </c>
      <c r="M457" s="80">
        <f t="shared" si="127"/>
        <v>305</v>
      </c>
      <c r="N457" s="157">
        <f t="shared" si="135"/>
        <v>0</v>
      </c>
      <c r="O457" s="140">
        <f t="shared" si="122"/>
        <v>0</v>
      </c>
      <c r="P457" s="149">
        <v>0</v>
      </c>
      <c r="Q457" s="163">
        <f t="shared" si="128"/>
        <v>305</v>
      </c>
      <c r="R457" s="150">
        <f t="shared" si="123"/>
        <v>0</v>
      </c>
      <c r="S457" s="164">
        <f t="shared" si="136"/>
        <v>9119824.2599999998</v>
      </c>
    </row>
    <row r="458" spans="1:19" x14ac:dyDescent="0.25">
      <c r="A458" s="80" t="str">
        <f t="shared" si="133"/>
        <v>Sun</v>
      </c>
      <c r="B458" s="147">
        <f>IF(SUMIFS(CashFlow!$C$16:$C$40,CashFlow!$D$16:$D$40,CashFlowCalcs!$E458)&gt;0,SUMIFS(CashFlow!$C$16:$C$40,CashFlow!$D$16:$D$40,CashFlowCalcs!$E458),B457)</f>
        <v>14</v>
      </c>
      <c r="C458" s="147" t="str">
        <f t="shared" si="124"/>
        <v>Y</v>
      </c>
      <c r="D458" s="80">
        <f t="shared" si="129"/>
        <v>305</v>
      </c>
      <c r="E458" s="81">
        <f t="shared" si="138"/>
        <v>44808</v>
      </c>
      <c r="F458" s="80">
        <f t="shared" si="131"/>
        <v>-1.1952662721893492</v>
      </c>
      <c r="G458" s="119">
        <f t="shared" si="125"/>
        <v>0.19529007455510841</v>
      </c>
      <c r="H458" s="125">
        <f t="shared" si="132"/>
        <v>44808</v>
      </c>
      <c r="I458" s="82">
        <f t="shared" si="120"/>
        <v>0.48955390272023547</v>
      </c>
      <c r="J458" s="126">
        <f t="shared" si="126"/>
        <v>4464645.558605683</v>
      </c>
      <c r="K458" s="139">
        <f t="shared" si="121"/>
        <v>0</v>
      </c>
      <c r="L458" s="83">
        <f t="shared" si="119"/>
        <v>4464645.558605683</v>
      </c>
      <c r="M458" s="80">
        <f t="shared" si="127"/>
        <v>305</v>
      </c>
      <c r="N458" s="157">
        <f t="shared" si="135"/>
        <v>0</v>
      </c>
      <c r="O458" s="140">
        <f t="shared" si="122"/>
        <v>0</v>
      </c>
      <c r="P458" s="149">
        <v>0</v>
      </c>
      <c r="Q458" s="163">
        <f t="shared" si="128"/>
        <v>305</v>
      </c>
      <c r="R458" s="150">
        <f t="shared" si="123"/>
        <v>0</v>
      </c>
      <c r="S458" s="164">
        <f t="shared" si="136"/>
        <v>9119824.2599999998</v>
      </c>
    </row>
    <row r="459" spans="1:19" x14ac:dyDescent="0.25">
      <c r="A459" s="80" t="str">
        <f t="shared" si="133"/>
        <v>Mon</v>
      </c>
      <c r="B459" s="147">
        <f>IF(SUMIFS(CashFlow!$C$16:$C$40,CashFlow!$D$16:$D$40,CashFlowCalcs!$E459)&gt;0,SUMIFS(CashFlow!$C$16:$C$40,CashFlow!$D$16:$D$40,CashFlowCalcs!$E459),B458)</f>
        <v>14</v>
      </c>
      <c r="C459" s="147" t="str">
        <f t="shared" si="124"/>
        <v>N</v>
      </c>
      <c r="D459" s="80">
        <f t="shared" si="129"/>
        <v>306</v>
      </c>
      <c r="E459" s="81">
        <f t="shared" si="138"/>
        <v>44809</v>
      </c>
      <c r="F459" s="80">
        <f t="shared" si="131"/>
        <v>-1.1893491124260356</v>
      </c>
      <c r="G459" s="119">
        <f t="shared" si="125"/>
        <v>0.1966727323400683</v>
      </c>
      <c r="H459" s="125">
        <f t="shared" si="132"/>
        <v>44809</v>
      </c>
      <c r="I459" s="82">
        <f t="shared" si="120"/>
        <v>0.49301995452187281</v>
      </c>
      <c r="J459" s="126">
        <f t="shared" si="126"/>
        <v>4496255.3419126719</v>
      </c>
      <c r="K459" s="139">
        <f t="shared" si="121"/>
        <v>0</v>
      </c>
      <c r="L459" s="83">
        <f t="shared" si="119"/>
        <v>4496255.3419126719</v>
      </c>
      <c r="M459" s="80">
        <f t="shared" si="127"/>
        <v>306</v>
      </c>
      <c r="N459" s="157">
        <f t="shared" si="135"/>
        <v>0</v>
      </c>
      <c r="O459" s="140">
        <f t="shared" si="122"/>
        <v>0</v>
      </c>
      <c r="P459" s="149">
        <v>0</v>
      </c>
      <c r="Q459" s="163">
        <f t="shared" si="128"/>
        <v>306</v>
      </c>
      <c r="R459" s="150">
        <f t="shared" si="123"/>
        <v>0</v>
      </c>
      <c r="S459" s="164">
        <f t="shared" si="136"/>
        <v>9119824.2599999998</v>
      </c>
    </row>
    <row r="460" spans="1:19" x14ac:dyDescent="0.25">
      <c r="A460" s="80" t="str">
        <f t="shared" si="133"/>
        <v>Tues</v>
      </c>
      <c r="B460" s="147">
        <f>IF(SUMIFS(CashFlow!$C$16:$C$40,CashFlow!$D$16:$D$40,CashFlowCalcs!$E460)&gt;0,SUMIFS(CashFlow!$C$16:$C$40,CashFlow!$D$16:$D$40,CashFlowCalcs!$E460),B459)</f>
        <v>14</v>
      </c>
      <c r="C460" s="147" t="str">
        <f t="shared" si="124"/>
        <v>N</v>
      </c>
      <c r="D460" s="80">
        <f t="shared" si="129"/>
        <v>307</v>
      </c>
      <c r="E460" s="81">
        <f t="shared" si="138"/>
        <v>44810</v>
      </c>
      <c r="F460" s="80">
        <f t="shared" si="131"/>
        <v>-1.1834319526627219</v>
      </c>
      <c r="G460" s="119">
        <f t="shared" si="125"/>
        <v>0.19805824467978767</v>
      </c>
      <c r="H460" s="125">
        <f t="shared" si="132"/>
        <v>44810</v>
      </c>
      <c r="I460" s="82">
        <f t="shared" si="120"/>
        <v>0.49649316213225375</v>
      </c>
      <c r="J460" s="126">
        <f t="shared" si="126"/>
        <v>4527930.3849378414</v>
      </c>
      <c r="K460" s="139">
        <f t="shared" si="121"/>
        <v>0</v>
      </c>
      <c r="L460" s="83">
        <f t="shared" ref="L460:L523" si="139">IF(AND(E460&gt;=$H$3,P460=0,E460&lt;=$I$1),J460+K460,0)</f>
        <v>4527930.3849378414</v>
      </c>
      <c r="M460" s="80">
        <f t="shared" si="127"/>
        <v>307</v>
      </c>
      <c r="N460" s="157">
        <f t="shared" si="135"/>
        <v>0</v>
      </c>
      <c r="O460" s="140">
        <f t="shared" si="122"/>
        <v>0</v>
      </c>
      <c r="P460" s="149">
        <v>0</v>
      </c>
      <c r="Q460" s="163">
        <f t="shared" si="128"/>
        <v>307</v>
      </c>
      <c r="R460" s="150">
        <f t="shared" si="123"/>
        <v>0</v>
      </c>
      <c r="S460" s="164">
        <f t="shared" si="136"/>
        <v>9119824.2599999998</v>
      </c>
    </row>
    <row r="461" spans="1:19" x14ac:dyDescent="0.25">
      <c r="A461" s="80" t="str">
        <f t="shared" si="133"/>
        <v>Wed</v>
      </c>
      <c r="B461" s="147">
        <f>IF(SUMIFS(CashFlow!$C$16:$C$40,CashFlow!$D$16:$D$40,CashFlowCalcs!$E461)&gt;0,SUMIFS(CashFlow!$C$16:$C$40,CashFlow!$D$16:$D$40,CashFlowCalcs!$E461),B460)</f>
        <v>14</v>
      </c>
      <c r="C461" s="147" t="str">
        <f t="shared" si="124"/>
        <v>N</v>
      </c>
      <c r="D461" s="80">
        <f t="shared" si="129"/>
        <v>308</v>
      </c>
      <c r="E461" s="81">
        <f t="shared" si="138"/>
        <v>44811</v>
      </c>
      <c r="F461" s="80">
        <f t="shared" si="131"/>
        <v>-1.1775147928994083</v>
      </c>
      <c r="G461" s="119">
        <f t="shared" si="125"/>
        <v>0.1994465343226039</v>
      </c>
      <c r="H461" s="125">
        <f t="shared" si="132"/>
        <v>44811</v>
      </c>
      <c r="I461" s="82">
        <f t="shared" si="120"/>
        <v>0.49997333189661614</v>
      </c>
      <c r="J461" s="126">
        <f t="shared" si="126"/>
        <v>4559668.9215837913</v>
      </c>
      <c r="K461" s="139">
        <f t="shared" si="121"/>
        <v>0</v>
      </c>
      <c r="L461" s="83">
        <f t="shared" si="139"/>
        <v>4559668.9215837913</v>
      </c>
      <c r="M461" s="80">
        <f t="shared" si="127"/>
        <v>308</v>
      </c>
      <c r="N461" s="157">
        <f t="shared" si="135"/>
        <v>0</v>
      </c>
      <c r="O461" s="140">
        <f t="shared" si="122"/>
        <v>0</v>
      </c>
      <c r="P461" s="149">
        <v>0</v>
      </c>
      <c r="Q461" s="163">
        <f t="shared" si="128"/>
        <v>308</v>
      </c>
      <c r="R461" s="150">
        <f t="shared" si="123"/>
        <v>0</v>
      </c>
      <c r="S461" s="164">
        <f t="shared" si="136"/>
        <v>9119824.2599999998</v>
      </c>
    </row>
    <row r="462" spans="1:19" x14ac:dyDescent="0.25">
      <c r="A462" s="80" t="str">
        <f t="shared" si="133"/>
        <v>Thu</v>
      </c>
      <c r="B462" s="147">
        <f>IF(SUMIFS(CashFlow!$C$16:$C$40,CashFlow!$D$16:$D$40,CashFlowCalcs!$E462)&gt;0,SUMIFS(CashFlow!$C$16:$C$40,CashFlow!$D$16:$D$40,CashFlowCalcs!$E462),B461)</f>
        <v>14</v>
      </c>
      <c r="C462" s="147" t="str">
        <f t="shared" si="124"/>
        <v>N</v>
      </c>
      <c r="D462" s="80">
        <f t="shared" si="129"/>
        <v>309</v>
      </c>
      <c r="E462" s="81">
        <f t="shared" si="138"/>
        <v>44812</v>
      </c>
      <c r="F462" s="80">
        <f t="shared" si="131"/>
        <v>-1.1715976331360947</v>
      </c>
      <c r="G462" s="119">
        <f t="shared" si="125"/>
        <v>0.20083752318126033</v>
      </c>
      <c r="H462" s="125">
        <f t="shared" si="132"/>
        <v>44812</v>
      </c>
      <c r="I462" s="82">
        <f t="shared" si="120"/>
        <v>0.50346026806552757</v>
      </c>
      <c r="J462" s="126">
        <f t="shared" si="126"/>
        <v>4591469.1666501015</v>
      </c>
      <c r="K462" s="139">
        <f t="shared" si="121"/>
        <v>0</v>
      </c>
      <c r="L462" s="83">
        <f t="shared" si="139"/>
        <v>4591469.1666501015</v>
      </c>
      <c r="M462" s="80">
        <f t="shared" si="127"/>
        <v>309</v>
      </c>
      <c r="N462" s="157">
        <f t="shared" si="135"/>
        <v>0</v>
      </c>
      <c r="O462" s="140">
        <f t="shared" si="122"/>
        <v>0</v>
      </c>
      <c r="P462" s="149">
        <v>0</v>
      </c>
      <c r="Q462" s="163">
        <f t="shared" si="128"/>
        <v>309</v>
      </c>
      <c r="R462" s="150">
        <f t="shared" si="123"/>
        <v>0</v>
      </c>
      <c r="S462" s="164">
        <f t="shared" si="136"/>
        <v>9119824.2599999998</v>
      </c>
    </row>
    <row r="463" spans="1:19" x14ac:dyDescent="0.25">
      <c r="A463" s="80" t="str">
        <f t="shared" si="133"/>
        <v>Fri</v>
      </c>
      <c r="B463" s="147">
        <f>IF(SUMIFS(CashFlow!$C$16:$C$40,CashFlow!$D$16:$D$40,CashFlowCalcs!$E463)&gt;0,SUMIFS(CashFlow!$C$16:$C$40,CashFlow!$D$16:$D$40,CashFlowCalcs!$E463),B462)</f>
        <v>14</v>
      </c>
      <c r="C463" s="147" t="str">
        <f t="shared" si="124"/>
        <v>N</v>
      </c>
      <c r="D463" s="80">
        <f t="shared" si="129"/>
        <v>310</v>
      </c>
      <c r="E463" s="81">
        <f t="shared" si="138"/>
        <v>44813</v>
      </c>
      <c r="F463" s="80">
        <f t="shared" si="131"/>
        <v>-1.165680473372781</v>
      </c>
      <c r="G463" s="119">
        <f t="shared" si="125"/>
        <v>0.2022311323380237</v>
      </c>
      <c r="H463" s="125">
        <f t="shared" si="132"/>
        <v>44813</v>
      </c>
      <c r="I463" s="82">
        <f t="shared" si="120"/>
        <v>0.50695377280771381</v>
      </c>
      <c r="J463" s="126">
        <f t="shared" si="126"/>
        <v>4623329.3159503164</v>
      </c>
      <c r="K463" s="139">
        <f t="shared" si="121"/>
        <v>0</v>
      </c>
      <c r="L463" s="83">
        <f t="shared" si="139"/>
        <v>4623329.3159503164</v>
      </c>
      <c r="M463" s="80">
        <f t="shared" si="127"/>
        <v>310</v>
      </c>
      <c r="N463" s="157">
        <f t="shared" si="135"/>
        <v>0</v>
      </c>
      <c r="O463" s="140">
        <f t="shared" si="122"/>
        <v>0</v>
      </c>
      <c r="P463" s="149">
        <v>0</v>
      </c>
      <c r="Q463" s="163">
        <f t="shared" si="128"/>
        <v>310</v>
      </c>
      <c r="R463" s="150">
        <f t="shared" si="123"/>
        <v>0</v>
      </c>
      <c r="S463" s="164">
        <f t="shared" si="136"/>
        <v>9119824.2599999998</v>
      </c>
    </row>
    <row r="464" spans="1:19" x14ac:dyDescent="0.25">
      <c r="A464" s="80" t="str">
        <f t="shared" si="133"/>
        <v>Sat</v>
      </c>
      <c r="B464" s="147">
        <f>IF(SUMIFS(CashFlow!$C$16:$C$40,CashFlow!$D$16:$D$40,CashFlowCalcs!$E464)&gt;0,SUMIFS(CashFlow!$C$16:$C$40,CashFlow!$D$16:$D$40,CashFlowCalcs!$E464),B463)</f>
        <v>14</v>
      </c>
      <c r="C464" s="147" t="str">
        <f t="shared" si="124"/>
        <v>Y</v>
      </c>
      <c r="D464" s="80">
        <f t="shared" si="129"/>
        <v>310</v>
      </c>
      <c r="E464" s="81">
        <f t="shared" si="138"/>
        <v>44814</v>
      </c>
      <c r="F464" s="80">
        <f t="shared" si="131"/>
        <v>-1.165680473372781</v>
      </c>
      <c r="G464" s="119">
        <f t="shared" si="125"/>
        <v>0.2022311323380237</v>
      </c>
      <c r="H464" s="125">
        <f t="shared" si="132"/>
        <v>44814</v>
      </c>
      <c r="I464" s="82">
        <f t="shared" si="120"/>
        <v>0.50695377280771381</v>
      </c>
      <c r="J464" s="126">
        <f t="shared" si="126"/>
        <v>4623329.3159503164</v>
      </c>
      <c r="K464" s="139">
        <f t="shared" si="121"/>
        <v>0</v>
      </c>
      <c r="L464" s="83">
        <f t="shared" si="139"/>
        <v>4623329.3159503164</v>
      </c>
      <c r="M464" s="80">
        <f t="shared" si="127"/>
        <v>310</v>
      </c>
      <c r="N464" s="157">
        <f t="shared" si="135"/>
        <v>0</v>
      </c>
      <c r="O464" s="140">
        <f t="shared" si="122"/>
        <v>0</v>
      </c>
      <c r="P464" s="149">
        <v>0</v>
      </c>
      <c r="Q464" s="163">
        <f t="shared" si="128"/>
        <v>310</v>
      </c>
      <c r="R464" s="150">
        <f t="shared" si="123"/>
        <v>0</v>
      </c>
      <c r="S464" s="164">
        <f t="shared" si="136"/>
        <v>9119824.2599999998</v>
      </c>
    </row>
    <row r="465" spans="1:19" x14ac:dyDescent="0.25">
      <c r="A465" s="80" t="str">
        <f t="shared" si="133"/>
        <v>Sun</v>
      </c>
      <c r="B465" s="147">
        <f>IF(SUMIFS(CashFlow!$C$16:$C$40,CashFlow!$D$16:$D$40,CashFlowCalcs!$E465)&gt;0,SUMIFS(CashFlow!$C$16:$C$40,CashFlow!$D$16:$D$40,CashFlowCalcs!$E465),B464)</f>
        <v>14</v>
      </c>
      <c r="C465" s="147" t="str">
        <f t="shared" si="124"/>
        <v>Y</v>
      </c>
      <c r="D465" s="80">
        <f t="shared" si="129"/>
        <v>310</v>
      </c>
      <c r="E465" s="81">
        <f t="shared" si="138"/>
        <v>44815</v>
      </c>
      <c r="F465" s="80">
        <f t="shared" si="131"/>
        <v>-1.165680473372781</v>
      </c>
      <c r="G465" s="119">
        <f t="shared" si="125"/>
        <v>0.2022311323380237</v>
      </c>
      <c r="H465" s="125">
        <f t="shared" si="132"/>
        <v>44815</v>
      </c>
      <c r="I465" s="82">
        <f t="shared" si="120"/>
        <v>0.50695377280771381</v>
      </c>
      <c r="J465" s="126">
        <f t="shared" si="126"/>
        <v>4623329.3159503164</v>
      </c>
      <c r="K465" s="139">
        <f t="shared" si="121"/>
        <v>0</v>
      </c>
      <c r="L465" s="83">
        <f t="shared" si="139"/>
        <v>4623329.3159503164</v>
      </c>
      <c r="M465" s="80">
        <f t="shared" si="127"/>
        <v>310</v>
      </c>
      <c r="N465" s="157">
        <f t="shared" si="135"/>
        <v>0</v>
      </c>
      <c r="O465" s="140">
        <f t="shared" si="122"/>
        <v>0</v>
      </c>
      <c r="P465" s="149">
        <v>0</v>
      </c>
      <c r="Q465" s="163">
        <f t="shared" si="128"/>
        <v>310</v>
      </c>
      <c r="R465" s="150">
        <f t="shared" si="123"/>
        <v>0</v>
      </c>
      <c r="S465" s="164">
        <f t="shared" si="136"/>
        <v>9119824.2599999998</v>
      </c>
    </row>
    <row r="466" spans="1:19" x14ac:dyDescent="0.25">
      <c r="A466" s="80" t="str">
        <f t="shared" si="133"/>
        <v>Mon</v>
      </c>
      <c r="B466" s="147">
        <f>IF(SUMIFS(CashFlow!$C$16:$C$40,CashFlow!$D$16:$D$40,CashFlowCalcs!$E466)&gt;0,SUMIFS(CashFlow!$C$16:$C$40,CashFlow!$D$16:$D$40,CashFlowCalcs!$E466),B465)</f>
        <v>14</v>
      </c>
      <c r="C466" s="147" t="str">
        <f t="shared" si="124"/>
        <v>N</v>
      </c>
      <c r="D466" s="80">
        <f t="shared" si="129"/>
        <v>311</v>
      </c>
      <c r="E466" s="81">
        <f t="shared" si="138"/>
        <v>44816</v>
      </c>
      <c r="F466" s="80">
        <f t="shared" si="131"/>
        <v>-1.1597633136094674</v>
      </c>
      <c r="G466" s="119">
        <f t="shared" si="125"/>
        <v>0.20362728204998279</v>
      </c>
      <c r="H466" s="125">
        <f t="shared" si="132"/>
        <v>44816</v>
      </c>
      <c r="I466" s="82">
        <f t="shared" ref="I466:I529" si="140">G466/VLOOKUP($J$5,$D$18:$G$750,4)</f>
        <v>0.51045364622334111</v>
      </c>
      <c r="J466" s="126">
        <f t="shared" si="126"/>
        <v>4655247.5464330837</v>
      </c>
      <c r="K466" s="139">
        <f t="shared" ref="K466:K529" si="141">N466*O466</f>
        <v>0</v>
      </c>
      <c r="L466" s="83">
        <f t="shared" si="139"/>
        <v>4655247.5464330837</v>
      </c>
      <c r="M466" s="80">
        <f t="shared" si="127"/>
        <v>311</v>
      </c>
      <c r="N466" s="157">
        <f t="shared" si="135"/>
        <v>0</v>
      </c>
      <c r="O466" s="140">
        <f t="shared" ref="O466:O529" si="142">IF(E466&lt;$J$6,0,IF(E466&gt;=$I$1,0,($J$5-D466)/($J$5-VLOOKUP($J$6,$H$17:$M$750,6))))</f>
        <v>0</v>
      </c>
      <c r="P466" s="149">
        <v>0</v>
      </c>
      <c r="Q466" s="163">
        <f t="shared" si="128"/>
        <v>311</v>
      </c>
      <c r="R466" s="150">
        <f t="shared" ref="R466:R529" si="143">IF(OR(E466&lt;$J$6+1,E466&gt;$I$1),0,1)</f>
        <v>0</v>
      </c>
      <c r="S466" s="164">
        <f t="shared" si="136"/>
        <v>9119824.2599999998</v>
      </c>
    </row>
    <row r="467" spans="1:19" x14ac:dyDescent="0.25">
      <c r="A467" s="80" t="str">
        <f t="shared" si="133"/>
        <v>Tues</v>
      </c>
      <c r="B467" s="147">
        <f>IF(SUMIFS(CashFlow!$C$16:$C$40,CashFlow!$D$16:$D$40,CashFlowCalcs!$E467)&gt;0,SUMIFS(CashFlow!$C$16:$C$40,CashFlow!$D$16:$D$40,CashFlowCalcs!$E467),B466)</f>
        <v>14</v>
      </c>
      <c r="C467" s="147" t="str">
        <f t="shared" ref="C467:C530" si="144">IF(LEFT(A467,1)="S","Y","N")</f>
        <v>N</v>
      </c>
      <c r="D467" s="80">
        <f t="shared" si="129"/>
        <v>312</v>
      </c>
      <c r="E467" s="81">
        <f t="shared" si="138"/>
        <v>44817</v>
      </c>
      <c r="F467" s="80">
        <f t="shared" si="131"/>
        <v>-1.1538461538461537</v>
      </c>
      <c r="G467" s="119">
        <f t="shared" ref="G467:G530" si="145">NORMDIST(F467,0,1,0)</f>
        <v>0.20502589175452915</v>
      </c>
      <c r="H467" s="125">
        <f t="shared" si="132"/>
        <v>44817</v>
      </c>
      <c r="I467" s="82">
        <f t="shared" si="140"/>
        <v>0.51395968635775591</v>
      </c>
      <c r="J467" s="126">
        <f t="shared" ref="J467:J530" si="146">(I467*$G$8)+$G$7</f>
        <v>4687222.0163074536</v>
      </c>
      <c r="K467" s="139">
        <f t="shared" si="141"/>
        <v>0</v>
      </c>
      <c r="L467" s="83">
        <f t="shared" si="139"/>
        <v>4687222.0163074536</v>
      </c>
      <c r="M467" s="80">
        <f t="shared" ref="M467:M530" si="147">D467</f>
        <v>312</v>
      </c>
      <c r="N467" s="157">
        <f t="shared" si="135"/>
        <v>0</v>
      </c>
      <c r="O467" s="140">
        <f t="shared" si="142"/>
        <v>0</v>
      </c>
      <c r="P467" s="149">
        <v>0</v>
      </c>
      <c r="Q467" s="163">
        <f t="shared" ref="Q467:Q530" si="148">D467</f>
        <v>312</v>
      </c>
      <c r="R467" s="150">
        <f t="shared" si="143"/>
        <v>0</v>
      </c>
      <c r="S467" s="164">
        <f t="shared" si="136"/>
        <v>9119824.2599999998</v>
      </c>
    </row>
    <row r="468" spans="1:19" x14ac:dyDescent="0.25">
      <c r="A468" s="80" t="str">
        <f t="shared" si="133"/>
        <v>Wed</v>
      </c>
      <c r="B468" s="147">
        <f>IF(SUMIFS(CashFlow!$C$16:$C$40,CashFlow!$D$16:$D$40,CashFlowCalcs!$E468)&gt;0,SUMIFS(CashFlow!$C$16:$C$40,CashFlow!$D$16:$D$40,CashFlowCalcs!$E468),B467)</f>
        <v>14</v>
      </c>
      <c r="C468" s="147" t="str">
        <f t="shared" si="144"/>
        <v>N</v>
      </c>
      <c r="D468" s="80">
        <f t="shared" ref="D468:D531" si="149">IF($C468="N",$D467+1,$D467)</f>
        <v>313</v>
      </c>
      <c r="E468" s="81">
        <f t="shared" ref="E468:E483" si="150">E467+1</f>
        <v>44818</v>
      </c>
      <c r="F468" s="80">
        <f t="shared" ref="F468:F531" si="151">$F$18+((((D468)/($J$5+2)*3)))</f>
        <v>-1.1479289940828401</v>
      </c>
      <c r="G468" s="119">
        <f t="shared" si="145"/>
        <v>0.20642688007501964</v>
      </c>
      <c r="H468" s="125">
        <f t="shared" ref="H468:H531" si="152">H467+1</f>
        <v>44818</v>
      </c>
      <c r="I468" s="82">
        <f t="shared" si="140"/>
        <v>0.5174716892156791</v>
      </c>
      <c r="J468" s="126">
        <f t="shared" si="146"/>
        <v>4719250.8651723303</v>
      </c>
      <c r="K468" s="139">
        <f t="shared" si="141"/>
        <v>0</v>
      </c>
      <c r="L468" s="83">
        <f t="shared" si="139"/>
        <v>4719250.8651723303</v>
      </c>
      <c r="M468" s="80">
        <f t="shared" si="147"/>
        <v>313</v>
      </c>
      <c r="N468" s="157">
        <f t="shared" si="135"/>
        <v>0</v>
      </c>
      <c r="O468" s="140">
        <f t="shared" si="142"/>
        <v>0</v>
      </c>
      <c r="P468" s="149">
        <v>0</v>
      </c>
      <c r="Q468" s="163">
        <f t="shared" si="148"/>
        <v>313</v>
      </c>
      <c r="R468" s="150">
        <f t="shared" si="143"/>
        <v>0</v>
      </c>
      <c r="S468" s="164">
        <f t="shared" si="136"/>
        <v>9119824.2599999998</v>
      </c>
    </row>
    <row r="469" spans="1:19" x14ac:dyDescent="0.25">
      <c r="A469" s="80" t="str">
        <f t="shared" si="133"/>
        <v>Thu</v>
      </c>
      <c r="B469" s="147">
        <f>IF(SUMIFS(CashFlow!$C$16:$C$40,CashFlow!$D$16:$D$40,CashFlowCalcs!$E469)&gt;0,SUMIFS(CashFlow!$C$16:$C$40,CashFlow!$D$16:$D$40,CashFlowCalcs!$E469),B468)</f>
        <v>14</v>
      </c>
      <c r="C469" s="147" t="str">
        <f t="shared" si="144"/>
        <v>N</v>
      </c>
      <c r="D469" s="80">
        <f t="shared" si="149"/>
        <v>314</v>
      </c>
      <c r="E469" s="81">
        <f t="shared" si="150"/>
        <v>44819</v>
      </c>
      <c r="F469" s="80">
        <f t="shared" si="151"/>
        <v>-1.1420118343195265</v>
      </c>
      <c r="G469" s="119">
        <f t="shared" si="145"/>
        <v>0.2078301648266212</v>
      </c>
      <c r="H469" s="125">
        <f t="shared" si="152"/>
        <v>44819</v>
      </c>
      <c r="I469" s="82">
        <f t="shared" si="140"/>
        <v>0.5209894487758584</v>
      </c>
      <c r="J469" s="126">
        <f t="shared" si="146"/>
        <v>4751332.2141501009</v>
      </c>
      <c r="K469" s="139">
        <f t="shared" si="141"/>
        <v>0</v>
      </c>
      <c r="L469" s="83">
        <f t="shared" si="139"/>
        <v>4751332.2141501009</v>
      </c>
      <c r="M469" s="80">
        <f t="shared" si="147"/>
        <v>314</v>
      </c>
      <c r="N469" s="157">
        <f t="shared" si="135"/>
        <v>0</v>
      </c>
      <c r="O469" s="140">
        <f t="shared" si="142"/>
        <v>0</v>
      </c>
      <c r="P469" s="149">
        <v>0</v>
      </c>
      <c r="Q469" s="163">
        <f t="shared" si="148"/>
        <v>314</v>
      </c>
      <c r="R469" s="150">
        <f t="shared" si="143"/>
        <v>0</v>
      </c>
      <c r="S469" s="164">
        <f t="shared" si="136"/>
        <v>9119824.2599999998</v>
      </c>
    </row>
    <row r="470" spans="1:19" x14ac:dyDescent="0.25">
      <c r="A470" s="80" t="str">
        <f t="shared" si="133"/>
        <v>Fri</v>
      </c>
      <c r="B470" s="147">
        <f>IF(SUMIFS(CashFlow!$C$16:$C$40,CashFlow!$D$16:$D$40,CashFlowCalcs!$E470)&gt;0,SUMIFS(CashFlow!$C$16:$C$40,CashFlow!$D$16:$D$40,CashFlowCalcs!$E470),B469)</f>
        <v>14</v>
      </c>
      <c r="C470" s="147" t="str">
        <f t="shared" si="144"/>
        <v>N</v>
      </c>
      <c r="D470" s="80">
        <f t="shared" si="149"/>
        <v>315</v>
      </c>
      <c r="E470" s="81">
        <f t="shared" si="150"/>
        <v>44820</v>
      </c>
      <c r="F470" s="80">
        <f t="shared" si="151"/>
        <v>-1.136094674556213</v>
      </c>
      <c r="G470" s="119">
        <f t="shared" si="145"/>
        <v>0.20923566302233698</v>
      </c>
      <c r="H470" s="125">
        <f t="shared" si="152"/>
        <v>44820</v>
      </c>
      <c r="I470" s="82">
        <f t="shared" si="140"/>
        <v>0.52451275700617372</v>
      </c>
      <c r="J470" s="126">
        <f t="shared" si="146"/>
        <v>4783464.1660243878</v>
      </c>
      <c r="K470" s="139">
        <f t="shared" si="141"/>
        <v>0</v>
      </c>
      <c r="L470" s="83">
        <f t="shared" si="139"/>
        <v>4783464.1660243878</v>
      </c>
      <c r="M470" s="80">
        <f t="shared" si="147"/>
        <v>315</v>
      </c>
      <c r="N470" s="157">
        <f t="shared" si="135"/>
        <v>0</v>
      </c>
      <c r="O470" s="140">
        <f t="shared" si="142"/>
        <v>0</v>
      </c>
      <c r="P470" s="149">
        <v>0</v>
      </c>
      <c r="Q470" s="163">
        <f t="shared" si="148"/>
        <v>315</v>
      </c>
      <c r="R470" s="150">
        <f t="shared" si="143"/>
        <v>0</v>
      </c>
      <c r="S470" s="164">
        <f t="shared" si="136"/>
        <v>9119824.2599999998</v>
      </c>
    </row>
    <row r="471" spans="1:19" x14ac:dyDescent="0.25">
      <c r="A471" s="80" t="str">
        <f t="shared" si="133"/>
        <v>Sat</v>
      </c>
      <c r="B471" s="147">
        <f>IF(SUMIFS(CashFlow!$C$16:$C$40,CashFlow!$D$16:$D$40,CashFlowCalcs!$E471)&gt;0,SUMIFS(CashFlow!$C$16:$C$40,CashFlow!$D$16:$D$40,CashFlowCalcs!$E471),B470)</f>
        <v>14</v>
      </c>
      <c r="C471" s="147" t="str">
        <f t="shared" si="144"/>
        <v>Y</v>
      </c>
      <c r="D471" s="80">
        <f t="shared" si="149"/>
        <v>315</v>
      </c>
      <c r="E471" s="81">
        <f t="shared" si="150"/>
        <v>44821</v>
      </c>
      <c r="F471" s="80">
        <f t="shared" si="151"/>
        <v>-1.136094674556213</v>
      </c>
      <c r="G471" s="119">
        <f t="shared" si="145"/>
        <v>0.20923566302233698</v>
      </c>
      <c r="H471" s="125">
        <f t="shared" si="152"/>
        <v>44821</v>
      </c>
      <c r="I471" s="82">
        <f t="shared" si="140"/>
        <v>0.52451275700617372</v>
      </c>
      <c r="J471" s="126">
        <f t="shared" si="146"/>
        <v>4783464.1660243878</v>
      </c>
      <c r="K471" s="139">
        <f t="shared" si="141"/>
        <v>0</v>
      </c>
      <c r="L471" s="83">
        <f t="shared" si="139"/>
        <v>4783464.1660243878</v>
      </c>
      <c r="M471" s="80">
        <f t="shared" si="147"/>
        <v>315</v>
      </c>
      <c r="N471" s="157">
        <f t="shared" si="135"/>
        <v>0</v>
      </c>
      <c r="O471" s="140">
        <f t="shared" si="142"/>
        <v>0</v>
      </c>
      <c r="P471" s="149">
        <v>0</v>
      </c>
      <c r="Q471" s="163">
        <f t="shared" si="148"/>
        <v>315</v>
      </c>
      <c r="R471" s="150">
        <f t="shared" si="143"/>
        <v>0</v>
      </c>
      <c r="S471" s="164">
        <f t="shared" si="136"/>
        <v>9119824.2599999998</v>
      </c>
    </row>
    <row r="472" spans="1:19" x14ac:dyDescent="0.25">
      <c r="A472" s="80" t="str">
        <f t="shared" si="133"/>
        <v>Sun</v>
      </c>
      <c r="B472" s="147">
        <f>IF(SUMIFS(CashFlow!$C$16:$C$40,CashFlow!$D$16:$D$40,CashFlowCalcs!$E472)&gt;0,SUMIFS(CashFlow!$C$16:$C$40,CashFlow!$D$16:$D$40,CashFlowCalcs!$E472),B471)</f>
        <v>14</v>
      </c>
      <c r="C472" s="147" t="str">
        <f t="shared" si="144"/>
        <v>Y</v>
      </c>
      <c r="D472" s="80">
        <f t="shared" si="149"/>
        <v>315</v>
      </c>
      <c r="E472" s="81">
        <f t="shared" si="150"/>
        <v>44822</v>
      </c>
      <c r="F472" s="80">
        <f t="shared" si="151"/>
        <v>-1.136094674556213</v>
      </c>
      <c r="G472" s="119">
        <f t="shared" si="145"/>
        <v>0.20923566302233698</v>
      </c>
      <c r="H472" s="125">
        <f t="shared" si="152"/>
        <v>44822</v>
      </c>
      <c r="I472" s="82">
        <f t="shared" si="140"/>
        <v>0.52451275700617372</v>
      </c>
      <c r="J472" s="126">
        <f t="shared" si="146"/>
        <v>4783464.1660243878</v>
      </c>
      <c r="K472" s="139">
        <f t="shared" si="141"/>
        <v>0</v>
      </c>
      <c r="L472" s="83">
        <f t="shared" si="139"/>
        <v>4783464.1660243878</v>
      </c>
      <c r="M472" s="80">
        <f t="shared" si="147"/>
        <v>315</v>
      </c>
      <c r="N472" s="157">
        <f t="shared" si="135"/>
        <v>0</v>
      </c>
      <c r="O472" s="140">
        <f t="shared" si="142"/>
        <v>0</v>
      </c>
      <c r="P472" s="149">
        <v>0</v>
      </c>
      <c r="Q472" s="163">
        <f t="shared" si="148"/>
        <v>315</v>
      </c>
      <c r="R472" s="150">
        <f t="shared" si="143"/>
        <v>0</v>
      </c>
      <c r="S472" s="164">
        <f t="shared" si="136"/>
        <v>9119824.2599999998</v>
      </c>
    </row>
    <row r="473" spans="1:19" x14ac:dyDescent="0.25">
      <c r="A473" s="80" t="str">
        <f t="shared" si="133"/>
        <v>Mon</v>
      </c>
      <c r="B473" s="147">
        <f>IF(SUMIFS(CashFlow!$C$16:$C$40,CashFlow!$D$16:$D$40,CashFlowCalcs!$E473)&gt;0,SUMIFS(CashFlow!$C$16:$C$40,CashFlow!$D$16:$D$40,CashFlowCalcs!$E473),B472)</f>
        <v>14</v>
      </c>
      <c r="C473" s="147" t="str">
        <f t="shared" si="144"/>
        <v>N</v>
      </c>
      <c r="D473" s="80">
        <f t="shared" si="149"/>
        <v>316</v>
      </c>
      <c r="E473" s="81">
        <f t="shared" si="150"/>
        <v>44823</v>
      </c>
      <c r="F473" s="80">
        <f t="shared" si="151"/>
        <v>-1.1301775147928996</v>
      </c>
      <c r="G473" s="119">
        <f t="shared" si="145"/>
        <v>0.21064329087921557</v>
      </c>
      <c r="H473" s="125">
        <f t="shared" si="152"/>
        <v>44823</v>
      </c>
      <c r="I473" s="82">
        <f t="shared" si="140"/>
        <v>0.52804140387920351</v>
      </c>
      <c r="J473" s="126">
        <f t="shared" si="146"/>
        <v>4815644.805382018</v>
      </c>
      <c r="K473" s="139">
        <f t="shared" si="141"/>
        <v>0</v>
      </c>
      <c r="L473" s="83">
        <f t="shared" si="139"/>
        <v>4815644.805382018</v>
      </c>
      <c r="M473" s="80">
        <f t="shared" si="147"/>
        <v>316</v>
      </c>
      <c r="N473" s="157">
        <f t="shared" si="135"/>
        <v>0</v>
      </c>
      <c r="O473" s="140">
        <f t="shared" si="142"/>
        <v>0</v>
      </c>
      <c r="P473" s="149">
        <v>0</v>
      </c>
      <c r="Q473" s="163">
        <f t="shared" si="148"/>
        <v>316</v>
      </c>
      <c r="R473" s="150">
        <f t="shared" si="143"/>
        <v>0</v>
      </c>
      <c r="S473" s="164">
        <f t="shared" si="136"/>
        <v>9119824.2599999998</v>
      </c>
    </row>
    <row r="474" spans="1:19" s="74" customFormat="1" x14ac:dyDescent="0.25">
      <c r="A474" s="166" t="str">
        <f t="shared" ref="A474:A537" si="153">A467</f>
        <v>Tues</v>
      </c>
      <c r="B474" s="147">
        <f>IF(SUMIFS(CashFlow!$C$16:$C$40,CashFlow!$D$16:$D$40,CashFlowCalcs!$E474)&gt;0,SUMIFS(CashFlow!$C$16:$C$40,CashFlow!$D$16:$D$40,CashFlowCalcs!$E474),B473)</f>
        <v>14</v>
      </c>
      <c r="C474" s="348" t="str">
        <f t="shared" si="144"/>
        <v>N</v>
      </c>
      <c r="D474" s="166">
        <f t="shared" si="149"/>
        <v>317</v>
      </c>
      <c r="E474" s="85">
        <f t="shared" si="150"/>
        <v>44824</v>
      </c>
      <c r="F474" s="166">
        <f t="shared" si="151"/>
        <v>-1.1242603550295858</v>
      </c>
      <c r="G474" s="121">
        <f t="shared" si="145"/>
        <v>0.21205296382474084</v>
      </c>
      <c r="H474" s="129">
        <f t="shared" si="152"/>
        <v>44824</v>
      </c>
      <c r="I474" s="86">
        <f t="shared" si="140"/>
        <v>0.53157517738824211</v>
      </c>
      <c r="J474" s="130">
        <f t="shared" si="146"/>
        <v>4847872.1987590939</v>
      </c>
      <c r="K474" s="143">
        <f t="shared" si="141"/>
        <v>0</v>
      </c>
      <c r="L474" s="349">
        <f t="shared" si="139"/>
        <v>4847872.1987590939</v>
      </c>
      <c r="M474" s="166">
        <f t="shared" si="147"/>
        <v>317</v>
      </c>
      <c r="N474" s="350">
        <f t="shared" si="135"/>
        <v>0</v>
      </c>
      <c r="O474" s="144">
        <f t="shared" si="142"/>
        <v>0</v>
      </c>
      <c r="P474" s="149">
        <v>0</v>
      </c>
      <c r="Q474" s="351">
        <f t="shared" si="148"/>
        <v>317</v>
      </c>
      <c r="R474" s="352">
        <f t="shared" si="143"/>
        <v>0</v>
      </c>
      <c r="S474" s="353">
        <f t="shared" si="136"/>
        <v>9119824.2599999998</v>
      </c>
    </row>
    <row r="475" spans="1:19" x14ac:dyDescent="0.25">
      <c r="A475" s="80" t="str">
        <f t="shared" si="153"/>
        <v>Wed</v>
      </c>
      <c r="B475" s="147">
        <f>IF(SUMIFS(CashFlow!$C$16:$C$40,CashFlow!$D$16:$D$40,CashFlowCalcs!$E475)&gt;0,SUMIFS(CashFlow!$C$16:$C$40,CashFlow!$D$16:$D$40,CashFlowCalcs!$E475),B474)</f>
        <v>14</v>
      </c>
      <c r="C475" s="147" t="str">
        <f t="shared" si="144"/>
        <v>N</v>
      </c>
      <c r="D475" s="80">
        <f t="shared" si="149"/>
        <v>318</v>
      </c>
      <c r="E475" s="81">
        <f t="shared" si="150"/>
        <v>44825</v>
      </c>
      <c r="F475" s="80">
        <f t="shared" si="151"/>
        <v>-1.1183431952662723</v>
      </c>
      <c r="G475" s="119">
        <f t="shared" si="145"/>
        <v>0.21346459650340427</v>
      </c>
      <c r="H475" s="125">
        <f t="shared" si="152"/>
        <v>44825</v>
      </c>
      <c r="I475" s="82">
        <f t="shared" si="140"/>
        <v>0.53511386356377577</v>
      </c>
      <c r="J475" s="126">
        <f t="shared" si="146"/>
        <v>4880144.394791252</v>
      </c>
      <c r="K475" s="139">
        <f t="shared" si="141"/>
        <v>0</v>
      </c>
      <c r="L475" s="83">
        <f t="shared" si="139"/>
        <v>4880144.394791252</v>
      </c>
      <c r="M475" s="80">
        <f t="shared" si="147"/>
        <v>318</v>
      </c>
      <c r="N475" s="157">
        <f t="shared" si="135"/>
        <v>0</v>
      </c>
      <c r="O475" s="140">
        <f t="shared" si="142"/>
        <v>0</v>
      </c>
      <c r="P475" s="149">
        <v>0</v>
      </c>
      <c r="Q475" s="163">
        <f t="shared" si="148"/>
        <v>318</v>
      </c>
      <c r="R475" s="150">
        <f t="shared" si="143"/>
        <v>0</v>
      </c>
      <c r="S475" s="164">
        <f t="shared" si="136"/>
        <v>9119824.2599999998</v>
      </c>
    </row>
    <row r="476" spans="1:19" x14ac:dyDescent="0.25">
      <c r="A476" s="80" t="str">
        <f t="shared" si="153"/>
        <v>Thu</v>
      </c>
      <c r="B476" s="147">
        <f>IF(SUMIFS(CashFlow!$C$16:$C$40,CashFlow!$D$16:$D$40,CashFlowCalcs!$E476)&gt;0,SUMIFS(CashFlow!$C$16:$C$40,CashFlow!$D$16:$D$40,CashFlowCalcs!$E476),B475)</f>
        <v>14</v>
      </c>
      <c r="C476" s="147" t="str">
        <f t="shared" si="144"/>
        <v>N</v>
      </c>
      <c r="D476" s="80">
        <f t="shared" si="149"/>
        <v>319</v>
      </c>
      <c r="E476" s="81">
        <f t="shared" si="150"/>
        <v>44826</v>
      </c>
      <c r="F476" s="80">
        <f t="shared" si="151"/>
        <v>-1.1124260355029585</v>
      </c>
      <c r="G476" s="119">
        <f t="shared" si="145"/>
        <v>0.21487810278345937</v>
      </c>
      <c r="H476" s="125">
        <f t="shared" si="152"/>
        <v>44826</v>
      </c>
      <c r="I476" s="82">
        <f t="shared" si="140"/>
        <v>0.53865724649041435</v>
      </c>
      <c r="J476" s="126">
        <f t="shared" si="146"/>
        <v>4912459.4243680807</v>
      </c>
      <c r="K476" s="139">
        <f t="shared" si="141"/>
        <v>0</v>
      </c>
      <c r="L476" s="83">
        <f t="shared" si="139"/>
        <v>4912459.4243680807</v>
      </c>
      <c r="M476" s="80">
        <f t="shared" si="147"/>
        <v>319</v>
      </c>
      <c r="N476" s="157">
        <f t="shared" si="135"/>
        <v>0</v>
      </c>
      <c r="O476" s="140">
        <f t="shared" si="142"/>
        <v>0</v>
      </c>
      <c r="P476" s="149">
        <v>0</v>
      </c>
      <c r="Q476" s="163">
        <f t="shared" si="148"/>
        <v>319</v>
      </c>
      <c r="R476" s="150">
        <f t="shared" si="143"/>
        <v>0</v>
      </c>
      <c r="S476" s="164">
        <f t="shared" si="136"/>
        <v>9119824.2599999998</v>
      </c>
    </row>
    <row r="477" spans="1:19" x14ac:dyDescent="0.25">
      <c r="A477" s="80" t="str">
        <f t="shared" si="153"/>
        <v>Fri</v>
      </c>
      <c r="B477" s="147">
        <f>IF(SUMIFS(CashFlow!$C$16:$C$40,CashFlow!$D$16:$D$40,CashFlowCalcs!$E477)&gt;0,SUMIFS(CashFlow!$C$16:$C$40,CashFlow!$D$16:$D$40,CashFlowCalcs!$E477),B476)</f>
        <v>14</v>
      </c>
      <c r="C477" s="147" t="str">
        <f t="shared" si="144"/>
        <v>N</v>
      </c>
      <c r="D477" s="80">
        <f t="shared" si="149"/>
        <v>320</v>
      </c>
      <c r="E477" s="81">
        <f t="shared" si="150"/>
        <v>44827</v>
      </c>
      <c r="F477" s="80">
        <f t="shared" si="151"/>
        <v>-1.1065088757396451</v>
      </c>
      <c r="G477" s="119">
        <f t="shared" si="145"/>
        <v>0.21629339576385603</v>
      </c>
      <c r="H477" s="125">
        <f t="shared" si="152"/>
        <v>44827</v>
      </c>
      <c r="I477" s="82">
        <f t="shared" si="140"/>
        <v>0.54220510832427427</v>
      </c>
      <c r="J477" s="126">
        <f t="shared" si="146"/>
        <v>4944815.3007916445</v>
      </c>
      <c r="K477" s="139">
        <f t="shared" si="141"/>
        <v>0</v>
      </c>
      <c r="L477" s="83">
        <f t="shared" si="139"/>
        <v>4944815.3007916445</v>
      </c>
      <c r="M477" s="80">
        <f t="shared" si="147"/>
        <v>320</v>
      </c>
      <c r="N477" s="157">
        <f t="shared" si="135"/>
        <v>0</v>
      </c>
      <c r="O477" s="140">
        <f t="shared" si="142"/>
        <v>0</v>
      </c>
      <c r="P477" s="149">
        <v>0</v>
      </c>
      <c r="Q477" s="163">
        <f t="shared" si="148"/>
        <v>320</v>
      </c>
      <c r="R477" s="150">
        <f t="shared" si="143"/>
        <v>0</v>
      </c>
      <c r="S477" s="164">
        <f t="shared" si="136"/>
        <v>9119824.2599999998</v>
      </c>
    </row>
    <row r="478" spans="1:19" x14ac:dyDescent="0.25">
      <c r="A478" s="80" t="str">
        <f t="shared" si="153"/>
        <v>Sat</v>
      </c>
      <c r="B478" s="147">
        <f>IF(SUMIFS(CashFlow!$C$16:$C$40,CashFlow!$D$16:$D$40,CashFlowCalcs!$E478)&gt;0,SUMIFS(CashFlow!$C$16:$C$40,CashFlow!$D$16:$D$40,CashFlowCalcs!$E478),B477)</f>
        <v>14</v>
      </c>
      <c r="C478" s="147" t="str">
        <f t="shared" si="144"/>
        <v>Y</v>
      </c>
      <c r="D478" s="80">
        <f t="shared" si="149"/>
        <v>320</v>
      </c>
      <c r="E478" s="81">
        <f t="shared" si="150"/>
        <v>44828</v>
      </c>
      <c r="F478" s="80">
        <f t="shared" si="151"/>
        <v>-1.1065088757396451</v>
      </c>
      <c r="G478" s="119">
        <f t="shared" si="145"/>
        <v>0.21629339576385603</v>
      </c>
      <c r="H478" s="125">
        <f t="shared" si="152"/>
        <v>44828</v>
      </c>
      <c r="I478" s="82">
        <f t="shared" si="140"/>
        <v>0.54220510832427427</v>
      </c>
      <c r="J478" s="126">
        <f t="shared" si="146"/>
        <v>4944815.3007916445</v>
      </c>
      <c r="K478" s="139">
        <f t="shared" si="141"/>
        <v>0</v>
      </c>
      <c r="L478" s="83">
        <f t="shared" si="139"/>
        <v>4944815.3007916445</v>
      </c>
      <c r="M478" s="80">
        <f t="shared" si="147"/>
        <v>320</v>
      </c>
      <c r="N478" s="157">
        <f t="shared" si="135"/>
        <v>0</v>
      </c>
      <c r="O478" s="140">
        <f t="shared" si="142"/>
        <v>0</v>
      </c>
      <c r="P478" s="149">
        <v>0</v>
      </c>
      <c r="Q478" s="163">
        <f t="shared" si="148"/>
        <v>320</v>
      </c>
      <c r="R478" s="150">
        <f t="shared" si="143"/>
        <v>0</v>
      </c>
      <c r="S478" s="164">
        <f t="shared" si="136"/>
        <v>9119824.2599999998</v>
      </c>
    </row>
    <row r="479" spans="1:19" x14ac:dyDescent="0.25">
      <c r="A479" s="80" t="str">
        <f t="shared" si="153"/>
        <v>Sun</v>
      </c>
      <c r="B479" s="147">
        <f>IF(SUMIFS(CashFlow!$C$16:$C$40,CashFlow!$D$16:$D$40,CashFlowCalcs!$E479)&gt;0,SUMIFS(CashFlow!$C$16:$C$40,CashFlow!$D$16:$D$40,CashFlowCalcs!$E479),B478)</f>
        <v>14</v>
      </c>
      <c r="C479" s="147" t="str">
        <f t="shared" si="144"/>
        <v>Y</v>
      </c>
      <c r="D479" s="80">
        <f t="shared" si="149"/>
        <v>320</v>
      </c>
      <c r="E479" s="81">
        <f t="shared" si="150"/>
        <v>44829</v>
      </c>
      <c r="F479" s="80">
        <f t="shared" si="151"/>
        <v>-1.1065088757396451</v>
      </c>
      <c r="G479" s="119">
        <f t="shared" si="145"/>
        <v>0.21629339576385603</v>
      </c>
      <c r="H479" s="125">
        <f t="shared" si="152"/>
        <v>44829</v>
      </c>
      <c r="I479" s="82">
        <f t="shared" si="140"/>
        <v>0.54220510832427427</v>
      </c>
      <c r="J479" s="126">
        <f t="shared" si="146"/>
        <v>4944815.3007916445</v>
      </c>
      <c r="K479" s="139">
        <f t="shared" si="141"/>
        <v>0</v>
      </c>
      <c r="L479" s="83">
        <f t="shared" si="139"/>
        <v>4944815.3007916445</v>
      </c>
      <c r="M479" s="80">
        <f t="shared" si="147"/>
        <v>320</v>
      </c>
      <c r="N479" s="157">
        <f t="shared" si="135"/>
        <v>0</v>
      </c>
      <c r="O479" s="140">
        <f t="shared" si="142"/>
        <v>0</v>
      </c>
      <c r="P479" s="149">
        <v>0</v>
      </c>
      <c r="Q479" s="163">
        <f t="shared" si="148"/>
        <v>320</v>
      </c>
      <c r="R479" s="150">
        <f t="shared" si="143"/>
        <v>0</v>
      </c>
      <c r="S479" s="164">
        <f t="shared" si="136"/>
        <v>9119824.2599999998</v>
      </c>
    </row>
    <row r="480" spans="1:19" x14ac:dyDescent="0.25">
      <c r="A480" s="80" t="str">
        <f t="shared" si="153"/>
        <v>Mon</v>
      </c>
      <c r="B480" s="147">
        <f>IF(SUMIFS(CashFlow!$C$16:$C$40,CashFlow!$D$16:$D$40,CashFlowCalcs!$E480)&gt;0,SUMIFS(CashFlow!$C$16:$C$40,CashFlow!$D$16:$D$40,CashFlowCalcs!$E480),B479)</f>
        <v>14</v>
      </c>
      <c r="C480" s="147" t="str">
        <f t="shared" si="144"/>
        <v>N</v>
      </c>
      <c r="D480" s="80">
        <f t="shared" si="149"/>
        <v>321</v>
      </c>
      <c r="E480" s="81">
        <f t="shared" si="150"/>
        <v>44830</v>
      </c>
      <c r="F480" s="80">
        <f t="shared" si="151"/>
        <v>-1.1005917159763312</v>
      </c>
      <c r="G480" s="119">
        <f t="shared" si="145"/>
        <v>0.21771038778135809</v>
      </c>
      <c r="H480" s="125">
        <f t="shared" si="152"/>
        <v>44830</v>
      </c>
      <c r="I480" s="82">
        <f t="shared" si="140"/>
        <v>0.54575722931082138</v>
      </c>
      <c r="J480" s="126">
        <f t="shared" si="146"/>
        <v>4977210.0199392121</v>
      </c>
      <c r="K480" s="139">
        <f t="shared" si="141"/>
        <v>0</v>
      </c>
      <c r="L480" s="83">
        <f t="shared" si="139"/>
        <v>4977210.0199392121</v>
      </c>
      <c r="M480" s="80">
        <f t="shared" si="147"/>
        <v>321</v>
      </c>
      <c r="N480" s="157">
        <f t="shared" si="135"/>
        <v>0</v>
      </c>
      <c r="O480" s="140">
        <f t="shared" si="142"/>
        <v>0</v>
      </c>
      <c r="P480" s="149">
        <v>0</v>
      </c>
      <c r="Q480" s="163">
        <f t="shared" si="148"/>
        <v>321</v>
      </c>
      <c r="R480" s="150">
        <f t="shared" si="143"/>
        <v>0</v>
      </c>
      <c r="S480" s="164">
        <f t="shared" si="136"/>
        <v>9119824.2599999998</v>
      </c>
    </row>
    <row r="481" spans="1:19" x14ac:dyDescent="0.25">
      <c r="A481" s="80" t="str">
        <f t="shared" si="153"/>
        <v>Tues</v>
      </c>
      <c r="B481" s="147">
        <f>IF(SUMIFS(CashFlow!$C$16:$C$40,CashFlow!$D$16:$D$40,CashFlowCalcs!$E481)&gt;0,SUMIFS(CashFlow!$C$16:$C$40,CashFlow!$D$16:$D$40,CashFlowCalcs!$E481),B480)</f>
        <v>14</v>
      </c>
      <c r="C481" s="147" t="str">
        <f t="shared" si="144"/>
        <v>N</v>
      </c>
      <c r="D481" s="80">
        <f t="shared" si="149"/>
        <v>322</v>
      </c>
      <c r="E481" s="81">
        <f t="shared" si="150"/>
        <v>44831</v>
      </c>
      <c r="F481" s="80">
        <f t="shared" si="151"/>
        <v>-1.0946745562130178</v>
      </c>
      <c r="G481" s="119">
        <f t="shared" si="145"/>
        <v>0.21912899041783954</v>
      </c>
      <c r="H481" s="125">
        <f t="shared" si="152"/>
        <v>44831</v>
      </c>
      <c r="I481" s="82">
        <f t="shared" si="140"/>
        <v>0.54931338780316064</v>
      </c>
      <c r="J481" s="126">
        <f t="shared" si="146"/>
        <v>5009641.5604300527</v>
      </c>
      <c r="K481" s="139">
        <f t="shared" si="141"/>
        <v>0</v>
      </c>
      <c r="L481" s="83">
        <f t="shared" si="139"/>
        <v>5009641.5604300527</v>
      </c>
      <c r="M481" s="80">
        <f t="shared" si="147"/>
        <v>322</v>
      </c>
      <c r="N481" s="157">
        <f t="shared" si="135"/>
        <v>0</v>
      </c>
      <c r="O481" s="140">
        <f t="shared" si="142"/>
        <v>0</v>
      </c>
      <c r="P481" s="149">
        <v>0</v>
      </c>
      <c r="Q481" s="163">
        <f t="shared" si="148"/>
        <v>322</v>
      </c>
      <c r="R481" s="150">
        <f t="shared" si="143"/>
        <v>0</v>
      </c>
      <c r="S481" s="164">
        <f t="shared" si="136"/>
        <v>9119824.2599999998</v>
      </c>
    </row>
    <row r="482" spans="1:19" x14ac:dyDescent="0.25">
      <c r="A482" s="80" t="str">
        <f t="shared" si="153"/>
        <v>Wed</v>
      </c>
      <c r="B482" s="147">
        <f>IF(SUMIFS(CashFlow!$C$16:$C$40,CashFlow!$D$16:$D$40,CashFlowCalcs!$E482)&gt;0,SUMIFS(CashFlow!$C$16:$C$40,CashFlow!$D$16:$D$40,CashFlowCalcs!$E482),B481)</f>
        <v>16</v>
      </c>
      <c r="C482" s="147" t="str">
        <f t="shared" si="144"/>
        <v>N</v>
      </c>
      <c r="D482" s="80">
        <f t="shared" si="149"/>
        <v>323</v>
      </c>
      <c r="E482" s="81">
        <f t="shared" si="150"/>
        <v>44832</v>
      </c>
      <c r="F482" s="80">
        <f t="shared" si="151"/>
        <v>-1.0887573964497039</v>
      </c>
      <c r="G482" s="119">
        <f t="shared" si="145"/>
        <v>0.22054911450776341</v>
      </c>
      <c r="H482" s="125">
        <f t="shared" si="152"/>
        <v>44832</v>
      </c>
      <c r="I482" s="82">
        <f t="shared" si="140"/>
        <v>0.55287336028078427</v>
      </c>
      <c r="J482" s="126">
        <f t="shared" si="146"/>
        <v>5042107.8837964162</v>
      </c>
      <c r="K482" s="139">
        <f t="shared" si="141"/>
        <v>0</v>
      </c>
      <c r="L482" s="83">
        <f t="shared" si="139"/>
        <v>5042107.8837964162</v>
      </c>
      <c r="M482" s="80">
        <f t="shared" si="147"/>
        <v>323</v>
      </c>
      <c r="N482" s="157">
        <f t="shared" si="135"/>
        <v>0</v>
      </c>
      <c r="O482" s="140">
        <f t="shared" si="142"/>
        <v>0</v>
      </c>
      <c r="P482" s="149">
        <v>0</v>
      </c>
      <c r="Q482" s="163">
        <f t="shared" si="148"/>
        <v>323</v>
      </c>
      <c r="R482" s="150">
        <f t="shared" si="143"/>
        <v>0</v>
      </c>
      <c r="S482" s="164">
        <f t="shared" si="136"/>
        <v>9119824.2599999998</v>
      </c>
    </row>
    <row r="483" spans="1:19" x14ac:dyDescent="0.25">
      <c r="A483" s="80" t="str">
        <f t="shared" si="153"/>
        <v>Thu</v>
      </c>
      <c r="B483" s="147">
        <f>IF(SUMIFS(CashFlow!$C$16:$C$40,CashFlow!$D$16:$D$40,CashFlowCalcs!$E483)&gt;0,SUMIFS(CashFlow!$C$16:$C$40,CashFlow!$D$16:$D$40,CashFlowCalcs!$E483),B482)</f>
        <v>16</v>
      </c>
      <c r="C483" s="147" t="str">
        <f t="shared" si="144"/>
        <v>N</v>
      </c>
      <c r="D483" s="80">
        <f t="shared" si="149"/>
        <v>324</v>
      </c>
      <c r="E483" s="81">
        <f t="shared" si="150"/>
        <v>44833</v>
      </c>
      <c r="F483" s="80">
        <f t="shared" si="151"/>
        <v>-1.0828402366863905</v>
      </c>
      <c r="G483" s="119">
        <f t="shared" si="145"/>
        <v>0.22197067014583871</v>
      </c>
      <c r="H483" s="125">
        <f t="shared" si="152"/>
        <v>44833</v>
      </c>
      <c r="I483" s="82">
        <f t="shared" si="140"/>
        <v>0.55643692136876644</v>
      </c>
      <c r="J483" s="126">
        <f t="shared" si="146"/>
        <v>5074606.9346585888</v>
      </c>
      <c r="K483" s="139">
        <f t="shared" si="141"/>
        <v>0</v>
      </c>
      <c r="L483" s="83">
        <f t="shared" si="139"/>
        <v>5074606.9346585888</v>
      </c>
      <c r="M483" s="80">
        <f t="shared" si="147"/>
        <v>324</v>
      </c>
      <c r="N483" s="157">
        <f t="shared" si="135"/>
        <v>0</v>
      </c>
      <c r="O483" s="140">
        <f t="shared" si="142"/>
        <v>0</v>
      </c>
      <c r="P483" s="149">
        <v>0</v>
      </c>
      <c r="Q483" s="163">
        <f t="shared" si="148"/>
        <v>324</v>
      </c>
      <c r="R483" s="150">
        <f t="shared" si="143"/>
        <v>0</v>
      </c>
      <c r="S483" s="164">
        <f t="shared" si="136"/>
        <v>9119824.2599999998</v>
      </c>
    </row>
    <row r="484" spans="1:19" x14ac:dyDescent="0.25">
      <c r="A484" s="80" t="str">
        <f t="shared" si="153"/>
        <v>Fri</v>
      </c>
      <c r="B484" s="147">
        <f>IF(SUMIFS(CashFlow!$C$16:$C$40,CashFlow!$D$16:$D$40,CashFlowCalcs!$E484)&gt;0,SUMIFS(CashFlow!$C$16:$C$40,CashFlow!$D$16:$D$40,CashFlowCalcs!$E484),B483)</f>
        <v>16</v>
      </c>
      <c r="C484" s="147" t="str">
        <f t="shared" si="144"/>
        <v>N</v>
      </c>
      <c r="D484" s="80">
        <f t="shared" si="149"/>
        <v>325</v>
      </c>
      <c r="E484" s="81">
        <f t="shared" ref="E484:E499" si="154">E483+1</f>
        <v>44834</v>
      </c>
      <c r="F484" s="80">
        <f t="shared" si="151"/>
        <v>-1.0769230769230766</v>
      </c>
      <c r="G484" s="119">
        <f t="shared" si="145"/>
        <v>0.22339356669485919</v>
      </c>
      <c r="H484" s="125">
        <f t="shared" si="152"/>
        <v>44834</v>
      </c>
      <c r="I484" s="82">
        <f t="shared" si="140"/>
        <v>0.5600038438574132</v>
      </c>
      <c r="J484" s="126">
        <f t="shared" si="146"/>
        <v>5107136.6409040885</v>
      </c>
      <c r="K484" s="139">
        <f t="shared" si="141"/>
        <v>0</v>
      </c>
      <c r="L484" s="83">
        <f t="shared" si="139"/>
        <v>5107136.6409040885</v>
      </c>
      <c r="M484" s="80">
        <f t="shared" si="147"/>
        <v>325</v>
      </c>
      <c r="N484" s="157">
        <f t="shared" ref="N484:N547" si="155">IF(E484&lt;$J$6,0,IF(E484&gt;=$I$1,0,1))*$I$10</f>
        <v>0</v>
      </c>
      <c r="O484" s="140">
        <f t="shared" si="142"/>
        <v>0</v>
      </c>
      <c r="P484" s="149">
        <v>0</v>
      </c>
      <c r="Q484" s="163">
        <f t="shared" si="148"/>
        <v>325</v>
      </c>
      <c r="R484" s="150">
        <f t="shared" si="143"/>
        <v>0</v>
      </c>
      <c r="S484" s="164">
        <f t="shared" si="136"/>
        <v>9119824.2599999998</v>
      </c>
    </row>
    <row r="485" spans="1:19" x14ac:dyDescent="0.25">
      <c r="A485" s="80" t="str">
        <f t="shared" si="153"/>
        <v>Sat</v>
      </c>
      <c r="B485" s="147">
        <f>IF(SUMIFS(CashFlow!$C$16:$C$40,CashFlow!$D$16:$D$40,CashFlowCalcs!$E485)&gt;0,SUMIFS(CashFlow!$C$16:$C$40,CashFlow!$D$16:$D$40,CashFlowCalcs!$E485),B484)</f>
        <v>16</v>
      </c>
      <c r="C485" s="147" t="str">
        <f t="shared" si="144"/>
        <v>Y</v>
      </c>
      <c r="D485" s="80">
        <f t="shared" si="149"/>
        <v>325</v>
      </c>
      <c r="E485" s="81">
        <f t="shared" si="154"/>
        <v>44835</v>
      </c>
      <c r="F485" s="80">
        <f t="shared" si="151"/>
        <v>-1.0769230769230766</v>
      </c>
      <c r="G485" s="119">
        <f t="shared" si="145"/>
        <v>0.22339356669485919</v>
      </c>
      <c r="H485" s="125">
        <f t="shared" si="152"/>
        <v>44835</v>
      </c>
      <c r="I485" s="82">
        <f t="shared" si="140"/>
        <v>0.5600038438574132</v>
      </c>
      <c r="J485" s="126">
        <f t="shared" si="146"/>
        <v>5107136.6409040885</v>
      </c>
      <c r="K485" s="139">
        <f t="shared" si="141"/>
        <v>0</v>
      </c>
      <c r="L485" s="83">
        <f t="shared" si="139"/>
        <v>5107136.6409040885</v>
      </c>
      <c r="M485" s="80">
        <f t="shared" si="147"/>
        <v>325</v>
      </c>
      <c r="N485" s="157">
        <f t="shared" si="155"/>
        <v>0</v>
      </c>
      <c r="O485" s="140">
        <f t="shared" si="142"/>
        <v>0</v>
      </c>
      <c r="P485" s="149">
        <v>0</v>
      </c>
      <c r="Q485" s="163">
        <f t="shared" si="148"/>
        <v>325</v>
      </c>
      <c r="R485" s="150">
        <f t="shared" si="143"/>
        <v>0</v>
      </c>
      <c r="S485" s="164">
        <f t="shared" si="136"/>
        <v>9119824.2599999998</v>
      </c>
    </row>
    <row r="486" spans="1:19" x14ac:dyDescent="0.25">
      <c r="A486" s="80" t="str">
        <f t="shared" si="153"/>
        <v>Sun</v>
      </c>
      <c r="B486" s="147">
        <f>IF(SUMIFS(CashFlow!$C$16:$C$40,CashFlow!$D$16:$D$40,CashFlowCalcs!$E486)&gt;0,SUMIFS(CashFlow!$C$16:$C$40,CashFlow!$D$16:$D$40,CashFlowCalcs!$E486),B485)</f>
        <v>16</v>
      </c>
      <c r="C486" s="147" t="str">
        <f t="shared" si="144"/>
        <v>Y</v>
      </c>
      <c r="D486" s="80">
        <f t="shared" si="149"/>
        <v>325</v>
      </c>
      <c r="E486" s="81">
        <f t="shared" si="154"/>
        <v>44836</v>
      </c>
      <c r="F486" s="80">
        <f t="shared" si="151"/>
        <v>-1.0769230769230766</v>
      </c>
      <c r="G486" s="119">
        <f t="shared" si="145"/>
        <v>0.22339356669485919</v>
      </c>
      <c r="H486" s="125">
        <f t="shared" si="152"/>
        <v>44836</v>
      </c>
      <c r="I486" s="82">
        <f t="shared" si="140"/>
        <v>0.5600038438574132</v>
      </c>
      <c r="J486" s="126">
        <f t="shared" si="146"/>
        <v>5107136.6409040885</v>
      </c>
      <c r="K486" s="139">
        <f t="shared" si="141"/>
        <v>0</v>
      </c>
      <c r="L486" s="83">
        <f t="shared" si="139"/>
        <v>5107136.6409040885</v>
      </c>
      <c r="M486" s="80">
        <f t="shared" si="147"/>
        <v>325</v>
      </c>
      <c r="N486" s="157">
        <f t="shared" si="155"/>
        <v>0</v>
      </c>
      <c r="O486" s="140">
        <f t="shared" si="142"/>
        <v>0</v>
      </c>
      <c r="P486" s="149">
        <v>0</v>
      </c>
      <c r="Q486" s="163">
        <f t="shared" si="148"/>
        <v>325</v>
      </c>
      <c r="R486" s="150">
        <f t="shared" si="143"/>
        <v>0</v>
      </c>
      <c r="S486" s="164">
        <f t="shared" si="136"/>
        <v>9119824.2599999998</v>
      </c>
    </row>
    <row r="487" spans="1:19" x14ac:dyDescent="0.25">
      <c r="A487" s="80" t="str">
        <f t="shared" si="153"/>
        <v>Mon</v>
      </c>
      <c r="B487" s="147">
        <f>IF(SUMIFS(CashFlow!$C$16:$C$40,CashFlow!$D$16:$D$40,CashFlowCalcs!$E487)&gt;0,SUMIFS(CashFlow!$C$16:$C$40,CashFlow!$D$16:$D$40,CashFlowCalcs!$E487),B486)</f>
        <v>16</v>
      </c>
      <c r="C487" s="147" t="str">
        <f t="shared" si="144"/>
        <v>N</v>
      </c>
      <c r="D487" s="80">
        <f t="shared" si="149"/>
        <v>326</v>
      </c>
      <c r="E487" s="81">
        <f t="shared" si="154"/>
        <v>44837</v>
      </c>
      <c r="F487" s="80">
        <f t="shared" si="151"/>
        <v>-1.0710059171597635</v>
      </c>
      <c r="G487" s="119">
        <f t="shared" si="145"/>
        <v>0.22481771279371893</v>
      </c>
      <c r="H487" s="125">
        <f t="shared" si="152"/>
        <v>44837</v>
      </c>
      <c r="I487" s="82">
        <f t="shared" si="140"/>
        <v>0.56357389872235641</v>
      </c>
      <c r="J487" s="126">
        <f t="shared" si="146"/>
        <v>5139694.9138709288</v>
      </c>
      <c r="K487" s="139">
        <f t="shared" si="141"/>
        <v>0</v>
      </c>
      <c r="L487" s="83">
        <f t="shared" si="139"/>
        <v>5139694.9138709288</v>
      </c>
      <c r="M487" s="80">
        <f t="shared" si="147"/>
        <v>326</v>
      </c>
      <c r="N487" s="157">
        <f t="shared" si="155"/>
        <v>0</v>
      </c>
      <c r="O487" s="140">
        <f t="shared" si="142"/>
        <v>0</v>
      </c>
      <c r="P487" s="149">
        <v>0</v>
      </c>
      <c r="Q487" s="163">
        <f t="shared" si="148"/>
        <v>326</v>
      </c>
      <c r="R487" s="150">
        <f t="shared" si="143"/>
        <v>0</v>
      </c>
      <c r="S487" s="164">
        <f t="shared" si="136"/>
        <v>9119824.2599999998</v>
      </c>
    </row>
    <row r="488" spans="1:19" x14ac:dyDescent="0.25">
      <c r="A488" s="80" t="str">
        <f t="shared" si="153"/>
        <v>Tues</v>
      </c>
      <c r="B488" s="147">
        <f>IF(SUMIFS(CashFlow!$C$16:$C$40,CashFlow!$D$16:$D$40,CashFlowCalcs!$E488)&gt;0,SUMIFS(CashFlow!$C$16:$C$40,CashFlow!$D$16:$D$40,CashFlowCalcs!$E488),B487)</f>
        <v>16</v>
      </c>
      <c r="C488" s="147" t="str">
        <f t="shared" si="144"/>
        <v>N</v>
      </c>
      <c r="D488" s="80">
        <f t="shared" si="149"/>
        <v>327</v>
      </c>
      <c r="E488" s="81">
        <f t="shared" si="154"/>
        <v>44838</v>
      </c>
      <c r="F488" s="80">
        <f t="shared" si="151"/>
        <v>-1.0650887573964498</v>
      </c>
      <c r="G488" s="119">
        <f t="shared" si="145"/>
        <v>0.22624301636560909</v>
      </c>
      <c r="H488" s="125">
        <f t="shared" si="152"/>
        <v>44838</v>
      </c>
      <c r="I488" s="82">
        <f t="shared" si="140"/>
        <v>0.56714685514510088</v>
      </c>
      <c r="J488" s="126">
        <f t="shared" si="146"/>
        <v>5172279.6485349964</v>
      </c>
      <c r="K488" s="139">
        <f t="shared" si="141"/>
        <v>0</v>
      </c>
      <c r="L488" s="83">
        <f t="shared" si="139"/>
        <v>5172279.6485349964</v>
      </c>
      <c r="M488" s="80">
        <f t="shared" si="147"/>
        <v>327</v>
      </c>
      <c r="N488" s="157">
        <f t="shared" si="155"/>
        <v>0</v>
      </c>
      <c r="O488" s="140">
        <f t="shared" si="142"/>
        <v>0</v>
      </c>
      <c r="P488" s="149">
        <v>0</v>
      </c>
      <c r="Q488" s="163">
        <f t="shared" si="148"/>
        <v>327</v>
      </c>
      <c r="R488" s="150">
        <f t="shared" si="143"/>
        <v>0</v>
      </c>
      <c r="S488" s="164">
        <f t="shared" si="136"/>
        <v>9119824.2599999998</v>
      </c>
    </row>
    <row r="489" spans="1:19" x14ac:dyDescent="0.25">
      <c r="A489" s="80" t="str">
        <f t="shared" si="153"/>
        <v>Wed</v>
      </c>
      <c r="B489" s="147">
        <f>IF(SUMIFS(CashFlow!$C$16:$C$40,CashFlow!$D$16:$D$40,CashFlowCalcs!$E489)&gt;0,SUMIFS(CashFlow!$C$16:$C$40,CashFlow!$D$16:$D$40,CashFlowCalcs!$E489),B488)</f>
        <v>16</v>
      </c>
      <c r="C489" s="147" t="str">
        <f t="shared" si="144"/>
        <v>N</v>
      </c>
      <c r="D489" s="80">
        <f t="shared" si="149"/>
        <v>328</v>
      </c>
      <c r="E489" s="81">
        <f t="shared" si="154"/>
        <v>44839</v>
      </c>
      <c r="F489" s="80">
        <f t="shared" si="151"/>
        <v>-1.0591715976331362</v>
      </c>
      <c r="G489" s="119">
        <f t="shared" si="145"/>
        <v>0.22766938462639055</v>
      </c>
      <c r="H489" s="125">
        <f t="shared" si="152"/>
        <v>44839</v>
      </c>
      <c r="I489" s="82">
        <f t="shared" si="140"/>
        <v>0.57072248053401331</v>
      </c>
      <c r="J489" s="126">
        <f t="shared" si="146"/>
        <v>5204888.7237014724</v>
      </c>
      <c r="K489" s="139">
        <f t="shared" si="141"/>
        <v>0</v>
      </c>
      <c r="L489" s="83">
        <f t="shared" si="139"/>
        <v>5204888.7237014724</v>
      </c>
      <c r="M489" s="80">
        <f t="shared" si="147"/>
        <v>328</v>
      </c>
      <c r="N489" s="157">
        <f t="shared" si="155"/>
        <v>0</v>
      </c>
      <c r="O489" s="140">
        <f t="shared" si="142"/>
        <v>0</v>
      </c>
      <c r="P489" s="149">
        <v>0</v>
      </c>
      <c r="Q489" s="163">
        <f t="shared" si="148"/>
        <v>328</v>
      </c>
      <c r="R489" s="150">
        <f t="shared" si="143"/>
        <v>0</v>
      </c>
      <c r="S489" s="164">
        <f t="shared" si="136"/>
        <v>9119824.2599999998</v>
      </c>
    </row>
    <row r="490" spans="1:19" x14ac:dyDescent="0.25">
      <c r="A490" s="80" t="str">
        <f t="shared" si="153"/>
        <v>Thu</v>
      </c>
      <c r="B490" s="147">
        <f>IF(SUMIFS(CashFlow!$C$16:$C$40,CashFlow!$D$16:$D$40,CashFlowCalcs!$E490)&gt;0,SUMIFS(CashFlow!$C$16:$C$40,CashFlow!$D$16:$D$40,CashFlowCalcs!$E490),B489)</f>
        <v>16</v>
      </c>
      <c r="C490" s="147" t="str">
        <f t="shared" si="144"/>
        <v>N</v>
      </c>
      <c r="D490" s="80">
        <f t="shared" si="149"/>
        <v>329</v>
      </c>
      <c r="E490" s="81">
        <f t="shared" si="154"/>
        <v>44840</v>
      </c>
      <c r="F490" s="80">
        <f t="shared" si="151"/>
        <v>-1.0532544378698225</v>
      </c>
      <c r="G490" s="119">
        <f t="shared" si="145"/>
        <v>0.22909672409314538</v>
      </c>
      <c r="H490" s="125">
        <f t="shared" si="152"/>
        <v>44840</v>
      </c>
      <c r="I490" s="82">
        <f t="shared" si="140"/>
        <v>0.57430054054575885</v>
      </c>
      <c r="J490" s="126">
        <f t="shared" si="146"/>
        <v>5237520.002200325</v>
      </c>
      <c r="K490" s="139">
        <f t="shared" si="141"/>
        <v>0</v>
      </c>
      <c r="L490" s="83">
        <f t="shared" si="139"/>
        <v>5237520.002200325</v>
      </c>
      <c r="M490" s="80">
        <f t="shared" si="147"/>
        <v>329</v>
      </c>
      <c r="N490" s="157">
        <f t="shared" si="155"/>
        <v>0</v>
      </c>
      <c r="O490" s="140">
        <f t="shared" si="142"/>
        <v>0</v>
      </c>
      <c r="P490" s="149">
        <v>0</v>
      </c>
      <c r="Q490" s="163">
        <f t="shared" si="148"/>
        <v>329</v>
      </c>
      <c r="R490" s="150">
        <f t="shared" si="143"/>
        <v>0</v>
      </c>
      <c r="S490" s="164">
        <f t="shared" si="136"/>
        <v>9119824.2599999998</v>
      </c>
    </row>
    <row r="491" spans="1:19" x14ac:dyDescent="0.25">
      <c r="A491" s="80" t="str">
        <f t="shared" si="153"/>
        <v>Fri</v>
      </c>
      <c r="B491" s="147">
        <f>IF(SUMIFS(CashFlow!$C$16:$C$40,CashFlow!$D$16:$D$40,CashFlowCalcs!$E491)&gt;0,SUMIFS(CashFlow!$C$16:$C$40,CashFlow!$D$16:$D$40,CashFlowCalcs!$E491),B490)</f>
        <v>16</v>
      </c>
      <c r="C491" s="147" t="str">
        <f t="shared" si="144"/>
        <v>N</v>
      </c>
      <c r="D491" s="80">
        <f t="shared" si="149"/>
        <v>330</v>
      </c>
      <c r="E491" s="81">
        <f t="shared" si="154"/>
        <v>44841</v>
      </c>
      <c r="F491" s="80">
        <f t="shared" si="151"/>
        <v>-1.0473372781065089</v>
      </c>
      <c r="G491" s="119">
        <f t="shared" si="145"/>
        <v>0.23052494059290465</v>
      </c>
      <c r="H491" s="125">
        <f t="shared" si="152"/>
        <v>44841</v>
      </c>
      <c r="I491" s="82">
        <f t="shared" si="140"/>
        <v>0.57788079910718049</v>
      </c>
      <c r="J491" s="126">
        <f t="shared" si="146"/>
        <v>5270171.3310858505</v>
      </c>
      <c r="K491" s="139">
        <f t="shared" si="141"/>
        <v>0</v>
      </c>
      <c r="L491" s="83">
        <f t="shared" si="139"/>
        <v>5270171.3310858505</v>
      </c>
      <c r="M491" s="80">
        <f t="shared" si="147"/>
        <v>330</v>
      </c>
      <c r="N491" s="157">
        <f t="shared" si="155"/>
        <v>0</v>
      </c>
      <c r="O491" s="140">
        <f t="shared" si="142"/>
        <v>0</v>
      </c>
      <c r="P491" s="149">
        <v>0</v>
      </c>
      <c r="Q491" s="163">
        <f t="shared" si="148"/>
        <v>330</v>
      </c>
      <c r="R491" s="150">
        <f t="shared" si="143"/>
        <v>0</v>
      </c>
      <c r="S491" s="164">
        <f t="shared" si="136"/>
        <v>9119824.2599999998</v>
      </c>
    </row>
    <row r="492" spans="1:19" x14ac:dyDescent="0.25">
      <c r="A492" s="80" t="str">
        <f t="shared" si="153"/>
        <v>Sat</v>
      </c>
      <c r="B492" s="147">
        <f>IF(SUMIFS(CashFlow!$C$16:$C$40,CashFlow!$D$16:$D$40,CashFlowCalcs!$E492)&gt;0,SUMIFS(CashFlow!$C$16:$C$40,CashFlow!$D$16:$D$40,CashFlowCalcs!$E492),B491)</f>
        <v>16</v>
      </c>
      <c r="C492" s="147" t="str">
        <f t="shared" si="144"/>
        <v>Y</v>
      </c>
      <c r="D492" s="80">
        <f t="shared" si="149"/>
        <v>330</v>
      </c>
      <c r="E492" s="81">
        <f t="shared" si="154"/>
        <v>44842</v>
      </c>
      <c r="F492" s="80">
        <f t="shared" si="151"/>
        <v>-1.0473372781065089</v>
      </c>
      <c r="G492" s="119">
        <f t="shared" si="145"/>
        <v>0.23052494059290465</v>
      </c>
      <c r="H492" s="125">
        <f t="shared" si="152"/>
        <v>44842</v>
      </c>
      <c r="I492" s="82">
        <f t="shared" si="140"/>
        <v>0.57788079910718049</v>
      </c>
      <c r="J492" s="126">
        <f t="shared" si="146"/>
        <v>5270171.3310858505</v>
      </c>
      <c r="K492" s="139">
        <f t="shared" si="141"/>
        <v>0</v>
      </c>
      <c r="L492" s="83">
        <f t="shared" si="139"/>
        <v>5270171.3310858505</v>
      </c>
      <c r="M492" s="80">
        <f t="shared" si="147"/>
        <v>330</v>
      </c>
      <c r="N492" s="157">
        <f t="shared" si="155"/>
        <v>0</v>
      </c>
      <c r="O492" s="140">
        <f t="shared" si="142"/>
        <v>0</v>
      </c>
      <c r="P492" s="149">
        <v>0</v>
      </c>
      <c r="Q492" s="163">
        <f t="shared" si="148"/>
        <v>330</v>
      </c>
      <c r="R492" s="150">
        <f t="shared" si="143"/>
        <v>0</v>
      </c>
      <c r="S492" s="164">
        <f t="shared" si="136"/>
        <v>9119824.2599999998</v>
      </c>
    </row>
    <row r="493" spans="1:19" x14ac:dyDescent="0.25">
      <c r="A493" s="80" t="str">
        <f t="shared" si="153"/>
        <v>Sun</v>
      </c>
      <c r="B493" s="147">
        <f>IF(SUMIFS(CashFlow!$C$16:$C$40,CashFlow!$D$16:$D$40,CashFlowCalcs!$E493)&gt;0,SUMIFS(CashFlow!$C$16:$C$40,CashFlow!$D$16:$D$40,CashFlowCalcs!$E493),B492)</f>
        <v>16</v>
      </c>
      <c r="C493" s="147" t="str">
        <f t="shared" si="144"/>
        <v>Y</v>
      </c>
      <c r="D493" s="80">
        <f t="shared" si="149"/>
        <v>330</v>
      </c>
      <c r="E493" s="81">
        <f t="shared" si="154"/>
        <v>44843</v>
      </c>
      <c r="F493" s="80">
        <f t="shared" si="151"/>
        <v>-1.0473372781065089</v>
      </c>
      <c r="G493" s="119">
        <f t="shared" si="145"/>
        <v>0.23052494059290465</v>
      </c>
      <c r="H493" s="125">
        <f t="shared" si="152"/>
        <v>44843</v>
      </c>
      <c r="I493" s="82">
        <f t="shared" si="140"/>
        <v>0.57788079910718049</v>
      </c>
      <c r="J493" s="126">
        <f t="shared" si="146"/>
        <v>5270171.3310858505</v>
      </c>
      <c r="K493" s="139">
        <f t="shared" si="141"/>
        <v>0</v>
      </c>
      <c r="L493" s="83">
        <f t="shared" si="139"/>
        <v>5270171.3310858505</v>
      </c>
      <c r="M493" s="80">
        <f t="shared" si="147"/>
        <v>330</v>
      </c>
      <c r="N493" s="157">
        <f t="shared" si="155"/>
        <v>0</v>
      </c>
      <c r="O493" s="140">
        <f t="shared" si="142"/>
        <v>0</v>
      </c>
      <c r="P493" s="149">
        <v>0</v>
      </c>
      <c r="Q493" s="163">
        <f t="shared" si="148"/>
        <v>330</v>
      </c>
      <c r="R493" s="150">
        <f t="shared" si="143"/>
        <v>0</v>
      </c>
      <c r="S493" s="164">
        <f t="shared" si="136"/>
        <v>9119824.2599999998</v>
      </c>
    </row>
    <row r="494" spans="1:19" x14ac:dyDescent="0.25">
      <c r="A494" s="80" t="str">
        <f t="shared" si="153"/>
        <v>Mon</v>
      </c>
      <c r="B494" s="147">
        <f>IF(SUMIFS(CashFlow!$C$16:$C$40,CashFlow!$D$16:$D$40,CashFlowCalcs!$E494)&gt;0,SUMIFS(CashFlow!$C$16:$C$40,CashFlow!$D$16:$D$40,CashFlowCalcs!$E494),B493)</f>
        <v>16</v>
      </c>
      <c r="C494" s="147" t="str">
        <f t="shared" si="144"/>
        <v>N</v>
      </c>
      <c r="D494" s="80">
        <f t="shared" si="149"/>
        <v>331</v>
      </c>
      <c r="E494" s="81">
        <f t="shared" si="154"/>
        <v>44844</v>
      </c>
      <c r="F494" s="80">
        <f t="shared" si="151"/>
        <v>-1.0414201183431953</v>
      </c>
      <c r="G494" s="119">
        <f t="shared" si="145"/>
        <v>0.23195393927155211</v>
      </c>
      <c r="H494" s="125">
        <f t="shared" si="152"/>
        <v>44844</v>
      </c>
      <c r="I494" s="82">
        <f t="shared" si="140"/>
        <v>0.58146301843761816</v>
      </c>
      <c r="J494" s="126">
        <f t="shared" si="146"/>
        <v>5302840.5418402171</v>
      </c>
      <c r="K494" s="139">
        <f t="shared" si="141"/>
        <v>0</v>
      </c>
      <c r="L494" s="83">
        <f t="shared" si="139"/>
        <v>5302840.5418402171</v>
      </c>
      <c r="M494" s="80">
        <f t="shared" si="147"/>
        <v>331</v>
      </c>
      <c r="N494" s="157">
        <f t="shared" si="155"/>
        <v>0</v>
      </c>
      <c r="O494" s="140">
        <f t="shared" si="142"/>
        <v>0</v>
      </c>
      <c r="P494" s="149">
        <v>0</v>
      </c>
      <c r="Q494" s="163">
        <f t="shared" si="148"/>
        <v>331</v>
      </c>
      <c r="R494" s="150">
        <f t="shared" si="143"/>
        <v>0</v>
      </c>
      <c r="S494" s="164">
        <f t="shared" si="136"/>
        <v>9119824.2599999998</v>
      </c>
    </row>
    <row r="495" spans="1:19" x14ac:dyDescent="0.25">
      <c r="A495" s="80" t="str">
        <f t="shared" si="153"/>
        <v>Tues</v>
      </c>
      <c r="B495" s="147">
        <f>IF(SUMIFS(CashFlow!$C$16:$C$40,CashFlow!$D$16:$D$40,CashFlowCalcs!$E495)&gt;0,SUMIFS(CashFlow!$C$16:$C$40,CashFlow!$D$16:$D$40,CashFlowCalcs!$E495),B494)</f>
        <v>16</v>
      </c>
      <c r="C495" s="147" t="str">
        <f t="shared" si="144"/>
        <v>N</v>
      </c>
      <c r="D495" s="80">
        <f t="shared" si="149"/>
        <v>332</v>
      </c>
      <c r="E495" s="81">
        <f t="shared" si="154"/>
        <v>44845</v>
      </c>
      <c r="F495" s="80">
        <f t="shared" si="151"/>
        <v>-1.0355029585798816</v>
      </c>
      <c r="G495" s="119">
        <f t="shared" si="145"/>
        <v>0.23338362460290354</v>
      </c>
      <c r="H495" s="125">
        <f t="shared" si="152"/>
        <v>44845</v>
      </c>
      <c r="I495" s="82">
        <f t="shared" si="140"/>
        <v>0.58504695907166948</v>
      </c>
      <c r="J495" s="126">
        <f t="shared" si="146"/>
        <v>5335525.4505810384</v>
      </c>
      <c r="K495" s="139">
        <f t="shared" si="141"/>
        <v>0</v>
      </c>
      <c r="L495" s="83">
        <f t="shared" si="139"/>
        <v>5335525.4505810384</v>
      </c>
      <c r="M495" s="80">
        <f t="shared" si="147"/>
        <v>332</v>
      </c>
      <c r="N495" s="157">
        <f t="shared" si="155"/>
        <v>0</v>
      </c>
      <c r="O495" s="140">
        <f t="shared" si="142"/>
        <v>0</v>
      </c>
      <c r="P495" s="149">
        <v>0</v>
      </c>
      <c r="Q495" s="163">
        <f t="shared" si="148"/>
        <v>332</v>
      </c>
      <c r="R495" s="150">
        <f t="shared" si="143"/>
        <v>0</v>
      </c>
      <c r="S495" s="164">
        <f t="shared" si="136"/>
        <v>9119824.2599999998</v>
      </c>
    </row>
    <row r="496" spans="1:19" x14ac:dyDescent="0.25">
      <c r="A496" s="80" t="str">
        <f t="shared" si="153"/>
        <v>Wed</v>
      </c>
      <c r="B496" s="147">
        <f>IF(SUMIFS(CashFlow!$C$16:$C$40,CashFlow!$D$16:$D$40,CashFlowCalcs!$E496)&gt;0,SUMIFS(CashFlow!$C$16:$C$40,CashFlow!$D$16:$D$40,CashFlowCalcs!$E496),B495)</f>
        <v>16</v>
      </c>
      <c r="C496" s="147" t="str">
        <f t="shared" si="144"/>
        <v>N</v>
      </c>
      <c r="D496" s="80">
        <f t="shared" si="149"/>
        <v>333</v>
      </c>
      <c r="E496" s="81">
        <f t="shared" si="154"/>
        <v>44846</v>
      </c>
      <c r="F496" s="80">
        <f t="shared" si="151"/>
        <v>-1.029585798816568</v>
      </c>
      <c r="G496" s="119">
        <f t="shared" si="145"/>
        <v>0.2348139003979601</v>
      </c>
      <c r="H496" s="125">
        <f t="shared" si="152"/>
        <v>44846</v>
      </c>
      <c r="I496" s="82">
        <f t="shared" si="140"/>
        <v>0.58863237988238581</v>
      </c>
      <c r="J496" s="126">
        <f t="shared" si="146"/>
        <v>5368223.8582729176</v>
      </c>
      <c r="K496" s="139">
        <f t="shared" si="141"/>
        <v>0</v>
      </c>
      <c r="L496" s="83">
        <f t="shared" si="139"/>
        <v>5368223.8582729176</v>
      </c>
      <c r="M496" s="80">
        <f t="shared" si="147"/>
        <v>333</v>
      </c>
      <c r="N496" s="157">
        <f t="shared" si="155"/>
        <v>0</v>
      </c>
      <c r="O496" s="140">
        <f t="shared" si="142"/>
        <v>0</v>
      </c>
      <c r="P496" s="149">
        <v>0</v>
      </c>
      <c r="Q496" s="163">
        <f t="shared" si="148"/>
        <v>333</v>
      </c>
      <c r="R496" s="150">
        <f t="shared" si="143"/>
        <v>0</v>
      </c>
      <c r="S496" s="164">
        <f t="shared" si="136"/>
        <v>9119824.2599999998</v>
      </c>
    </row>
    <row r="497" spans="1:19" x14ac:dyDescent="0.25">
      <c r="A497" s="80" t="str">
        <f t="shared" si="153"/>
        <v>Thu</v>
      </c>
      <c r="B497" s="147">
        <f>IF(SUMIFS(CashFlow!$C$16:$C$40,CashFlow!$D$16:$D$40,CashFlowCalcs!$E497)&gt;0,SUMIFS(CashFlow!$C$16:$C$40,CashFlow!$D$16:$D$40,CashFlowCalcs!$E497),B496)</f>
        <v>16</v>
      </c>
      <c r="C497" s="147" t="str">
        <f t="shared" si="144"/>
        <v>N</v>
      </c>
      <c r="D497" s="80">
        <f t="shared" si="149"/>
        <v>334</v>
      </c>
      <c r="E497" s="81">
        <f t="shared" si="154"/>
        <v>44847</v>
      </c>
      <c r="F497" s="80">
        <f t="shared" si="151"/>
        <v>-1.0236686390532543</v>
      </c>
      <c r="G497" s="119">
        <f t="shared" si="145"/>
        <v>0.23624466981433573</v>
      </c>
      <c r="H497" s="125">
        <f t="shared" si="152"/>
        <v>44847</v>
      </c>
      <c r="I497" s="82">
        <f t="shared" si="140"/>
        <v>0.59221903810490484</v>
      </c>
      <c r="J497" s="126">
        <f t="shared" si="146"/>
        <v>5400933.5509429751</v>
      </c>
      <c r="K497" s="139">
        <f t="shared" si="141"/>
        <v>0</v>
      </c>
      <c r="L497" s="83">
        <f t="shared" si="139"/>
        <v>5400933.5509429751</v>
      </c>
      <c r="M497" s="80">
        <f t="shared" si="147"/>
        <v>334</v>
      </c>
      <c r="N497" s="157">
        <f t="shared" si="155"/>
        <v>0</v>
      </c>
      <c r="O497" s="140">
        <f t="shared" si="142"/>
        <v>0</v>
      </c>
      <c r="P497" s="149">
        <v>0</v>
      </c>
      <c r="Q497" s="163">
        <f t="shared" si="148"/>
        <v>334</v>
      </c>
      <c r="R497" s="150">
        <f t="shared" si="143"/>
        <v>0</v>
      </c>
      <c r="S497" s="164">
        <f t="shared" si="136"/>
        <v>9119824.2599999998</v>
      </c>
    </row>
    <row r="498" spans="1:19" x14ac:dyDescent="0.25">
      <c r="A498" s="80" t="str">
        <f t="shared" si="153"/>
        <v>Fri</v>
      </c>
      <c r="B498" s="147">
        <f>IF(SUMIFS(CashFlow!$C$16:$C$40,CashFlow!$D$16:$D$40,CashFlowCalcs!$E498)&gt;0,SUMIFS(CashFlow!$C$16:$C$40,CashFlow!$D$16:$D$40,CashFlowCalcs!$E498),B497)</f>
        <v>16</v>
      </c>
      <c r="C498" s="147" t="str">
        <f t="shared" si="144"/>
        <v>N</v>
      </c>
      <c r="D498" s="80">
        <f t="shared" si="149"/>
        <v>335</v>
      </c>
      <c r="E498" s="81">
        <f t="shared" si="154"/>
        <v>44848</v>
      </c>
      <c r="F498" s="80">
        <f t="shared" si="151"/>
        <v>-1.0177514792899407</v>
      </c>
      <c r="G498" s="119">
        <f t="shared" si="145"/>
        <v>0.23767583536585696</v>
      </c>
      <c r="H498" s="125">
        <f t="shared" si="152"/>
        <v>44848</v>
      </c>
      <c r="I498" s="82">
        <f t="shared" si="140"/>
        <v>0.59580668936051573</v>
      </c>
      <c r="J498" s="126">
        <f t="shared" si="146"/>
        <v>5433652.2999003148</v>
      </c>
      <c r="K498" s="139">
        <f t="shared" si="141"/>
        <v>0</v>
      </c>
      <c r="L498" s="83">
        <f t="shared" si="139"/>
        <v>5433652.2999003148</v>
      </c>
      <c r="M498" s="80">
        <f t="shared" si="147"/>
        <v>335</v>
      </c>
      <c r="N498" s="157">
        <f t="shared" si="155"/>
        <v>0</v>
      </c>
      <c r="O498" s="140">
        <f t="shared" si="142"/>
        <v>0</v>
      </c>
      <c r="P498" s="149">
        <v>0</v>
      </c>
      <c r="Q498" s="163">
        <f t="shared" si="148"/>
        <v>335</v>
      </c>
      <c r="R498" s="150">
        <f t="shared" si="143"/>
        <v>0</v>
      </c>
      <c r="S498" s="164">
        <f t="shared" si="136"/>
        <v>9119824.2599999998</v>
      </c>
    </row>
    <row r="499" spans="1:19" x14ac:dyDescent="0.25">
      <c r="A499" s="80" t="str">
        <f t="shared" si="153"/>
        <v>Sat</v>
      </c>
      <c r="B499" s="147">
        <f>IF(SUMIFS(CashFlow!$C$16:$C$40,CashFlow!$D$16:$D$40,CashFlowCalcs!$E499)&gt;0,SUMIFS(CashFlow!$C$16:$C$40,CashFlow!$D$16:$D$40,CashFlowCalcs!$E499),B498)</f>
        <v>16</v>
      </c>
      <c r="C499" s="147" t="str">
        <f t="shared" si="144"/>
        <v>Y</v>
      </c>
      <c r="D499" s="80">
        <f t="shared" si="149"/>
        <v>335</v>
      </c>
      <c r="E499" s="81">
        <f t="shared" si="154"/>
        <v>44849</v>
      </c>
      <c r="F499" s="80">
        <f t="shared" si="151"/>
        <v>-1.0177514792899407</v>
      </c>
      <c r="G499" s="119">
        <f t="shared" si="145"/>
        <v>0.23767583536585696</v>
      </c>
      <c r="H499" s="125">
        <f t="shared" si="152"/>
        <v>44849</v>
      </c>
      <c r="I499" s="82">
        <f t="shared" si="140"/>
        <v>0.59580668936051573</v>
      </c>
      <c r="J499" s="126">
        <f t="shared" si="146"/>
        <v>5433652.2999003148</v>
      </c>
      <c r="K499" s="139">
        <f t="shared" si="141"/>
        <v>0</v>
      </c>
      <c r="L499" s="83">
        <f t="shared" si="139"/>
        <v>5433652.2999003148</v>
      </c>
      <c r="M499" s="80">
        <f t="shared" si="147"/>
        <v>335</v>
      </c>
      <c r="N499" s="157">
        <f t="shared" si="155"/>
        <v>0</v>
      </c>
      <c r="O499" s="140">
        <f t="shared" si="142"/>
        <v>0</v>
      </c>
      <c r="P499" s="149">
        <v>0</v>
      </c>
      <c r="Q499" s="163">
        <f t="shared" si="148"/>
        <v>335</v>
      </c>
      <c r="R499" s="150">
        <f t="shared" si="143"/>
        <v>0</v>
      </c>
      <c r="S499" s="164">
        <f t="shared" ref="S499:S562" si="156">(1-(IF(AND(R499=1,D498&lt;$I$2),(1-I498)/(1-VLOOKUP($K$6,$D$17:$I$750,6)),0)))*$M$8</f>
        <v>9119824.2599999998</v>
      </c>
    </row>
    <row r="500" spans="1:19" x14ac:dyDescent="0.25">
      <c r="A500" s="80" t="str">
        <f t="shared" si="153"/>
        <v>Sun</v>
      </c>
      <c r="B500" s="147">
        <f>IF(SUMIFS(CashFlow!$C$16:$C$40,CashFlow!$D$16:$D$40,CashFlowCalcs!$E500)&gt;0,SUMIFS(CashFlow!$C$16:$C$40,CashFlow!$D$16:$D$40,CashFlowCalcs!$E500),B499)</f>
        <v>16</v>
      </c>
      <c r="C500" s="147" t="str">
        <f t="shared" si="144"/>
        <v>Y</v>
      </c>
      <c r="D500" s="80">
        <f t="shared" si="149"/>
        <v>335</v>
      </c>
      <c r="E500" s="81">
        <f t="shared" ref="E500:E515" si="157">E499+1</f>
        <v>44850</v>
      </c>
      <c r="F500" s="80">
        <f t="shared" si="151"/>
        <v>-1.0177514792899407</v>
      </c>
      <c r="G500" s="119">
        <f t="shared" si="145"/>
        <v>0.23767583536585696</v>
      </c>
      <c r="H500" s="125">
        <f t="shared" si="152"/>
        <v>44850</v>
      </c>
      <c r="I500" s="82">
        <f t="shared" si="140"/>
        <v>0.59580668936051573</v>
      </c>
      <c r="J500" s="126">
        <f t="shared" si="146"/>
        <v>5433652.2999003148</v>
      </c>
      <c r="K500" s="139">
        <f t="shared" si="141"/>
        <v>0</v>
      </c>
      <c r="L500" s="83">
        <f t="shared" si="139"/>
        <v>5433652.2999003148</v>
      </c>
      <c r="M500" s="80">
        <f t="shared" si="147"/>
        <v>335</v>
      </c>
      <c r="N500" s="157">
        <f t="shared" si="155"/>
        <v>0</v>
      </c>
      <c r="O500" s="140">
        <f t="shared" si="142"/>
        <v>0</v>
      </c>
      <c r="P500" s="149">
        <v>0</v>
      </c>
      <c r="Q500" s="163">
        <f t="shared" si="148"/>
        <v>335</v>
      </c>
      <c r="R500" s="150">
        <f t="shared" si="143"/>
        <v>0</v>
      </c>
      <c r="S500" s="164">
        <f t="shared" si="156"/>
        <v>9119824.2599999998</v>
      </c>
    </row>
    <row r="501" spans="1:19" x14ac:dyDescent="0.25">
      <c r="A501" s="80" t="str">
        <f t="shared" si="153"/>
        <v>Mon</v>
      </c>
      <c r="B501" s="147">
        <f>IF(SUMIFS(CashFlow!$C$16:$C$40,CashFlow!$D$16:$D$40,CashFlowCalcs!$E501)&gt;0,SUMIFS(CashFlow!$C$16:$C$40,CashFlow!$D$16:$D$40,CashFlowCalcs!$E501),B500)</f>
        <v>16</v>
      </c>
      <c r="C501" s="147" t="str">
        <f t="shared" si="144"/>
        <v>N</v>
      </c>
      <c r="D501" s="80">
        <f t="shared" si="149"/>
        <v>336</v>
      </c>
      <c r="E501" s="81">
        <f t="shared" si="157"/>
        <v>44851</v>
      </c>
      <c r="F501" s="80">
        <f t="shared" si="151"/>
        <v>-1.0118343195266271</v>
      </c>
      <c r="G501" s="119">
        <f t="shared" si="145"/>
        <v>0.23910729893233434</v>
      </c>
      <c r="H501" s="125">
        <f t="shared" si="152"/>
        <v>44851</v>
      </c>
      <c r="I501" s="82">
        <f t="shared" si="140"/>
        <v>0.59939508768115379</v>
      </c>
      <c r="J501" s="126">
        <f t="shared" si="146"/>
        <v>5466377.8619594136</v>
      </c>
      <c r="K501" s="139">
        <f t="shared" si="141"/>
        <v>0</v>
      </c>
      <c r="L501" s="83">
        <f t="shared" si="139"/>
        <v>5466377.8619594136</v>
      </c>
      <c r="M501" s="80">
        <f t="shared" si="147"/>
        <v>336</v>
      </c>
      <c r="N501" s="157">
        <f t="shared" si="155"/>
        <v>0</v>
      </c>
      <c r="O501" s="140">
        <f t="shared" si="142"/>
        <v>0</v>
      </c>
      <c r="P501" s="149">
        <v>0</v>
      </c>
      <c r="Q501" s="163">
        <f t="shared" si="148"/>
        <v>336</v>
      </c>
      <c r="R501" s="150">
        <f t="shared" si="143"/>
        <v>0</v>
      </c>
      <c r="S501" s="164">
        <f t="shared" si="156"/>
        <v>9119824.2599999998</v>
      </c>
    </row>
    <row r="502" spans="1:19" x14ac:dyDescent="0.25">
      <c r="A502" s="80" t="str">
        <f t="shared" si="153"/>
        <v>Tues</v>
      </c>
      <c r="B502" s="147">
        <f>IF(SUMIFS(CashFlow!$C$16:$C$40,CashFlow!$D$16:$D$40,CashFlowCalcs!$E502)&gt;0,SUMIFS(CashFlow!$C$16:$C$40,CashFlow!$D$16:$D$40,CashFlowCalcs!$E502),B501)</f>
        <v>16</v>
      </c>
      <c r="C502" s="147" t="str">
        <f t="shared" si="144"/>
        <v>N</v>
      </c>
      <c r="D502" s="80">
        <f t="shared" si="149"/>
        <v>337</v>
      </c>
      <c r="E502" s="81">
        <f t="shared" si="157"/>
        <v>44852</v>
      </c>
      <c r="F502" s="80">
        <f t="shared" si="151"/>
        <v>-1.0059171597633139</v>
      </c>
      <c r="G502" s="119">
        <f t="shared" si="145"/>
        <v>0.24053896176950468</v>
      </c>
      <c r="H502" s="125">
        <f t="shared" si="152"/>
        <v>44852</v>
      </c>
      <c r="I502" s="82">
        <f t="shared" si="140"/>
        <v>0.60298398553432386</v>
      </c>
      <c r="J502" s="126">
        <f t="shared" si="146"/>
        <v>5499107.9796674158</v>
      </c>
      <c r="K502" s="139">
        <f t="shared" si="141"/>
        <v>0</v>
      </c>
      <c r="L502" s="83">
        <f t="shared" si="139"/>
        <v>5499107.9796674158</v>
      </c>
      <c r="M502" s="80">
        <f t="shared" si="147"/>
        <v>337</v>
      </c>
      <c r="N502" s="157">
        <f t="shared" si="155"/>
        <v>0</v>
      </c>
      <c r="O502" s="140">
        <f t="shared" si="142"/>
        <v>0</v>
      </c>
      <c r="P502" s="149">
        <v>0</v>
      </c>
      <c r="Q502" s="163">
        <f t="shared" si="148"/>
        <v>337</v>
      </c>
      <c r="R502" s="150">
        <f t="shared" si="143"/>
        <v>0</v>
      </c>
      <c r="S502" s="164">
        <f t="shared" si="156"/>
        <v>9119824.2599999998</v>
      </c>
    </row>
    <row r="503" spans="1:19" x14ac:dyDescent="0.25">
      <c r="A503" s="80" t="str">
        <f t="shared" si="153"/>
        <v>Wed</v>
      </c>
      <c r="B503" s="147">
        <f>IF(SUMIFS(CashFlow!$C$16:$C$40,CashFlow!$D$16:$D$40,CashFlowCalcs!$E503)&gt;0,SUMIFS(CashFlow!$C$16:$C$40,CashFlow!$D$16:$D$40,CashFlowCalcs!$E503),B502)</f>
        <v>16</v>
      </c>
      <c r="C503" s="147" t="str">
        <f t="shared" si="144"/>
        <v>N</v>
      </c>
      <c r="D503" s="80">
        <f t="shared" si="149"/>
        <v>338</v>
      </c>
      <c r="E503" s="81">
        <f t="shared" si="157"/>
        <v>44853</v>
      </c>
      <c r="F503" s="80">
        <f t="shared" si="151"/>
        <v>-1</v>
      </c>
      <c r="G503" s="119">
        <f t="shared" si="145"/>
        <v>0.24197072451914337</v>
      </c>
      <c r="H503" s="125">
        <f t="shared" si="152"/>
        <v>44853</v>
      </c>
      <c r="I503" s="82">
        <f t="shared" si="140"/>
        <v>0.60657313384845024</v>
      </c>
      <c r="J503" s="126">
        <f t="shared" si="146"/>
        <v>5531840.3815353233</v>
      </c>
      <c r="K503" s="139">
        <f t="shared" si="141"/>
        <v>0</v>
      </c>
      <c r="L503" s="83">
        <f t="shared" si="139"/>
        <v>5531840.3815353233</v>
      </c>
      <c r="M503" s="80">
        <f t="shared" si="147"/>
        <v>338</v>
      </c>
      <c r="N503" s="157">
        <f t="shared" si="155"/>
        <v>0</v>
      </c>
      <c r="O503" s="140">
        <f t="shared" si="142"/>
        <v>0</v>
      </c>
      <c r="P503" s="149">
        <v>0</v>
      </c>
      <c r="Q503" s="163">
        <f t="shared" si="148"/>
        <v>338</v>
      </c>
      <c r="R503" s="150">
        <f t="shared" si="143"/>
        <v>0</v>
      </c>
      <c r="S503" s="164">
        <f t="shared" si="156"/>
        <v>9119824.2599999998</v>
      </c>
    </row>
    <row r="504" spans="1:19" x14ac:dyDescent="0.25">
      <c r="A504" s="80" t="str">
        <f t="shared" si="153"/>
        <v>Thu</v>
      </c>
      <c r="B504" s="147">
        <f>IF(SUMIFS(CashFlow!$C$16:$C$40,CashFlow!$D$16:$D$40,CashFlowCalcs!$E504)&gt;0,SUMIFS(CashFlow!$C$16:$C$40,CashFlow!$D$16:$D$40,CashFlowCalcs!$E504),B503)</f>
        <v>16</v>
      </c>
      <c r="C504" s="147" t="str">
        <f t="shared" si="144"/>
        <v>N</v>
      </c>
      <c r="D504" s="80">
        <f t="shared" si="149"/>
        <v>339</v>
      </c>
      <c r="E504" s="81">
        <f t="shared" si="157"/>
        <v>44854</v>
      </c>
      <c r="F504" s="80">
        <f t="shared" si="151"/>
        <v>-0.99408284023668658</v>
      </c>
      <c r="G504" s="119">
        <f t="shared" si="145"/>
        <v>0.24340248721934399</v>
      </c>
      <c r="H504" s="125">
        <f t="shared" si="152"/>
        <v>44854</v>
      </c>
      <c r="I504" s="82">
        <f t="shared" si="140"/>
        <v>0.61016228203864509</v>
      </c>
      <c r="J504" s="126">
        <f t="shared" si="146"/>
        <v>5564572.7822729973</v>
      </c>
      <c r="K504" s="139">
        <f t="shared" si="141"/>
        <v>0</v>
      </c>
      <c r="L504" s="83">
        <f t="shared" si="139"/>
        <v>5564572.7822729973</v>
      </c>
      <c r="M504" s="80">
        <f t="shared" si="147"/>
        <v>339</v>
      </c>
      <c r="N504" s="157">
        <f t="shared" si="155"/>
        <v>0</v>
      </c>
      <c r="O504" s="140">
        <f t="shared" si="142"/>
        <v>0</v>
      </c>
      <c r="P504" s="149">
        <v>0</v>
      </c>
      <c r="Q504" s="163">
        <f t="shared" si="148"/>
        <v>339</v>
      </c>
      <c r="R504" s="150">
        <f t="shared" si="143"/>
        <v>0</v>
      </c>
      <c r="S504" s="164">
        <f t="shared" si="156"/>
        <v>9119824.2599999998</v>
      </c>
    </row>
    <row r="505" spans="1:19" x14ac:dyDescent="0.25">
      <c r="A505" s="80" t="str">
        <f t="shared" si="153"/>
        <v>Fri</v>
      </c>
      <c r="B505" s="147">
        <f>IF(SUMIFS(CashFlow!$C$16:$C$40,CashFlow!$D$16:$D$40,CashFlowCalcs!$E505)&gt;0,SUMIFS(CashFlow!$C$16:$C$40,CashFlow!$D$16:$D$40,CashFlowCalcs!$E505),B504)</f>
        <v>16</v>
      </c>
      <c r="C505" s="147" t="str">
        <f t="shared" si="144"/>
        <v>N</v>
      </c>
      <c r="D505" s="80">
        <f t="shared" si="149"/>
        <v>340</v>
      </c>
      <c r="E505" s="81">
        <f t="shared" si="157"/>
        <v>44855</v>
      </c>
      <c r="F505" s="80">
        <f t="shared" si="151"/>
        <v>-0.98816568047337272</v>
      </c>
      <c r="G505" s="119">
        <f t="shared" si="145"/>
        <v>0.24483414931496694</v>
      </c>
      <c r="H505" s="125">
        <f t="shared" si="152"/>
        <v>44855</v>
      </c>
      <c r="I505" s="82">
        <f t="shared" si="140"/>
        <v>0.61375117803290136</v>
      </c>
      <c r="J505" s="126">
        <f t="shared" si="146"/>
        <v>5597302.8830280332</v>
      </c>
      <c r="K505" s="139">
        <f t="shared" si="141"/>
        <v>0</v>
      </c>
      <c r="L505" s="83">
        <f t="shared" si="139"/>
        <v>5597302.8830280332</v>
      </c>
      <c r="M505" s="80">
        <f t="shared" si="147"/>
        <v>340</v>
      </c>
      <c r="N505" s="157">
        <f t="shared" si="155"/>
        <v>0</v>
      </c>
      <c r="O505" s="140">
        <f t="shared" si="142"/>
        <v>0</v>
      </c>
      <c r="P505" s="149">
        <v>0</v>
      </c>
      <c r="Q505" s="163">
        <f t="shared" si="148"/>
        <v>340</v>
      </c>
      <c r="R505" s="150">
        <f t="shared" si="143"/>
        <v>0</v>
      </c>
      <c r="S505" s="164">
        <f t="shared" si="156"/>
        <v>9119824.2599999998</v>
      </c>
    </row>
    <row r="506" spans="1:19" x14ac:dyDescent="0.25">
      <c r="A506" s="80" t="str">
        <f t="shared" si="153"/>
        <v>Sat</v>
      </c>
      <c r="B506" s="147">
        <f>IF(SUMIFS(CashFlow!$C$16:$C$40,CashFlow!$D$16:$D$40,CashFlowCalcs!$E506)&gt;0,SUMIFS(CashFlow!$C$16:$C$40,CashFlow!$D$16:$D$40,CashFlowCalcs!$E506),B505)</f>
        <v>16</v>
      </c>
      <c r="C506" s="147" t="str">
        <f t="shared" si="144"/>
        <v>Y</v>
      </c>
      <c r="D506" s="80">
        <f t="shared" si="149"/>
        <v>340</v>
      </c>
      <c r="E506" s="81">
        <f t="shared" si="157"/>
        <v>44856</v>
      </c>
      <c r="F506" s="80">
        <f t="shared" si="151"/>
        <v>-0.98816568047337272</v>
      </c>
      <c r="G506" s="119">
        <f t="shared" si="145"/>
        <v>0.24483414931496694</v>
      </c>
      <c r="H506" s="125">
        <f t="shared" si="152"/>
        <v>44856</v>
      </c>
      <c r="I506" s="82">
        <f t="shared" si="140"/>
        <v>0.61375117803290136</v>
      </c>
      <c r="J506" s="126">
        <f t="shared" si="146"/>
        <v>5597302.8830280332</v>
      </c>
      <c r="K506" s="139">
        <f t="shared" si="141"/>
        <v>0</v>
      </c>
      <c r="L506" s="83">
        <f t="shared" si="139"/>
        <v>5597302.8830280332</v>
      </c>
      <c r="M506" s="80">
        <f t="shared" si="147"/>
        <v>340</v>
      </c>
      <c r="N506" s="157">
        <f t="shared" si="155"/>
        <v>0</v>
      </c>
      <c r="O506" s="140">
        <f t="shared" si="142"/>
        <v>0</v>
      </c>
      <c r="P506" s="149">
        <v>0</v>
      </c>
      <c r="Q506" s="163">
        <f t="shared" si="148"/>
        <v>340</v>
      </c>
      <c r="R506" s="150">
        <f t="shared" si="143"/>
        <v>0</v>
      </c>
      <c r="S506" s="164">
        <f t="shared" si="156"/>
        <v>9119824.2599999998</v>
      </c>
    </row>
    <row r="507" spans="1:19" x14ac:dyDescent="0.25">
      <c r="A507" s="80" t="str">
        <f t="shared" si="153"/>
        <v>Sun</v>
      </c>
      <c r="B507" s="147">
        <f>IF(SUMIFS(CashFlow!$C$16:$C$40,CashFlow!$D$16:$D$40,CashFlowCalcs!$E507)&gt;0,SUMIFS(CashFlow!$C$16:$C$40,CashFlow!$D$16:$D$40,CashFlowCalcs!$E507),B506)</f>
        <v>16</v>
      </c>
      <c r="C507" s="147" t="str">
        <f t="shared" si="144"/>
        <v>Y</v>
      </c>
      <c r="D507" s="80">
        <f t="shared" si="149"/>
        <v>340</v>
      </c>
      <c r="E507" s="81">
        <f t="shared" si="157"/>
        <v>44857</v>
      </c>
      <c r="F507" s="80">
        <f t="shared" si="151"/>
        <v>-0.98816568047337272</v>
      </c>
      <c r="G507" s="119">
        <f t="shared" si="145"/>
        <v>0.24483414931496694</v>
      </c>
      <c r="H507" s="125">
        <f t="shared" si="152"/>
        <v>44857</v>
      </c>
      <c r="I507" s="82">
        <f t="shared" si="140"/>
        <v>0.61375117803290136</v>
      </c>
      <c r="J507" s="126">
        <f t="shared" si="146"/>
        <v>5597302.8830280332</v>
      </c>
      <c r="K507" s="139">
        <f t="shared" si="141"/>
        <v>0</v>
      </c>
      <c r="L507" s="83">
        <f t="shared" si="139"/>
        <v>5597302.8830280332</v>
      </c>
      <c r="M507" s="80">
        <f t="shared" si="147"/>
        <v>340</v>
      </c>
      <c r="N507" s="157">
        <f t="shared" si="155"/>
        <v>0</v>
      </c>
      <c r="O507" s="140">
        <f t="shared" si="142"/>
        <v>0</v>
      </c>
      <c r="P507" s="149">
        <v>0</v>
      </c>
      <c r="Q507" s="163">
        <f t="shared" si="148"/>
        <v>340</v>
      </c>
      <c r="R507" s="150">
        <f t="shared" si="143"/>
        <v>0</v>
      </c>
      <c r="S507" s="164">
        <f t="shared" si="156"/>
        <v>9119824.2599999998</v>
      </c>
    </row>
    <row r="508" spans="1:19" x14ac:dyDescent="0.25">
      <c r="A508" s="80" t="str">
        <f t="shared" si="153"/>
        <v>Mon</v>
      </c>
      <c r="B508" s="147">
        <f>IF(SUMIFS(CashFlow!$C$16:$C$40,CashFlow!$D$16:$D$40,CashFlowCalcs!$E508)&gt;0,SUMIFS(CashFlow!$C$16:$C$40,CashFlow!$D$16:$D$40,CashFlowCalcs!$E508),B507)</f>
        <v>16</v>
      </c>
      <c r="C508" s="147" t="str">
        <f t="shared" si="144"/>
        <v>N</v>
      </c>
      <c r="D508" s="80">
        <f t="shared" si="149"/>
        <v>341</v>
      </c>
      <c r="E508" s="81">
        <f t="shared" si="157"/>
        <v>44858</v>
      </c>
      <c r="F508" s="80">
        <f t="shared" si="151"/>
        <v>-0.9822485207100593</v>
      </c>
      <c r="G508" s="119">
        <f t="shared" si="145"/>
        <v>0.24626560966825259</v>
      </c>
      <c r="H508" s="125">
        <f t="shared" si="152"/>
        <v>44858</v>
      </c>
      <c r="I508" s="82">
        <f t="shared" si="140"/>
        <v>0.61733956829869818</v>
      </c>
      <c r="J508" s="126">
        <f t="shared" si="146"/>
        <v>5630028.3716283944</v>
      </c>
      <c r="K508" s="139">
        <f t="shared" si="141"/>
        <v>0</v>
      </c>
      <c r="L508" s="83">
        <f t="shared" si="139"/>
        <v>5630028.3716283944</v>
      </c>
      <c r="M508" s="80">
        <f t="shared" si="147"/>
        <v>341</v>
      </c>
      <c r="N508" s="157">
        <f t="shared" si="155"/>
        <v>0</v>
      </c>
      <c r="O508" s="140">
        <f t="shared" si="142"/>
        <v>0</v>
      </c>
      <c r="P508" s="149">
        <v>0</v>
      </c>
      <c r="Q508" s="163">
        <f t="shared" si="148"/>
        <v>341</v>
      </c>
      <c r="R508" s="150">
        <f t="shared" si="143"/>
        <v>0</v>
      </c>
      <c r="S508" s="164">
        <f t="shared" si="156"/>
        <v>9119824.2599999998</v>
      </c>
    </row>
    <row r="509" spans="1:19" x14ac:dyDescent="0.25">
      <c r="A509" s="80" t="str">
        <f t="shared" si="153"/>
        <v>Tues</v>
      </c>
      <c r="B509" s="147">
        <f>IF(SUMIFS(CashFlow!$C$16:$C$40,CashFlow!$D$16:$D$40,CashFlowCalcs!$E509)&gt;0,SUMIFS(CashFlow!$C$16:$C$40,CashFlow!$D$16:$D$40,CashFlowCalcs!$E509),B508)</f>
        <v>16</v>
      </c>
      <c r="C509" s="147" t="str">
        <f t="shared" si="144"/>
        <v>N</v>
      </c>
      <c r="D509" s="80">
        <f t="shared" si="149"/>
        <v>342</v>
      </c>
      <c r="E509" s="81">
        <f t="shared" si="157"/>
        <v>44859</v>
      </c>
      <c r="F509" s="80">
        <f t="shared" si="151"/>
        <v>-0.97633136094674544</v>
      </c>
      <c r="G509" s="119">
        <f t="shared" si="145"/>
        <v>0.24769676656960099</v>
      </c>
      <c r="H509" s="125">
        <f t="shared" si="152"/>
        <v>44859</v>
      </c>
      <c r="I509" s="82">
        <f t="shared" si="140"/>
        <v>0.62092719787002282</v>
      </c>
      <c r="J509" s="126">
        <f t="shared" si="146"/>
        <v>5662746.9228288541</v>
      </c>
      <c r="K509" s="139">
        <f t="shared" si="141"/>
        <v>0</v>
      </c>
      <c r="L509" s="83">
        <f t="shared" si="139"/>
        <v>5662746.9228288541</v>
      </c>
      <c r="M509" s="80">
        <f t="shared" si="147"/>
        <v>342</v>
      </c>
      <c r="N509" s="157">
        <f t="shared" si="155"/>
        <v>0</v>
      </c>
      <c r="O509" s="140">
        <f t="shared" si="142"/>
        <v>0</v>
      </c>
      <c r="P509" s="149">
        <v>0</v>
      </c>
      <c r="Q509" s="163">
        <f t="shared" si="148"/>
        <v>342</v>
      </c>
      <c r="R509" s="150">
        <f t="shared" si="143"/>
        <v>0</v>
      </c>
      <c r="S509" s="164">
        <f t="shared" si="156"/>
        <v>9119824.2599999998</v>
      </c>
    </row>
    <row r="510" spans="1:19" x14ac:dyDescent="0.25">
      <c r="A510" s="80" t="str">
        <f t="shared" si="153"/>
        <v>Wed</v>
      </c>
      <c r="B510" s="147">
        <f>IF(SUMIFS(CashFlow!$C$16:$C$40,CashFlow!$D$16:$D$40,CashFlowCalcs!$E510)&gt;0,SUMIFS(CashFlow!$C$16:$C$40,CashFlow!$D$16:$D$40,CashFlowCalcs!$E510),B509)</f>
        <v>16</v>
      </c>
      <c r="C510" s="147" t="str">
        <f t="shared" si="144"/>
        <v>N</v>
      </c>
      <c r="D510" s="80">
        <f t="shared" si="149"/>
        <v>343</v>
      </c>
      <c r="E510" s="81">
        <f t="shared" si="157"/>
        <v>44860</v>
      </c>
      <c r="F510" s="80">
        <f t="shared" si="151"/>
        <v>-0.97041420118343202</v>
      </c>
      <c r="G510" s="119">
        <f t="shared" si="145"/>
        <v>0.24912751774851327</v>
      </c>
      <c r="H510" s="125">
        <f t="shared" si="152"/>
        <v>44860</v>
      </c>
      <c r="I510" s="82">
        <f t="shared" si="140"/>
        <v>0.62451381037479936</v>
      </c>
      <c r="J510" s="126">
        <f t="shared" si="146"/>
        <v>5695456.1985611347</v>
      </c>
      <c r="K510" s="139">
        <f t="shared" si="141"/>
        <v>0</v>
      </c>
      <c r="L510" s="83">
        <f t="shared" si="139"/>
        <v>5695456.1985611347</v>
      </c>
      <c r="M510" s="80">
        <f t="shared" si="147"/>
        <v>343</v>
      </c>
      <c r="N510" s="157">
        <f t="shared" si="155"/>
        <v>0</v>
      </c>
      <c r="O510" s="140">
        <f t="shared" si="142"/>
        <v>0</v>
      </c>
      <c r="P510" s="149">
        <v>0</v>
      </c>
      <c r="Q510" s="163">
        <f t="shared" si="148"/>
        <v>343</v>
      </c>
      <c r="R510" s="150">
        <f t="shared" si="143"/>
        <v>0</v>
      </c>
      <c r="S510" s="164">
        <f t="shared" si="156"/>
        <v>9119824.2599999998</v>
      </c>
    </row>
    <row r="511" spans="1:19" x14ac:dyDescent="0.25">
      <c r="A511" s="80" t="str">
        <f t="shared" si="153"/>
        <v>Thu</v>
      </c>
      <c r="B511" s="147">
        <f>IF(SUMIFS(CashFlow!$C$16:$C$40,CashFlow!$D$16:$D$40,CashFlowCalcs!$E511)&gt;0,SUMIFS(CashFlow!$C$16:$C$40,CashFlow!$D$16:$D$40,CashFlowCalcs!$E511),B510)</f>
        <v>16</v>
      </c>
      <c r="C511" s="147" t="str">
        <f t="shared" si="144"/>
        <v>N</v>
      </c>
      <c r="D511" s="80">
        <f t="shared" si="149"/>
        <v>344</v>
      </c>
      <c r="E511" s="81">
        <f t="shared" si="157"/>
        <v>44861</v>
      </c>
      <c r="F511" s="80">
        <f t="shared" si="151"/>
        <v>-0.96449704142011816</v>
      </c>
      <c r="G511" s="119">
        <f t="shared" si="145"/>
        <v>0.25055776038469751</v>
      </c>
      <c r="H511" s="125">
        <f t="shared" si="152"/>
        <v>44861</v>
      </c>
      <c r="I511" s="82">
        <f t="shared" si="140"/>
        <v>0.62809914806272815</v>
      </c>
      <c r="J511" s="126">
        <f t="shared" si="146"/>
        <v>5728153.8481878005</v>
      </c>
      <c r="K511" s="139">
        <f t="shared" si="141"/>
        <v>0</v>
      </c>
      <c r="L511" s="83">
        <f t="shared" si="139"/>
        <v>5728153.8481878005</v>
      </c>
      <c r="M511" s="80">
        <f t="shared" si="147"/>
        <v>344</v>
      </c>
      <c r="N511" s="157">
        <f t="shared" si="155"/>
        <v>0</v>
      </c>
      <c r="O511" s="140">
        <f t="shared" si="142"/>
        <v>0</v>
      </c>
      <c r="P511" s="149">
        <v>0</v>
      </c>
      <c r="Q511" s="163">
        <f t="shared" si="148"/>
        <v>344</v>
      </c>
      <c r="R511" s="150">
        <f t="shared" si="143"/>
        <v>0</v>
      </c>
      <c r="S511" s="164">
        <f t="shared" si="156"/>
        <v>9119824.2599999998</v>
      </c>
    </row>
    <row r="512" spans="1:19" s="74" customFormat="1" x14ac:dyDescent="0.25">
      <c r="A512" s="166" t="str">
        <f t="shared" si="153"/>
        <v>Fri</v>
      </c>
      <c r="B512" s="147">
        <f>IF(SUMIFS(CashFlow!$C$16:$C$40,CashFlow!$D$16:$D$40,CashFlowCalcs!$E512)&gt;0,SUMIFS(CashFlow!$C$16:$C$40,CashFlow!$D$16:$D$40,CashFlowCalcs!$E512),B511)</f>
        <v>16</v>
      </c>
      <c r="C512" s="348" t="str">
        <f t="shared" si="144"/>
        <v>N</v>
      </c>
      <c r="D512" s="166">
        <f t="shared" si="149"/>
        <v>345</v>
      </c>
      <c r="E512" s="85">
        <f t="shared" si="157"/>
        <v>44862</v>
      </c>
      <c r="F512" s="166">
        <f t="shared" si="151"/>
        <v>-0.95857988165680474</v>
      </c>
      <c r="G512" s="121">
        <f t="shared" si="145"/>
        <v>0.25198739111933321</v>
      </c>
      <c r="H512" s="129">
        <f t="shared" si="152"/>
        <v>44862</v>
      </c>
      <c r="I512" s="86">
        <f t="shared" si="140"/>
        <v>0.63168295183352463</v>
      </c>
      <c r="J512" s="130">
        <f t="shared" si="146"/>
        <v>5760837.5087597892</v>
      </c>
      <c r="K512" s="143">
        <f t="shared" si="141"/>
        <v>0</v>
      </c>
      <c r="L512" s="349">
        <f t="shared" si="139"/>
        <v>5760837.5087597892</v>
      </c>
      <c r="M512" s="166">
        <f t="shared" si="147"/>
        <v>345</v>
      </c>
      <c r="N512" s="350">
        <f t="shared" si="155"/>
        <v>0</v>
      </c>
      <c r="O512" s="144">
        <f t="shared" si="142"/>
        <v>0</v>
      </c>
      <c r="P512" s="149">
        <v>0</v>
      </c>
      <c r="Q512" s="351">
        <f t="shared" si="148"/>
        <v>345</v>
      </c>
      <c r="R512" s="352">
        <f t="shared" si="143"/>
        <v>0</v>
      </c>
      <c r="S512" s="353">
        <f t="shared" si="156"/>
        <v>9119824.2599999998</v>
      </c>
    </row>
    <row r="513" spans="1:19" x14ac:dyDescent="0.25">
      <c r="A513" s="80" t="str">
        <f t="shared" si="153"/>
        <v>Sat</v>
      </c>
      <c r="B513" s="147">
        <f>IF(SUMIFS(CashFlow!$C$16:$C$40,CashFlow!$D$16:$D$40,CashFlowCalcs!$E513)&gt;0,SUMIFS(CashFlow!$C$16:$C$40,CashFlow!$D$16:$D$40,CashFlowCalcs!$E513),B512)</f>
        <v>16</v>
      </c>
      <c r="C513" s="147" t="str">
        <f t="shared" si="144"/>
        <v>Y</v>
      </c>
      <c r="D513" s="80">
        <f t="shared" si="149"/>
        <v>345</v>
      </c>
      <c r="E513" s="81">
        <f t="shared" si="157"/>
        <v>44863</v>
      </c>
      <c r="F513" s="80">
        <f t="shared" si="151"/>
        <v>-0.95857988165680474</v>
      </c>
      <c r="G513" s="119">
        <f t="shared" si="145"/>
        <v>0.25198739111933321</v>
      </c>
      <c r="H513" s="125">
        <f t="shared" si="152"/>
        <v>44863</v>
      </c>
      <c r="I513" s="82">
        <f t="shared" si="140"/>
        <v>0.63168295183352463</v>
      </c>
      <c r="J513" s="126">
        <f t="shared" si="146"/>
        <v>5760837.5087597892</v>
      </c>
      <c r="K513" s="139">
        <f t="shared" si="141"/>
        <v>0</v>
      </c>
      <c r="L513" s="83">
        <f t="shared" si="139"/>
        <v>5760837.5087597892</v>
      </c>
      <c r="M513" s="80">
        <f t="shared" si="147"/>
        <v>345</v>
      </c>
      <c r="N513" s="157">
        <f t="shared" si="155"/>
        <v>0</v>
      </c>
      <c r="O513" s="140">
        <f t="shared" si="142"/>
        <v>0</v>
      </c>
      <c r="P513" s="149">
        <v>0</v>
      </c>
      <c r="Q513" s="163">
        <f t="shared" si="148"/>
        <v>345</v>
      </c>
      <c r="R513" s="150">
        <f t="shared" si="143"/>
        <v>0</v>
      </c>
      <c r="S513" s="164">
        <f t="shared" si="156"/>
        <v>9119824.2599999998</v>
      </c>
    </row>
    <row r="514" spans="1:19" x14ac:dyDescent="0.25">
      <c r="A514" s="80" t="str">
        <f t="shared" si="153"/>
        <v>Sun</v>
      </c>
      <c r="B514" s="147">
        <f>IF(SUMIFS(CashFlow!$C$16:$C$40,CashFlow!$D$16:$D$40,CashFlowCalcs!$E514)&gt;0,SUMIFS(CashFlow!$C$16:$C$40,CashFlow!$D$16:$D$40,CashFlowCalcs!$E514),B513)</f>
        <v>16</v>
      </c>
      <c r="C514" s="147" t="str">
        <f t="shared" si="144"/>
        <v>Y</v>
      </c>
      <c r="D514" s="80">
        <f t="shared" si="149"/>
        <v>345</v>
      </c>
      <c r="E514" s="81">
        <f t="shared" si="157"/>
        <v>44864</v>
      </c>
      <c r="F514" s="80">
        <f t="shared" si="151"/>
        <v>-0.95857988165680474</v>
      </c>
      <c r="G514" s="119">
        <f t="shared" si="145"/>
        <v>0.25198739111933321</v>
      </c>
      <c r="H514" s="125">
        <f t="shared" si="152"/>
        <v>44864</v>
      </c>
      <c r="I514" s="82">
        <f t="shared" si="140"/>
        <v>0.63168295183352463</v>
      </c>
      <c r="J514" s="126">
        <f t="shared" si="146"/>
        <v>5760837.5087597892</v>
      </c>
      <c r="K514" s="139">
        <f t="shared" si="141"/>
        <v>0</v>
      </c>
      <c r="L514" s="83">
        <f t="shared" si="139"/>
        <v>5760837.5087597892</v>
      </c>
      <c r="M514" s="80">
        <f t="shared" si="147"/>
        <v>345</v>
      </c>
      <c r="N514" s="157">
        <f t="shared" si="155"/>
        <v>0</v>
      </c>
      <c r="O514" s="140">
        <f t="shared" si="142"/>
        <v>0</v>
      </c>
      <c r="P514" s="149">
        <v>0</v>
      </c>
      <c r="Q514" s="163">
        <f t="shared" si="148"/>
        <v>345</v>
      </c>
      <c r="R514" s="150">
        <f t="shared" si="143"/>
        <v>0</v>
      </c>
      <c r="S514" s="164">
        <f t="shared" si="156"/>
        <v>9119824.2599999998</v>
      </c>
    </row>
    <row r="515" spans="1:19" x14ac:dyDescent="0.25">
      <c r="A515" s="80" t="str">
        <f t="shared" si="153"/>
        <v>Mon</v>
      </c>
      <c r="B515" s="147">
        <f>IF(SUMIFS(CashFlow!$C$16:$C$40,CashFlow!$D$16:$D$40,CashFlowCalcs!$E515)&gt;0,SUMIFS(CashFlow!$C$16:$C$40,CashFlow!$D$16:$D$40,CashFlowCalcs!$E515),B514)</f>
        <v>16</v>
      </c>
      <c r="C515" s="147" t="str">
        <f t="shared" si="144"/>
        <v>N</v>
      </c>
      <c r="D515" s="80">
        <f t="shared" si="149"/>
        <v>346</v>
      </c>
      <c r="E515" s="81">
        <f t="shared" si="157"/>
        <v>44865</v>
      </c>
      <c r="F515" s="80">
        <f t="shared" si="151"/>
        <v>-0.95266272189349088</v>
      </c>
      <c r="G515" s="119">
        <f t="shared" si="145"/>
        <v>0.25341630606649712</v>
      </c>
      <c r="H515" s="125">
        <f t="shared" si="152"/>
        <v>44865</v>
      </c>
      <c r="I515" s="82">
        <f t="shared" si="140"/>
        <v>0.63526496126556042</v>
      </c>
      <c r="J515" s="126">
        <f t="shared" si="146"/>
        <v>5793504.8052776186</v>
      </c>
      <c r="K515" s="139">
        <f t="shared" si="141"/>
        <v>0</v>
      </c>
      <c r="L515" s="83">
        <f t="shared" si="139"/>
        <v>5793504.8052776186</v>
      </c>
      <c r="M515" s="80">
        <f t="shared" si="147"/>
        <v>346</v>
      </c>
      <c r="N515" s="157">
        <f t="shared" si="155"/>
        <v>0</v>
      </c>
      <c r="O515" s="140">
        <f t="shared" si="142"/>
        <v>0</v>
      </c>
      <c r="P515" s="149">
        <v>0</v>
      </c>
      <c r="Q515" s="163">
        <f t="shared" si="148"/>
        <v>346</v>
      </c>
      <c r="R515" s="150">
        <f t="shared" si="143"/>
        <v>0</v>
      </c>
      <c r="S515" s="164">
        <f t="shared" si="156"/>
        <v>9119824.2599999998</v>
      </c>
    </row>
    <row r="516" spans="1:19" x14ac:dyDescent="0.25">
      <c r="A516" s="80" t="str">
        <f t="shared" si="153"/>
        <v>Tues</v>
      </c>
      <c r="B516" s="147">
        <f>IF(SUMIFS(CashFlow!$C$16:$C$40,CashFlow!$D$16:$D$40,CashFlowCalcs!$E516)&gt;0,SUMIFS(CashFlow!$C$16:$C$40,CashFlow!$D$16:$D$40,CashFlowCalcs!$E516),B515)</f>
        <v>16</v>
      </c>
      <c r="C516" s="147" t="str">
        <f t="shared" si="144"/>
        <v>N</v>
      </c>
      <c r="D516" s="80">
        <f t="shared" si="149"/>
        <v>347</v>
      </c>
      <c r="E516" s="81">
        <f t="shared" ref="E516:E531" si="158">E515+1</f>
        <v>44866</v>
      </c>
      <c r="F516" s="80">
        <f t="shared" si="151"/>
        <v>-0.94674556213017746</v>
      </c>
      <c r="G516" s="119">
        <f t="shared" si="145"/>
        <v>0.25484440082474574</v>
      </c>
      <c r="H516" s="125">
        <f t="shared" si="152"/>
        <v>44866</v>
      </c>
      <c r="I516" s="82">
        <f t="shared" si="140"/>
        <v>0.63884491464489934</v>
      </c>
      <c r="J516" s="126">
        <f t="shared" si="146"/>
        <v>5826153.350956182</v>
      </c>
      <c r="K516" s="139">
        <f t="shared" si="141"/>
        <v>0</v>
      </c>
      <c r="L516" s="83">
        <f t="shared" si="139"/>
        <v>5826153.350956182</v>
      </c>
      <c r="M516" s="80">
        <f t="shared" si="147"/>
        <v>347</v>
      </c>
      <c r="N516" s="157">
        <f t="shared" si="155"/>
        <v>0</v>
      </c>
      <c r="O516" s="140">
        <f t="shared" si="142"/>
        <v>0</v>
      </c>
      <c r="P516" s="149">
        <v>0</v>
      </c>
      <c r="Q516" s="163">
        <f t="shared" si="148"/>
        <v>347</v>
      </c>
      <c r="R516" s="150">
        <f t="shared" si="143"/>
        <v>0</v>
      </c>
      <c r="S516" s="164">
        <f t="shared" si="156"/>
        <v>9119824.2599999998</v>
      </c>
    </row>
    <row r="517" spans="1:19" x14ac:dyDescent="0.25">
      <c r="A517" s="80" t="str">
        <f t="shared" si="153"/>
        <v>Wed</v>
      </c>
      <c r="B517" s="147">
        <f>IF(SUMIFS(CashFlow!$C$16:$C$40,CashFlow!$D$16:$D$40,CashFlowCalcs!$E517)&gt;0,SUMIFS(CashFlow!$C$16:$C$40,CashFlow!$D$16:$D$40,CashFlowCalcs!$E517),B516)</f>
        <v>16</v>
      </c>
      <c r="C517" s="147" t="str">
        <f t="shared" si="144"/>
        <v>N</v>
      </c>
      <c r="D517" s="80">
        <f t="shared" si="149"/>
        <v>348</v>
      </c>
      <c r="E517" s="81">
        <f t="shared" si="158"/>
        <v>44867</v>
      </c>
      <c r="F517" s="80">
        <f t="shared" si="151"/>
        <v>-0.94082840236686405</v>
      </c>
      <c r="G517" s="119">
        <f t="shared" si="145"/>
        <v>0.25627157048885474</v>
      </c>
      <c r="H517" s="125">
        <f t="shared" si="152"/>
        <v>44867</v>
      </c>
      <c r="I517" s="82">
        <f t="shared" si="140"/>
        <v>0.64242254899472562</v>
      </c>
      <c r="J517" s="126">
        <f t="shared" si="146"/>
        <v>5858780.7474931376</v>
      </c>
      <c r="K517" s="139">
        <f t="shared" si="141"/>
        <v>0</v>
      </c>
      <c r="L517" s="83">
        <f t="shared" si="139"/>
        <v>5858780.7474931376</v>
      </c>
      <c r="M517" s="80">
        <f t="shared" si="147"/>
        <v>348</v>
      </c>
      <c r="N517" s="157">
        <f t="shared" si="155"/>
        <v>0</v>
      </c>
      <c r="O517" s="140">
        <f t="shared" si="142"/>
        <v>0</v>
      </c>
      <c r="P517" s="149">
        <v>0</v>
      </c>
      <c r="Q517" s="163">
        <f t="shared" si="148"/>
        <v>348</v>
      </c>
      <c r="R517" s="150">
        <f t="shared" si="143"/>
        <v>0</v>
      </c>
      <c r="S517" s="164">
        <f t="shared" si="156"/>
        <v>9119824.2599999998</v>
      </c>
    </row>
    <row r="518" spans="1:19" x14ac:dyDescent="0.25">
      <c r="A518" s="80" t="str">
        <f t="shared" si="153"/>
        <v>Thu</v>
      </c>
      <c r="B518" s="147">
        <f>IF(SUMIFS(CashFlow!$C$16:$C$40,CashFlow!$D$16:$D$40,CashFlowCalcs!$E518)&gt;0,SUMIFS(CashFlow!$C$16:$C$40,CashFlow!$D$16:$D$40,CashFlowCalcs!$E518),B517)</f>
        <v>16</v>
      </c>
      <c r="C518" s="147" t="str">
        <f t="shared" si="144"/>
        <v>N</v>
      </c>
      <c r="D518" s="80">
        <f t="shared" si="149"/>
        <v>349</v>
      </c>
      <c r="E518" s="81">
        <f t="shared" si="158"/>
        <v>44868</v>
      </c>
      <c r="F518" s="80">
        <f t="shared" si="151"/>
        <v>-0.93491124260355019</v>
      </c>
      <c r="G518" s="119">
        <f t="shared" si="145"/>
        <v>0.25769770966171318</v>
      </c>
      <c r="H518" s="125">
        <f t="shared" si="152"/>
        <v>44868</v>
      </c>
      <c r="I518" s="82">
        <f t="shared" si="140"/>
        <v>0.64599760010516005</v>
      </c>
      <c r="J518" s="126">
        <f t="shared" si="146"/>
        <v>5891384.5853408175</v>
      </c>
      <c r="K518" s="139">
        <f t="shared" si="141"/>
        <v>0</v>
      </c>
      <c r="L518" s="83">
        <f t="shared" si="139"/>
        <v>5891384.5853408175</v>
      </c>
      <c r="M518" s="80">
        <f t="shared" si="147"/>
        <v>349</v>
      </c>
      <c r="N518" s="157">
        <f t="shared" si="155"/>
        <v>0</v>
      </c>
      <c r="O518" s="140">
        <f t="shared" si="142"/>
        <v>0</v>
      </c>
      <c r="P518" s="149">
        <v>0</v>
      </c>
      <c r="Q518" s="163">
        <f t="shared" si="148"/>
        <v>349</v>
      </c>
      <c r="R518" s="150">
        <f t="shared" si="143"/>
        <v>0</v>
      </c>
      <c r="S518" s="164">
        <f t="shared" si="156"/>
        <v>9119824.2599999998</v>
      </c>
    </row>
    <row r="519" spans="1:19" x14ac:dyDescent="0.25">
      <c r="A519" s="80" t="str">
        <f t="shared" si="153"/>
        <v>Fri</v>
      </c>
      <c r="B519" s="147">
        <f>IF(SUMIFS(CashFlow!$C$16:$C$40,CashFlow!$D$16:$D$40,CashFlowCalcs!$E519)&gt;0,SUMIFS(CashFlow!$C$16:$C$40,CashFlow!$D$16:$D$40,CashFlowCalcs!$E519),B518)</f>
        <v>16</v>
      </c>
      <c r="C519" s="147" t="str">
        <f t="shared" si="144"/>
        <v>N</v>
      </c>
      <c r="D519" s="80">
        <f t="shared" si="149"/>
        <v>350</v>
      </c>
      <c r="E519" s="81">
        <f t="shared" si="158"/>
        <v>44869</v>
      </c>
      <c r="F519" s="80">
        <f t="shared" si="151"/>
        <v>-0.92899408284023677</v>
      </c>
      <c r="G519" s="119">
        <f t="shared" si="145"/>
        <v>0.25912271246637031</v>
      </c>
      <c r="H519" s="125">
        <f t="shared" si="152"/>
        <v>44869</v>
      </c>
      <c r="I519" s="82">
        <f t="shared" si="140"/>
        <v>0.6495698025634592</v>
      </c>
      <c r="J519" s="126">
        <f t="shared" si="146"/>
        <v>5923962.4439816456</v>
      </c>
      <c r="K519" s="139">
        <f t="shared" si="141"/>
        <v>0</v>
      </c>
      <c r="L519" s="83">
        <f t="shared" si="139"/>
        <v>5923962.4439816456</v>
      </c>
      <c r="M519" s="80">
        <f t="shared" si="147"/>
        <v>350</v>
      </c>
      <c r="N519" s="157">
        <f t="shared" si="155"/>
        <v>0</v>
      </c>
      <c r="O519" s="140">
        <f t="shared" si="142"/>
        <v>0</v>
      </c>
      <c r="P519" s="149">
        <v>0</v>
      </c>
      <c r="Q519" s="163">
        <f t="shared" si="148"/>
        <v>350</v>
      </c>
      <c r="R519" s="150">
        <f t="shared" si="143"/>
        <v>0</v>
      </c>
      <c r="S519" s="164">
        <f t="shared" si="156"/>
        <v>9119824.2599999998</v>
      </c>
    </row>
    <row r="520" spans="1:19" x14ac:dyDescent="0.25">
      <c r="A520" s="80" t="str">
        <f t="shared" si="153"/>
        <v>Sat</v>
      </c>
      <c r="B520" s="147">
        <f>IF(SUMIFS(CashFlow!$C$16:$C$40,CashFlow!$D$16:$D$40,CashFlowCalcs!$E520)&gt;0,SUMIFS(CashFlow!$C$16:$C$40,CashFlow!$D$16:$D$40,CashFlowCalcs!$E520),B519)</f>
        <v>16</v>
      </c>
      <c r="C520" s="147" t="str">
        <f t="shared" si="144"/>
        <v>Y</v>
      </c>
      <c r="D520" s="80">
        <f t="shared" si="149"/>
        <v>350</v>
      </c>
      <c r="E520" s="81">
        <f t="shared" si="158"/>
        <v>44870</v>
      </c>
      <c r="F520" s="80">
        <f t="shared" si="151"/>
        <v>-0.92899408284023677</v>
      </c>
      <c r="G520" s="119">
        <f t="shared" si="145"/>
        <v>0.25912271246637031</v>
      </c>
      <c r="H520" s="125">
        <f t="shared" si="152"/>
        <v>44870</v>
      </c>
      <c r="I520" s="82">
        <f t="shared" si="140"/>
        <v>0.6495698025634592</v>
      </c>
      <c r="J520" s="126">
        <f t="shared" si="146"/>
        <v>5923962.4439816456</v>
      </c>
      <c r="K520" s="139">
        <f t="shared" si="141"/>
        <v>0</v>
      </c>
      <c r="L520" s="83">
        <f t="shared" si="139"/>
        <v>5923962.4439816456</v>
      </c>
      <c r="M520" s="80">
        <f t="shared" si="147"/>
        <v>350</v>
      </c>
      <c r="N520" s="157">
        <f t="shared" si="155"/>
        <v>0</v>
      </c>
      <c r="O520" s="140">
        <f t="shared" si="142"/>
        <v>0</v>
      </c>
      <c r="P520" s="149">
        <v>0</v>
      </c>
      <c r="Q520" s="163">
        <f t="shared" si="148"/>
        <v>350</v>
      </c>
      <c r="R520" s="150">
        <f t="shared" si="143"/>
        <v>0</v>
      </c>
      <c r="S520" s="164">
        <f t="shared" si="156"/>
        <v>9119824.2599999998</v>
      </c>
    </row>
    <row r="521" spans="1:19" x14ac:dyDescent="0.25">
      <c r="A521" s="80" t="str">
        <f t="shared" si="153"/>
        <v>Sun</v>
      </c>
      <c r="B521" s="147">
        <f>IF(SUMIFS(CashFlow!$C$16:$C$40,CashFlow!$D$16:$D$40,CashFlowCalcs!$E521)&gt;0,SUMIFS(CashFlow!$C$16:$C$40,CashFlow!$D$16:$D$40,CashFlowCalcs!$E521),B520)</f>
        <v>16</v>
      </c>
      <c r="C521" s="147" t="str">
        <f t="shared" si="144"/>
        <v>Y</v>
      </c>
      <c r="D521" s="80">
        <f t="shared" si="149"/>
        <v>350</v>
      </c>
      <c r="E521" s="81">
        <f t="shared" si="158"/>
        <v>44871</v>
      </c>
      <c r="F521" s="80">
        <f t="shared" si="151"/>
        <v>-0.92899408284023677</v>
      </c>
      <c r="G521" s="119">
        <f t="shared" si="145"/>
        <v>0.25912271246637031</v>
      </c>
      <c r="H521" s="125">
        <f t="shared" si="152"/>
        <v>44871</v>
      </c>
      <c r="I521" s="82">
        <f t="shared" si="140"/>
        <v>0.6495698025634592</v>
      </c>
      <c r="J521" s="126">
        <f t="shared" si="146"/>
        <v>5923962.4439816456</v>
      </c>
      <c r="K521" s="139">
        <f t="shared" si="141"/>
        <v>0</v>
      </c>
      <c r="L521" s="83">
        <f t="shared" si="139"/>
        <v>5923962.4439816456</v>
      </c>
      <c r="M521" s="80">
        <f t="shared" si="147"/>
        <v>350</v>
      </c>
      <c r="N521" s="157">
        <f t="shared" si="155"/>
        <v>0</v>
      </c>
      <c r="O521" s="140">
        <f t="shared" si="142"/>
        <v>0</v>
      </c>
      <c r="P521" s="149">
        <v>0</v>
      </c>
      <c r="Q521" s="163">
        <f t="shared" si="148"/>
        <v>350</v>
      </c>
      <c r="R521" s="150">
        <f t="shared" si="143"/>
        <v>0</v>
      </c>
      <c r="S521" s="164">
        <f t="shared" si="156"/>
        <v>9119824.2599999998</v>
      </c>
    </row>
    <row r="522" spans="1:19" x14ac:dyDescent="0.25">
      <c r="A522" s="80" t="str">
        <f t="shared" si="153"/>
        <v>Mon</v>
      </c>
      <c r="B522" s="147">
        <f>IF(SUMIFS(CashFlow!$C$16:$C$40,CashFlow!$D$16:$D$40,CashFlowCalcs!$E522)&gt;0,SUMIFS(CashFlow!$C$16:$C$40,CashFlow!$D$16:$D$40,CashFlowCalcs!$E522),B521)</f>
        <v>16</v>
      </c>
      <c r="C522" s="147" t="str">
        <f t="shared" si="144"/>
        <v>N</v>
      </c>
      <c r="D522" s="80">
        <f t="shared" si="149"/>
        <v>351</v>
      </c>
      <c r="E522" s="81">
        <f t="shared" si="158"/>
        <v>44872</v>
      </c>
      <c r="F522" s="80">
        <f t="shared" si="151"/>
        <v>-0.92307692307692335</v>
      </c>
      <c r="G522" s="119">
        <f t="shared" si="145"/>
        <v>0.26054647255823504</v>
      </c>
      <c r="H522" s="125">
        <f t="shared" si="152"/>
        <v>44872</v>
      </c>
      <c r="I522" s="82">
        <f t="shared" si="140"/>
        <v>0.653138889784597</v>
      </c>
      <c r="J522" s="126">
        <f t="shared" si="146"/>
        <v>5956511.8922070339</v>
      </c>
      <c r="K522" s="139">
        <f t="shared" si="141"/>
        <v>0</v>
      </c>
      <c r="L522" s="83">
        <f t="shared" si="139"/>
        <v>5956511.8922070339</v>
      </c>
      <c r="M522" s="80">
        <f t="shared" si="147"/>
        <v>351</v>
      </c>
      <c r="N522" s="157">
        <f t="shared" si="155"/>
        <v>0</v>
      </c>
      <c r="O522" s="140">
        <f t="shared" si="142"/>
        <v>0</v>
      </c>
      <c r="P522" s="149">
        <v>0</v>
      </c>
      <c r="Q522" s="163">
        <f t="shared" si="148"/>
        <v>351</v>
      </c>
      <c r="R522" s="150">
        <f t="shared" si="143"/>
        <v>0</v>
      </c>
      <c r="S522" s="164">
        <f t="shared" si="156"/>
        <v>9119824.2599999998</v>
      </c>
    </row>
    <row r="523" spans="1:19" x14ac:dyDescent="0.25">
      <c r="A523" s="80" t="str">
        <f t="shared" si="153"/>
        <v>Tues</v>
      </c>
      <c r="B523" s="147">
        <f>IF(SUMIFS(CashFlow!$C$16:$C$40,CashFlow!$D$16:$D$40,CashFlowCalcs!$E523)&gt;0,SUMIFS(CashFlow!$C$16:$C$40,CashFlow!$D$16:$D$40,CashFlowCalcs!$E523),B522)</f>
        <v>16</v>
      </c>
      <c r="C523" s="147" t="str">
        <f t="shared" si="144"/>
        <v>N</v>
      </c>
      <c r="D523" s="80">
        <f t="shared" si="149"/>
        <v>352</v>
      </c>
      <c r="E523" s="81">
        <f t="shared" si="158"/>
        <v>44873</v>
      </c>
      <c r="F523" s="80">
        <f t="shared" si="151"/>
        <v>-0.91715976331360949</v>
      </c>
      <c r="G523" s="119">
        <f t="shared" si="145"/>
        <v>0.261968883137424</v>
      </c>
      <c r="H523" s="125">
        <f t="shared" si="152"/>
        <v>44873</v>
      </c>
      <c r="I523" s="82">
        <f t="shared" si="140"/>
        <v>0.65670459404221926</v>
      </c>
      <c r="J523" s="126">
        <f t="shared" si="146"/>
        <v>5989030.4883996826</v>
      </c>
      <c r="K523" s="139">
        <f t="shared" si="141"/>
        <v>0</v>
      </c>
      <c r="L523" s="83">
        <f t="shared" si="139"/>
        <v>5989030.4883996826</v>
      </c>
      <c r="M523" s="80">
        <f t="shared" si="147"/>
        <v>352</v>
      </c>
      <c r="N523" s="157">
        <f t="shared" si="155"/>
        <v>0</v>
      </c>
      <c r="O523" s="140">
        <f t="shared" si="142"/>
        <v>0</v>
      </c>
      <c r="P523" s="149">
        <v>0</v>
      </c>
      <c r="Q523" s="163">
        <f t="shared" si="148"/>
        <v>352</v>
      </c>
      <c r="R523" s="150">
        <f t="shared" si="143"/>
        <v>0</v>
      </c>
      <c r="S523" s="164">
        <f t="shared" si="156"/>
        <v>9119824.2599999998</v>
      </c>
    </row>
    <row r="524" spans="1:19" x14ac:dyDescent="0.25">
      <c r="A524" s="80" t="str">
        <f t="shared" si="153"/>
        <v>Wed</v>
      </c>
      <c r="B524" s="147">
        <f>IF(SUMIFS(CashFlow!$C$16:$C$40,CashFlow!$D$16:$D$40,CashFlowCalcs!$E524)&gt;0,SUMIFS(CashFlow!$C$16:$C$40,CashFlow!$D$16:$D$40,CashFlowCalcs!$E524),B523)</f>
        <v>16</v>
      </c>
      <c r="C524" s="147" t="str">
        <f t="shared" si="144"/>
        <v>N</v>
      </c>
      <c r="D524" s="80">
        <f t="shared" si="149"/>
        <v>353</v>
      </c>
      <c r="E524" s="81">
        <f t="shared" si="158"/>
        <v>44874</v>
      </c>
      <c r="F524" s="80">
        <f t="shared" si="151"/>
        <v>-0.91124260355029563</v>
      </c>
      <c r="G524" s="119">
        <f t="shared" si="145"/>
        <v>0.26338983696125806</v>
      </c>
      <c r="H524" s="125">
        <f t="shared" si="152"/>
        <v>44874</v>
      </c>
      <c r="I524" s="82">
        <f t="shared" si="140"/>
        <v>0.66026664649996925</v>
      </c>
      <c r="J524" s="126">
        <f t="shared" si="146"/>
        <v>6021515.7808192633</v>
      </c>
      <c r="K524" s="139">
        <f t="shared" si="141"/>
        <v>0</v>
      </c>
      <c r="L524" s="83">
        <f t="shared" ref="L524:L587" si="159">IF(AND(E524&gt;=$H$3,P524=0,E524&lt;=$I$1),J524+K524,0)</f>
        <v>6021515.7808192633</v>
      </c>
      <c r="M524" s="80">
        <f t="shared" si="147"/>
        <v>353</v>
      </c>
      <c r="N524" s="157">
        <f t="shared" si="155"/>
        <v>0</v>
      </c>
      <c r="O524" s="140">
        <f t="shared" si="142"/>
        <v>0</v>
      </c>
      <c r="P524" s="149">
        <v>0</v>
      </c>
      <c r="Q524" s="163">
        <f t="shared" si="148"/>
        <v>353</v>
      </c>
      <c r="R524" s="150">
        <f t="shared" si="143"/>
        <v>0</v>
      </c>
      <c r="S524" s="164">
        <f t="shared" si="156"/>
        <v>9119824.2599999998</v>
      </c>
    </row>
    <row r="525" spans="1:19" x14ac:dyDescent="0.25">
      <c r="A525" s="80" t="str">
        <f t="shared" si="153"/>
        <v>Thu</v>
      </c>
      <c r="B525" s="147">
        <f>IF(SUMIFS(CashFlow!$C$16:$C$40,CashFlow!$D$16:$D$40,CashFlowCalcs!$E525)&gt;0,SUMIFS(CashFlow!$C$16:$C$40,CashFlow!$D$16:$D$40,CashFlowCalcs!$E525),B524)</f>
        <v>16</v>
      </c>
      <c r="C525" s="147" t="str">
        <f t="shared" si="144"/>
        <v>N</v>
      </c>
      <c r="D525" s="80">
        <f t="shared" si="149"/>
        <v>354</v>
      </c>
      <c r="E525" s="81">
        <f t="shared" si="158"/>
        <v>44875</v>
      </c>
      <c r="F525" s="80">
        <f t="shared" si="151"/>
        <v>-0.90532544378698221</v>
      </c>
      <c r="G525" s="119">
        <f t="shared" si="145"/>
        <v>0.26480922635690513</v>
      </c>
      <c r="H525" s="125">
        <f t="shared" si="152"/>
        <v>44875</v>
      </c>
      <c r="I525" s="82">
        <f t="shared" si="140"/>
        <v>0.66382477724318145</v>
      </c>
      <c r="J525" s="126">
        <f t="shared" si="146"/>
        <v>6053965.307891462</v>
      </c>
      <c r="K525" s="139">
        <f t="shared" si="141"/>
        <v>0</v>
      </c>
      <c r="L525" s="83">
        <f t="shared" si="159"/>
        <v>6053965.307891462</v>
      </c>
      <c r="M525" s="80">
        <f t="shared" si="147"/>
        <v>354</v>
      </c>
      <c r="N525" s="157">
        <f t="shared" si="155"/>
        <v>0</v>
      </c>
      <c r="O525" s="140">
        <f t="shared" si="142"/>
        <v>0</v>
      </c>
      <c r="P525" s="149">
        <v>0</v>
      </c>
      <c r="Q525" s="163">
        <f t="shared" si="148"/>
        <v>354</v>
      </c>
      <c r="R525" s="150">
        <f t="shared" si="143"/>
        <v>0</v>
      </c>
      <c r="S525" s="164">
        <f t="shared" si="156"/>
        <v>9119824.2599999998</v>
      </c>
    </row>
    <row r="526" spans="1:19" x14ac:dyDescent="0.25">
      <c r="A526" s="80" t="str">
        <f t="shared" si="153"/>
        <v>Fri</v>
      </c>
      <c r="B526" s="147">
        <f>IF(SUMIFS(CashFlow!$C$16:$C$40,CashFlow!$D$16:$D$40,CashFlowCalcs!$E526)&gt;0,SUMIFS(CashFlow!$C$16:$C$40,CashFlow!$D$16:$D$40,CashFlowCalcs!$E526),B525)</f>
        <v>16</v>
      </c>
      <c r="C526" s="147" t="str">
        <f t="shared" si="144"/>
        <v>N</v>
      </c>
      <c r="D526" s="80">
        <f t="shared" si="149"/>
        <v>355</v>
      </c>
      <c r="E526" s="81">
        <f t="shared" si="158"/>
        <v>44876</v>
      </c>
      <c r="F526" s="80">
        <f t="shared" si="151"/>
        <v>-0.89940828402366879</v>
      </c>
      <c r="G526" s="119">
        <f t="shared" si="145"/>
        <v>0.26622694323416718</v>
      </c>
      <c r="H526" s="125">
        <f t="shared" si="152"/>
        <v>44876</v>
      </c>
      <c r="I526" s="82">
        <f t="shared" si="140"/>
        <v>0.66737871531093584</v>
      </c>
      <c r="J526" s="126">
        <f t="shared" si="146"/>
        <v>6086376.5985003058</v>
      </c>
      <c r="K526" s="139">
        <f t="shared" si="141"/>
        <v>0</v>
      </c>
      <c r="L526" s="83">
        <f t="shared" si="159"/>
        <v>6086376.5985003058</v>
      </c>
      <c r="M526" s="80">
        <f t="shared" si="147"/>
        <v>355</v>
      </c>
      <c r="N526" s="157">
        <f t="shared" si="155"/>
        <v>0</v>
      </c>
      <c r="O526" s="140">
        <f t="shared" si="142"/>
        <v>0</v>
      </c>
      <c r="P526" s="149">
        <v>0</v>
      </c>
      <c r="Q526" s="163">
        <f t="shared" si="148"/>
        <v>355</v>
      </c>
      <c r="R526" s="150">
        <f t="shared" si="143"/>
        <v>0</v>
      </c>
      <c r="S526" s="164">
        <f t="shared" si="156"/>
        <v>9119824.2599999998</v>
      </c>
    </row>
    <row r="527" spans="1:19" x14ac:dyDescent="0.25">
      <c r="A527" s="80" t="str">
        <f t="shared" si="153"/>
        <v>Sat</v>
      </c>
      <c r="B527" s="147">
        <f>IF(SUMIFS(CashFlow!$C$16:$C$40,CashFlow!$D$16:$D$40,CashFlowCalcs!$E527)&gt;0,SUMIFS(CashFlow!$C$16:$C$40,CashFlow!$D$16:$D$40,CashFlowCalcs!$E527),B526)</f>
        <v>16</v>
      </c>
      <c r="C527" s="147" t="str">
        <f t="shared" si="144"/>
        <v>Y</v>
      </c>
      <c r="D527" s="80">
        <f t="shared" si="149"/>
        <v>355</v>
      </c>
      <c r="E527" s="81">
        <f t="shared" si="158"/>
        <v>44877</v>
      </c>
      <c r="F527" s="80">
        <f t="shared" si="151"/>
        <v>-0.89940828402366879</v>
      </c>
      <c r="G527" s="119">
        <f t="shared" si="145"/>
        <v>0.26622694323416718</v>
      </c>
      <c r="H527" s="125">
        <f t="shared" si="152"/>
        <v>44877</v>
      </c>
      <c r="I527" s="82">
        <f t="shared" si="140"/>
        <v>0.66737871531093584</v>
      </c>
      <c r="J527" s="126">
        <f t="shared" si="146"/>
        <v>6086376.5985003058</v>
      </c>
      <c r="K527" s="139">
        <f t="shared" si="141"/>
        <v>0</v>
      </c>
      <c r="L527" s="83">
        <f t="shared" si="159"/>
        <v>6086376.5985003058</v>
      </c>
      <c r="M527" s="80">
        <f t="shared" si="147"/>
        <v>355</v>
      </c>
      <c r="N527" s="157">
        <f t="shared" si="155"/>
        <v>0</v>
      </c>
      <c r="O527" s="140">
        <f t="shared" si="142"/>
        <v>0</v>
      </c>
      <c r="P527" s="149">
        <v>0</v>
      </c>
      <c r="Q527" s="163">
        <f t="shared" si="148"/>
        <v>355</v>
      </c>
      <c r="R527" s="150">
        <f t="shared" si="143"/>
        <v>0</v>
      </c>
      <c r="S527" s="164">
        <f t="shared" si="156"/>
        <v>9119824.2599999998</v>
      </c>
    </row>
    <row r="528" spans="1:19" x14ac:dyDescent="0.25">
      <c r="A528" s="80" t="str">
        <f t="shared" si="153"/>
        <v>Sun</v>
      </c>
      <c r="B528" s="147">
        <f>IF(SUMIFS(CashFlow!$C$16:$C$40,CashFlow!$D$16:$D$40,CashFlowCalcs!$E528)&gt;0,SUMIFS(CashFlow!$C$16:$C$40,CashFlow!$D$16:$D$40,CashFlowCalcs!$E528),B527)</f>
        <v>16</v>
      </c>
      <c r="C528" s="147" t="str">
        <f t="shared" si="144"/>
        <v>Y</v>
      </c>
      <c r="D528" s="80">
        <f t="shared" si="149"/>
        <v>355</v>
      </c>
      <c r="E528" s="81">
        <f t="shared" si="158"/>
        <v>44878</v>
      </c>
      <c r="F528" s="80">
        <f t="shared" si="151"/>
        <v>-0.89940828402366879</v>
      </c>
      <c r="G528" s="119">
        <f t="shared" si="145"/>
        <v>0.26622694323416718</v>
      </c>
      <c r="H528" s="125">
        <f t="shared" si="152"/>
        <v>44878</v>
      </c>
      <c r="I528" s="82">
        <f t="shared" si="140"/>
        <v>0.66737871531093584</v>
      </c>
      <c r="J528" s="126">
        <f t="shared" si="146"/>
        <v>6086376.5985003058</v>
      </c>
      <c r="K528" s="139">
        <f t="shared" si="141"/>
        <v>0</v>
      </c>
      <c r="L528" s="83">
        <f t="shared" si="159"/>
        <v>6086376.5985003058</v>
      </c>
      <c r="M528" s="80">
        <f t="shared" si="147"/>
        <v>355</v>
      </c>
      <c r="N528" s="157">
        <f t="shared" si="155"/>
        <v>0</v>
      </c>
      <c r="O528" s="140">
        <f t="shared" si="142"/>
        <v>0</v>
      </c>
      <c r="P528" s="149">
        <v>0</v>
      </c>
      <c r="Q528" s="163">
        <f t="shared" si="148"/>
        <v>355</v>
      </c>
      <c r="R528" s="150">
        <f t="shared" si="143"/>
        <v>0</v>
      </c>
      <c r="S528" s="164">
        <f t="shared" si="156"/>
        <v>9119824.2599999998</v>
      </c>
    </row>
    <row r="529" spans="1:19" x14ac:dyDescent="0.25">
      <c r="A529" s="80" t="str">
        <f t="shared" si="153"/>
        <v>Mon</v>
      </c>
      <c r="B529" s="147">
        <f>IF(SUMIFS(CashFlow!$C$16:$C$40,CashFlow!$D$16:$D$40,CashFlowCalcs!$E529)&gt;0,SUMIFS(CashFlow!$C$16:$C$40,CashFlow!$D$16:$D$40,CashFlowCalcs!$E529),B528)</f>
        <v>16</v>
      </c>
      <c r="C529" s="147" t="str">
        <f t="shared" si="144"/>
        <v>N</v>
      </c>
      <c r="D529" s="80">
        <f t="shared" si="149"/>
        <v>356</v>
      </c>
      <c r="E529" s="81">
        <f t="shared" si="158"/>
        <v>44879</v>
      </c>
      <c r="F529" s="80">
        <f t="shared" si="151"/>
        <v>-0.89349112426035493</v>
      </c>
      <c r="G529" s="119">
        <f t="shared" si="145"/>
        <v>0.26764287909840967</v>
      </c>
      <c r="H529" s="125">
        <f t="shared" si="152"/>
        <v>44879</v>
      </c>
      <c r="I529" s="82">
        <f t="shared" si="140"/>
        <v>0.67092818872846915</v>
      </c>
      <c r="J529" s="126">
        <f t="shared" si="146"/>
        <v>6118747.172283751</v>
      </c>
      <c r="K529" s="139">
        <f t="shared" si="141"/>
        <v>0</v>
      </c>
      <c r="L529" s="83">
        <f t="shared" si="159"/>
        <v>6118747.172283751</v>
      </c>
      <c r="M529" s="80">
        <f t="shared" si="147"/>
        <v>356</v>
      </c>
      <c r="N529" s="157">
        <f t="shared" si="155"/>
        <v>0</v>
      </c>
      <c r="O529" s="140">
        <f t="shared" si="142"/>
        <v>0</v>
      </c>
      <c r="P529" s="149">
        <v>0</v>
      </c>
      <c r="Q529" s="163">
        <f t="shared" si="148"/>
        <v>356</v>
      </c>
      <c r="R529" s="150">
        <f t="shared" si="143"/>
        <v>0</v>
      </c>
      <c r="S529" s="164">
        <f t="shared" si="156"/>
        <v>9119824.2599999998</v>
      </c>
    </row>
    <row r="530" spans="1:19" x14ac:dyDescent="0.25">
      <c r="A530" s="80" t="str">
        <f t="shared" si="153"/>
        <v>Tues</v>
      </c>
      <c r="B530" s="147">
        <f>IF(SUMIFS(CashFlow!$C$16:$C$40,CashFlow!$D$16:$D$40,CashFlowCalcs!$E530)&gt;0,SUMIFS(CashFlow!$C$16:$C$40,CashFlow!$D$16:$D$40,CashFlowCalcs!$E530),B529)</f>
        <v>16</v>
      </c>
      <c r="C530" s="147" t="str">
        <f t="shared" si="144"/>
        <v>N</v>
      </c>
      <c r="D530" s="80">
        <f t="shared" si="149"/>
        <v>357</v>
      </c>
      <c r="E530" s="81">
        <f t="shared" si="158"/>
        <v>44880</v>
      </c>
      <c r="F530" s="80">
        <f t="shared" si="151"/>
        <v>-0.88757396449704107</v>
      </c>
      <c r="G530" s="119">
        <f t="shared" si="145"/>
        <v>0.26905692506363094</v>
      </c>
      <c r="H530" s="125">
        <f t="shared" si="152"/>
        <v>44880</v>
      </c>
      <c r="I530" s="82">
        <f t="shared" ref="I530:I593" si="160">G530/VLOOKUP($J$5,$D$18:$G$750,4)</f>
        <v>0.67447292453993779</v>
      </c>
      <c r="J530" s="126">
        <f t="shared" si="146"/>
        <v>6151074.5399324736</v>
      </c>
      <c r="K530" s="139">
        <f t="shared" ref="K530:K593" si="161">N530*O530</f>
        <v>0</v>
      </c>
      <c r="L530" s="83">
        <f t="shared" si="159"/>
        <v>6151074.5399324736</v>
      </c>
      <c r="M530" s="80">
        <f t="shared" si="147"/>
        <v>357</v>
      </c>
      <c r="N530" s="157">
        <f t="shared" si="155"/>
        <v>0</v>
      </c>
      <c r="O530" s="140">
        <f t="shared" ref="O530:O593" si="162">IF(E530&lt;$J$6,0,IF(E530&gt;=$I$1,0,($J$5-D530)/($J$5-VLOOKUP($J$6,$H$17:$M$750,6))))</f>
        <v>0</v>
      </c>
      <c r="P530" s="149">
        <v>0</v>
      </c>
      <c r="Q530" s="163">
        <f t="shared" si="148"/>
        <v>357</v>
      </c>
      <c r="R530" s="150">
        <f t="shared" ref="R530:R593" si="163">IF(OR(E530&lt;$J$6+1,E530&gt;$I$1),0,1)</f>
        <v>0</v>
      </c>
      <c r="S530" s="164">
        <f t="shared" si="156"/>
        <v>9119824.2599999998</v>
      </c>
    </row>
    <row r="531" spans="1:19" x14ac:dyDescent="0.25">
      <c r="A531" s="80" t="str">
        <f t="shared" si="153"/>
        <v>Wed</v>
      </c>
      <c r="B531" s="147">
        <f>IF(SUMIFS(CashFlow!$C$16:$C$40,CashFlow!$D$16:$D$40,CashFlowCalcs!$E531)&gt;0,SUMIFS(CashFlow!$C$16:$C$40,CashFlow!$D$16:$D$40,CashFlowCalcs!$E531),B530)</f>
        <v>16</v>
      </c>
      <c r="C531" s="147" t="str">
        <f t="shared" ref="C531:C594" si="164">IF(LEFT(A531,1)="S","Y","N")</f>
        <v>N</v>
      </c>
      <c r="D531" s="80">
        <f t="shared" si="149"/>
        <v>358</v>
      </c>
      <c r="E531" s="81">
        <f t="shared" si="158"/>
        <v>44881</v>
      </c>
      <c r="F531" s="80">
        <f t="shared" si="151"/>
        <v>-0.88165680473372765</v>
      </c>
      <c r="G531" s="119">
        <f t="shared" ref="G531:G594" si="165">NORMDIST(F531,0,1,0)</f>
        <v>0.27046897186567104</v>
      </c>
      <c r="H531" s="125">
        <f t="shared" si="152"/>
        <v>44881</v>
      </c>
      <c r="I531" s="82">
        <f t="shared" si="160"/>
        <v>0.67801264884152945</v>
      </c>
      <c r="J531" s="126">
        <f t="shared" ref="J531:J594" si="166">(I531*$G$8)+$G$7</f>
        <v>6183356.2034918414</v>
      </c>
      <c r="K531" s="139">
        <f t="shared" si="161"/>
        <v>0</v>
      </c>
      <c r="L531" s="83">
        <f t="shared" si="159"/>
        <v>6183356.2034918414</v>
      </c>
      <c r="M531" s="80">
        <f t="shared" ref="M531:M594" si="167">D531</f>
        <v>358</v>
      </c>
      <c r="N531" s="157">
        <f t="shared" si="155"/>
        <v>0</v>
      </c>
      <c r="O531" s="140">
        <f t="shared" si="162"/>
        <v>0</v>
      </c>
      <c r="P531" s="149">
        <v>0</v>
      </c>
      <c r="Q531" s="163">
        <f t="shared" ref="Q531:Q594" si="168">D531</f>
        <v>358</v>
      </c>
      <c r="R531" s="150">
        <f t="shared" si="163"/>
        <v>0</v>
      </c>
      <c r="S531" s="164">
        <f t="shared" si="156"/>
        <v>9119824.2599999998</v>
      </c>
    </row>
    <row r="532" spans="1:19" x14ac:dyDescent="0.25">
      <c r="A532" s="80" t="str">
        <f t="shared" si="153"/>
        <v>Thu</v>
      </c>
      <c r="B532" s="147">
        <f>IF(SUMIFS(CashFlow!$C$16:$C$40,CashFlow!$D$16:$D$40,CashFlowCalcs!$E532)&gt;0,SUMIFS(CashFlow!$C$16:$C$40,CashFlow!$D$16:$D$40,CashFlowCalcs!$E532),B531)</f>
        <v>16</v>
      </c>
      <c r="C532" s="147" t="str">
        <f t="shared" si="164"/>
        <v>N</v>
      </c>
      <c r="D532" s="80">
        <f t="shared" ref="D532:D595" si="169">IF($C532="N",$D531+1,$D531)</f>
        <v>359</v>
      </c>
      <c r="E532" s="81">
        <f t="shared" ref="E532:E547" si="170">E531+1</f>
        <v>44882</v>
      </c>
      <c r="F532" s="80">
        <f t="shared" ref="F532:F595" si="171">$F$18+((((D532)/($J$5+2)*3)))</f>
        <v>-0.87573964497041423</v>
      </c>
      <c r="G532" s="119">
        <f t="shared" si="165"/>
        <v>0.27187890987555591</v>
      </c>
      <c r="H532" s="125">
        <f t="shared" ref="H532:H595" si="172">H531+1</f>
        <v>44882</v>
      </c>
      <c r="I532" s="82">
        <f t="shared" si="160"/>
        <v>0.68154708681491427</v>
      </c>
      <c r="J532" s="126">
        <f t="shared" si="166"/>
        <v>6215589.6566669811</v>
      </c>
      <c r="K532" s="139">
        <f t="shared" si="161"/>
        <v>0</v>
      </c>
      <c r="L532" s="83">
        <f t="shared" si="159"/>
        <v>6215589.6566669811</v>
      </c>
      <c r="M532" s="80">
        <f t="shared" si="167"/>
        <v>359</v>
      </c>
      <c r="N532" s="157">
        <f t="shared" si="155"/>
        <v>0</v>
      </c>
      <c r="O532" s="140">
        <f t="shared" si="162"/>
        <v>0</v>
      </c>
      <c r="P532" s="149">
        <v>0</v>
      </c>
      <c r="Q532" s="163">
        <f t="shared" si="168"/>
        <v>359</v>
      </c>
      <c r="R532" s="150">
        <f t="shared" si="163"/>
        <v>0</v>
      </c>
      <c r="S532" s="164">
        <f t="shared" si="156"/>
        <v>9119824.2599999998</v>
      </c>
    </row>
    <row r="533" spans="1:19" x14ac:dyDescent="0.25">
      <c r="A533" s="80" t="str">
        <f t="shared" si="153"/>
        <v>Fri</v>
      </c>
      <c r="B533" s="147">
        <f>IF(SUMIFS(CashFlow!$C$16:$C$40,CashFlow!$D$16:$D$40,CashFlowCalcs!$E533)&gt;0,SUMIFS(CashFlow!$C$16:$C$40,CashFlow!$D$16:$D$40,CashFlowCalcs!$E533),B532)</f>
        <v>16</v>
      </c>
      <c r="C533" s="147" t="str">
        <f t="shared" si="164"/>
        <v>N</v>
      </c>
      <c r="D533" s="80">
        <f t="shared" si="169"/>
        <v>360</v>
      </c>
      <c r="E533" s="81">
        <f t="shared" si="170"/>
        <v>44883</v>
      </c>
      <c r="F533" s="80">
        <f t="shared" si="171"/>
        <v>-0.86982248520710082</v>
      </c>
      <c r="G533" s="119">
        <f t="shared" si="165"/>
        <v>0.27328662911297674</v>
      </c>
      <c r="H533" s="125">
        <f t="shared" si="172"/>
        <v>44883</v>
      </c>
      <c r="I533" s="82">
        <f t="shared" si="160"/>
        <v>0.68507596276103544</v>
      </c>
      <c r="J533" s="126">
        <f t="shared" si="166"/>
        <v>6247772.3851309475</v>
      </c>
      <c r="K533" s="139">
        <f t="shared" si="161"/>
        <v>0</v>
      </c>
      <c r="L533" s="83">
        <f t="shared" si="159"/>
        <v>6247772.3851309475</v>
      </c>
      <c r="M533" s="80">
        <f t="shared" si="167"/>
        <v>360</v>
      </c>
      <c r="N533" s="157">
        <f t="shared" si="155"/>
        <v>0</v>
      </c>
      <c r="O533" s="140">
        <f t="shared" si="162"/>
        <v>0</v>
      </c>
      <c r="P533" s="149">
        <v>0</v>
      </c>
      <c r="Q533" s="163">
        <f t="shared" si="168"/>
        <v>360</v>
      </c>
      <c r="R533" s="150">
        <f t="shared" si="163"/>
        <v>0</v>
      </c>
      <c r="S533" s="164">
        <f t="shared" si="156"/>
        <v>9119824.2599999998</v>
      </c>
    </row>
    <row r="534" spans="1:19" x14ac:dyDescent="0.25">
      <c r="A534" s="80" t="str">
        <f t="shared" si="153"/>
        <v>Sat</v>
      </c>
      <c r="B534" s="147">
        <f>IF(SUMIFS(CashFlow!$C$16:$C$40,CashFlow!$D$16:$D$40,CashFlowCalcs!$E534)&gt;0,SUMIFS(CashFlow!$C$16:$C$40,CashFlow!$D$16:$D$40,CashFlowCalcs!$E534),B533)</f>
        <v>16</v>
      </c>
      <c r="C534" s="147" t="str">
        <f t="shared" si="164"/>
        <v>Y</v>
      </c>
      <c r="D534" s="80">
        <f t="shared" si="169"/>
        <v>360</v>
      </c>
      <c r="E534" s="81">
        <f t="shared" si="170"/>
        <v>44884</v>
      </c>
      <c r="F534" s="80">
        <f t="shared" si="171"/>
        <v>-0.86982248520710082</v>
      </c>
      <c r="G534" s="119">
        <f t="shared" si="165"/>
        <v>0.27328662911297674</v>
      </c>
      <c r="H534" s="125">
        <f t="shared" si="172"/>
        <v>44884</v>
      </c>
      <c r="I534" s="82">
        <f t="shared" si="160"/>
        <v>0.68507596276103544</v>
      </c>
      <c r="J534" s="126">
        <f t="shared" si="166"/>
        <v>6247772.3851309475</v>
      </c>
      <c r="K534" s="139">
        <f t="shared" si="161"/>
        <v>0</v>
      </c>
      <c r="L534" s="83">
        <f t="shared" si="159"/>
        <v>6247772.3851309475</v>
      </c>
      <c r="M534" s="80">
        <f t="shared" si="167"/>
        <v>360</v>
      </c>
      <c r="N534" s="157">
        <f t="shared" si="155"/>
        <v>0</v>
      </c>
      <c r="O534" s="140">
        <f t="shared" si="162"/>
        <v>0</v>
      </c>
      <c r="P534" s="149">
        <v>0</v>
      </c>
      <c r="Q534" s="163">
        <f t="shared" si="168"/>
        <v>360</v>
      </c>
      <c r="R534" s="150">
        <f t="shared" si="163"/>
        <v>0</v>
      </c>
      <c r="S534" s="164">
        <f t="shared" si="156"/>
        <v>9119824.2599999998</v>
      </c>
    </row>
    <row r="535" spans="1:19" x14ac:dyDescent="0.25">
      <c r="A535" s="80" t="str">
        <f t="shared" si="153"/>
        <v>Sun</v>
      </c>
      <c r="B535" s="147">
        <f>IF(SUMIFS(CashFlow!$C$16:$C$40,CashFlow!$D$16:$D$40,CashFlowCalcs!$E535)&gt;0,SUMIFS(CashFlow!$C$16:$C$40,CashFlow!$D$16:$D$40,CashFlowCalcs!$E535),B534)</f>
        <v>16</v>
      </c>
      <c r="C535" s="147" t="str">
        <f t="shared" si="164"/>
        <v>Y</v>
      </c>
      <c r="D535" s="80">
        <f t="shared" si="169"/>
        <v>360</v>
      </c>
      <c r="E535" s="81">
        <f t="shared" si="170"/>
        <v>44885</v>
      </c>
      <c r="F535" s="80">
        <f t="shared" si="171"/>
        <v>-0.86982248520710082</v>
      </c>
      <c r="G535" s="119">
        <f t="shared" si="165"/>
        <v>0.27328662911297674</v>
      </c>
      <c r="H535" s="125">
        <f t="shared" si="172"/>
        <v>44885</v>
      </c>
      <c r="I535" s="82">
        <f t="shared" si="160"/>
        <v>0.68507596276103544</v>
      </c>
      <c r="J535" s="126">
        <f t="shared" si="166"/>
        <v>6247772.3851309475</v>
      </c>
      <c r="K535" s="139">
        <f t="shared" si="161"/>
        <v>0</v>
      </c>
      <c r="L535" s="83">
        <f t="shared" si="159"/>
        <v>6247772.3851309475</v>
      </c>
      <c r="M535" s="80">
        <f t="shared" si="167"/>
        <v>360</v>
      </c>
      <c r="N535" s="157">
        <f t="shared" si="155"/>
        <v>0</v>
      </c>
      <c r="O535" s="140">
        <f t="shared" si="162"/>
        <v>0</v>
      </c>
      <c r="P535" s="149">
        <v>0</v>
      </c>
      <c r="Q535" s="163">
        <f t="shared" si="168"/>
        <v>360</v>
      </c>
      <c r="R535" s="150">
        <f t="shared" si="163"/>
        <v>0</v>
      </c>
      <c r="S535" s="164">
        <f t="shared" si="156"/>
        <v>9119824.2599999998</v>
      </c>
    </row>
    <row r="536" spans="1:19" x14ac:dyDescent="0.25">
      <c r="A536" s="80" t="str">
        <f t="shared" si="153"/>
        <v>Mon</v>
      </c>
      <c r="B536" s="147">
        <f>IF(SUMIFS(CashFlow!$C$16:$C$40,CashFlow!$D$16:$D$40,CashFlowCalcs!$E536)&gt;0,SUMIFS(CashFlow!$C$16:$C$40,CashFlow!$D$16:$D$40,CashFlowCalcs!$E536),B535)</f>
        <v>16</v>
      </c>
      <c r="C536" s="147" t="str">
        <f t="shared" si="164"/>
        <v>N</v>
      </c>
      <c r="D536" s="80">
        <f t="shared" si="169"/>
        <v>361</v>
      </c>
      <c r="E536" s="81">
        <f t="shared" si="170"/>
        <v>44886</v>
      </c>
      <c r="F536" s="80">
        <f t="shared" si="171"/>
        <v>-0.86390532544378695</v>
      </c>
      <c r="G536" s="119">
        <f t="shared" si="165"/>
        <v>0.27469201925990072</v>
      </c>
      <c r="H536" s="125">
        <f t="shared" si="172"/>
        <v>44886</v>
      </c>
      <c r="I536" s="82">
        <f t="shared" si="160"/>
        <v>0.68859900013422792</v>
      </c>
      <c r="J536" s="126">
        <f t="shared" si="166"/>
        <v>6279901.8668358745</v>
      </c>
      <c r="K536" s="139">
        <f t="shared" si="161"/>
        <v>0</v>
      </c>
      <c r="L536" s="83">
        <f t="shared" si="159"/>
        <v>6279901.8668358745</v>
      </c>
      <c r="M536" s="80">
        <f t="shared" si="167"/>
        <v>361</v>
      </c>
      <c r="N536" s="157">
        <f t="shared" si="155"/>
        <v>0</v>
      </c>
      <c r="O536" s="140">
        <f t="shared" si="162"/>
        <v>0</v>
      </c>
      <c r="P536" s="149">
        <v>0</v>
      </c>
      <c r="Q536" s="163">
        <f t="shared" si="168"/>
        <v>361</v>
      </c>
      <c r="R536" s="150">
        <f t="shared" si="163"/>
        <v>0</v>
      </c>
      <c r="S536" s="164">
        <f t="shared" si="156"/>
        <v>9119824.2599999998</v>
      </c>
    </row>
    <row r="537" spans="1:19" x14ac:dyDescent="0.25">
      <c r="A537" s="80" t="str">
        <f t="shared" si="153"/>
        <v>Tues</v>
      </c>
      <c r="B537" s="147">
        <f>IF(SUMIFS(CashFlow!$C$16:$C$40,CashFlow!$D$16:$D$40,CashFlowCalcs!$E537)&gt;0,SUMIFS(CashFlow!$C$16:$C$40,CashFlow!$D$16:$D$40,CashFlowCalcs!$E537),B536)</f>
        <v>16</v>
      </c>
      <c r="C537" s="147" t="str">
        <f t="shared" si="164"/>
        <v>N</v>
      </c>
      <c r="D537" s="80">
        <f t="shared" si="169"/>
        <v>362</v>
      </c>
      <c r="E537" s="81">
        <f t="shared" si="170"/>
        <v>44887</v>
      </c>
      <c r="F537" s="80">
        <f t="shared" si="171"/>
        <v>-0.85798816568047354</v>
      </c>
      <c r="G537" s="119">
        <f t="shared" si="165"/>
        <v>0.27609496967431213</v>
      </c>
      <c r="H537" s="125">
        <f t="shared" si="172"/>
        <v>44887</v>
      </c>
      <c r="I537" s="82">
        <f t="shared" si="160"/>
        <v>0.69211592157666546</v>
      </c>
      <c r="J537" s="126">
        <f t="shared" si="166"/>
        <v>6311975.5723271314</v>
      </c>
      <c r="K537" s="139">
        <f t="shared" si="161"/>
        <v>0</v>
      </c>
      <c r="L537" s="83">
        <f t="shared" si="159"/>
        <v>6311975.5723271314</v>
      </c>
      <c r="M537" s="80">
        <f t="shared" si="167"/>
        <v>362</v>
      </c>
      <c r="N537" s="157">
        <f t="shared" si="155"/>
        <v>0</v>
      </c>
      <c r="O537" s="140">
        <f t="shared" si="162"/>
        <v>0</v>
      </c>
      <c r="P537" s="149">
        <v>0</v>
      </c>
      <c r="Q537" s="163">
        <f t="shared" si="168"/>
        <v>362</v>
      </c>
      <c r="R537" s="150">
        <f t="shared" si="163"/>
        <v>0</v>
      </c>
      <c r="S537" s="164">
        <f t="shared" si="156"/>
        <v>9119824.2599999998</v>
      </c>
    </row>
    <row r="538" spans="1:19" x14ac:dyDescent="0.25">
      <c r="A538" s="80" t="str">
        <f t="shared" ref="A538:A601" si="173">A531</f>
        <v>Wed</v>
      </c>
      <c r="B538" s="147">
        <f>IF(SUMIFS(CashFlow!$C$16:$C$40,CashFlow!$D$16:$D$40,CashFlowCalcs!$E538)&gt;0,SUMIFS(CashFlow!$C$16:$C$40,CashFlow!$D$16:$D$40,CashFlowCalcs!$E538),B537)</f>
        <v>16</v>
      </c>
      <c r="C538" s="147" t="str">
        <f t="shared" si="164"/>
        <v>N</v>
      </c>
      <c r="D538" s="80">
        <f t="shared" si="169"/>
        <v>363</v>
      </c>
      <c r="E538" s="81">
        <f t="shared" si="170"/>
        <v>44888</v>
      </c>
      <c r="F538" s="80">
        <f t="shared" si="171"/>
        <v>-0.85207100591715967</v>
      </c>
      <c r="G538" s="119">
        <f t="shared" si="165"/>
        <v>0.27749536940408165</v>
      </c>
      <c r="H538" s="125">
        <f t="shared" si="172"/>
        <v>44888</v>
      </c>
      <c r="I538" s="82">
        <f t="shared" si="160"/>
        <v>0.69562644895312753</v>
      </c>
      <c r="J538" s="126">
        <f t="shared" si="166"/>
        <v>6343990.965060384</v>
      </c>
      <c r="K538" s="139">
        <f t="shared" si="161"/>
        <v>0</v>
      </c>
      <c r="L538" s="83">
        <f t="shared" si="159"/>
        <v>6343990.965060384</v>
      </c>
      <c r="M538" s="80">
        <f t="shared" si="167"/>
        <v>363</v>
      </c>
      <c r="N538" s="157">
        <f t="shared" si="155"/>
        <v>0</v>
      </c>
      <c r="O538" s="140">
        <f t="shared" si="162"/>
        <v>0</v>
      </c>
      <c r="P538" s="149">
        <v>0</v>
      </c>
      <c r="Q538" s="163">
        <f t="shared" si="168"/>
        <v>363</v>
      </c>
      <c r="R538" s="150">
        <f t="shared" si="163"/>
        <v>0</v>
      </c>
      <c r="S538" s="164">
        <f t="shared" si="156"/>
        <v>9119824.2599999998</v>
      </c>
    </row>
    <row r="539" spans="1:19" x14ac:dyDescent="0.25">
      <c r="A539" s="80" t="str">
        <f t="shared" si="173"/>
        <v>Thu</v>
      </c>
      <c r="B539" s="147">
        <f>IF(SUMIFS(CashFlow!$C$16:$C$40,CashFlow!$D$16:$D$40,CashFlowCalcs!$E539)&gt;0,SUMIFS(CashFlow!$C$16:$C$40,CashFlow!$D$16:$D$40,CashFlowCalcs!$E539),B538)</f>
        <v>16</v>
      </c>
      <c r="C539" s="147" t="str">
        <f t="shared" si="164"/>
        <v>N</v>
      </c>
      <c r="D539" s="80">
        <f t="shared" si="169"/>
        <v>364</v>
      </c>
      <c r="E539" s="81">
        <f t="shared" si="170"/>
        <v>44889</v>
      </c>
      <c r="F539" s="80">
        <f t="shared" si="171"/>
        <v>-0.84615384615384626</v>
      </c>
      <c r="G539" s="119">
        <f t="shared" si="165"/>
        <v>0.27889310720095994</v>
      </c>
      <c r="H539" s="125">
        <f t="shared" si="172"/>
        <v>44889</v>
      </c>
      <c r="I539" s="82">
        <f t="shared" si="160"/>
        <v>0.69913030338607907</v>
      </c>
      <c r="J539" s="126">
        <f t="shared" si="166"/>
        <v>6375945.5017215237</v>
      </c>
      <c r="K539" s="139">
        <f t="shared" si="161"/>
        <v>0</v>
      </c>
      <c r="L539" s="83">
        <f t="shared" si="159"/>
        <v>6375945.5017215237</v>
      </c>
      <c r="M539" s="80">
        <f t="shared" si="167"/>
        <v>364</v>
      </c>
      <c r="N539" s="157">
        <f t="shared" si="155"/>
        <v>0</v>
      </c>
      <c r="O539" s="140">
        <f t="shared" si="162"/>
        <v>0</v>
      </c>
      <c r="P539" s="149">
        <v>0</v>
      </c>
      <c r="Q539" s="163">
        <f t="shared" si="168"/>
        <v>364</v>
      </c>
      <c r="R539" s="150">
        <f t="shared" si="163"/>
        <v>0</v>
      </c>
      <c r="S539" s="164">
        <f t="shared" si="156"/>
        <v>9119824.2599999998</v>
      </c>
    </row>
    <row r="540" spans="1:19" x14ac:dyDescent="0.25">
      <c r="A540" s="80" t="str">
        <f t="shared" si="173"/>
        <v>Fri</v>
      </c>
      <c r="B540" s="147">
        <f>IF(SUMIFS(CashFlow!$C$16:$C$40,CashFlow!$D$16:$D$40,CashFlowCalcs!$E540)&gt;0,SUMIFS(CashFlow!$C$16:$C$40,CashFlow!$D$16:$D$40,CashFlowCalcs!$E540),B539)</f>
        <v>16</v>
      </c>
      <c r="C540" s="147" t="str">
        <f t="shared" si="164"/>
        <v>N</v>
      </c>
      <c r="D540" s="80">
        <f t="shared" si="169"/>
        <v>365</v>
      </c>
      <c r="E540" s="81">
        <f t="shared" si="170"/>
        <v>44890</v>
      </c>
      <c r="F540" s="80">
        <f t="shared" si="171"/>
        <v>-0.84023668639053239</v>
      </c>
      <c r="G540" s="119">
        <f t="shared" si="165"/>
        <v>0.28028807153469626</v>
      </c>
      <c r="H540" s="125">
        <f t="shared" si="172"/>
        <v>44890</v>
      </c>
      <c r="I540" s="82">
        <f t="shared" si="160"/>
        <v>0.7026272052910626</v>
      </c>
      <c r="J540" s="126">
        <f t="shared" si="166"/>
        <v>6407836.632549433</v>
      </c>
      <c r="K540" s="139">
        <f t="shared" si="161"/>
        <v>0</v>
      </c>
      <c r="L540" s="83">
        <f t="shared" si="159"/>
        <v>6407836.632549433</v>
      </c>
      <c r="M540" s="80">
        <f t="shared" si="167"/>
        <v>365</v>
      </c>
      <c r="N540" s="157">
        <f t="shared" si="155"/>
        <v>0</v>
      </c>
      <c r="O540" s="140">
        <f t="shared" si="162"/>
        <v>0</v>
      </c>
      <c r="P540" s="149">
        <v>0</v>
      </c>
      <c r="Q540" s="163">
        <f t="shared" si="168"/>
        <v>365</v>
      </c>
      <c r="R540" s="150">
        <f t="shared" si="163"/>
        <v>0</v>
      </c>
      <c r="S540" s="164">
        <f t="shared" si="156"/>
        <v>9119824.2599999998</v>
      </c>
    </row>
    <row r="541" spans="1:19" x14ac:dyDescent="0.25">
      <c r="A541" s="80" t="str">
        <f t="shared" si="173"/>
        <v>Sat</v>
      </c>
      <c r="B541" s="147">
        <f>IF(SUMIFS(CashFlow!$C$16:$C$40,CashFlow!$D$16:$D$40,CashFlowCalcs!$E541)&gt;0,SUMIFS(CashFlow!$C$16:$C$40,CashFlow!$D$16:$D$40,CashFlowCalcs!$E541),B540)</f>
        <v>16</v>
      </c>
      <c r="C541" s="147" t="str">
        <f t="shared" si="164"/>
        <v>Y</v>
      </c>
      <c r="D541" s="80">
        <f t="shared" si="169"/>
        <v>365</v>
      </c>
      <c r="E541" s="81">
        <f t="shared" si="170"/>
        <v>44891</v>
      </c>
      <c r="F541" s="80">
        <f t="shared" si="171"/>
        <v>-0.84023668639053239</v>
      </c>
      <c r="G541" s="119">
        <f t="shared" si="165"/>
        <v>0.28028807153469626</v>
      </c>
      <c r="H541" s="125">
        <f t="shared" si="172"/>
        <v>44891</v>
      </c>
      <c r="I541" s="82">
        <f t="shared" si="160"/>
        <v>0.7026272052910626</v>
      </c>
      <c r="J541" s="126">
        <f t="shared" si="166"/>
        <v>6407836.632549433</v>
      </c>
      <c r="K541" s="139">
        <f t="shared" si="161"/>
        <v>0</v>
      </c>
      <c r="L541" s="83">
        <f t="shared" si="159"/>
        <v>6407836.632549433</v>
      </c>
      <c r="M541" s="80">
        <f t="shared" si="167"/>
        <v>365</v>
      </c>
      <c r="N541" s="157">
        <f t="shared" si="155"/>
        <v>0</v>
      </c>
      <c r="O541" s="140">
        <f t="shared" si="162"/>
        <v>0</v>
      </c>
      <c r="P541" s="149">
        <v>0</v>
      </c>
      <c r="Q541" s="163">
        <f t="shared" si="168"/>
        <v>365</v>
      </c>
      <c r="R541" s="150">
        <f t="shared" si="163"/>
        <v>0</v>
      </c>
      <c r="S541" s="164">
        <f t="shared" si="156"/>
        <v>9119824.2599999998</v>
      </c>
    </row>
    <row r="542" spans="1:19" x14ac:dyDescent="0.25">
      <c r="A542" s="80" t="str">
        <f t="shared" si="173"/>
        <v>Sun</v>
      </c>
      <c r="B542" s="147">
        <f>IF(SUMIFS(CashFlow!$C$16:$C$40,CashFlow!$D$16:$D$40,CashFlowCalcs!$E542)&gt;0,SUMIFS(CashFlow!$C$16:$C$40,CashFlow!$D$16:$D$40,CashFlowCalcs!$E542),B541)</f>
        <v>16</v>
      </c>
      <c r="C542" s="147" t="str">
        <f t="shared" si="164"/>
        <v>Y</v>
      </c>
      <c r="D542" s="80">
        <f t="shared" si="169"/>
        <v>365</v>
      </c>
      <c r="E542" s="81">
        <f t="shared" si="170"/>
        <v>44892</v>
      </c>
      <c r="F542" s="80">
        <f t="shared" si="171"/>
        <v>-0.84023668639053239</v>
      </c>
      <c r="G542" s="119">
        <f t="shared" si="165"/>
        <v>0.28028807153469626</v>
      </c>
      <c r="H542" s="125">
        <f t="shared" si="172"/>
        <v>44892</v>
      </c>
      <c r="I542" s="82">
        <f t="shared" si="160"/>
        <v>0.7026272052910626</v>
      </c>
      <c r="J542" s="126">
        <f t="shared" si="166"/>
        <v>6407836.632549433</v>
      </c>
      <c r="K542" s="139">
        <f t="shared" si="161"/>
        <v>0</v>
      </c>
      <c r="L542" s="83">
        <f t="shared" si="159"/>
        <v>6407836.632549433</v>
      </c>
      <c r="M542" s="80">
        <f t="shared" si="167"/>
        <v>365</v>
      </c>
      <c r="N542" s="157">
        <f t="shared" si="155"/>
        <v>0</v>
      </c>
      <c r="O542" s="140">
        <f t="shared" si="162"/>
        <v>0</v>
      </c>
      <c r="P542" s="149">
        <v>0</v>
      </c>
      <c r="Q542" s="163">
        <f t="shared" si="168"/>
        <v>365</v>
      </c>
      <c r="R542" s="150">
        <f t="shared" si="163"/>
        <v>0</v>
      </c>
      <c r="S542" s="164">
        <f t="shared" si="156"/>
        <v>9119824.2599999998</v>
      </c>
    </row>
    <row r="543" spans="1:19" x14ac:dyDescent="0.25">
      <c r="A543" s="80" t="str">
        <f t="shared" si="173"/>
        <v>Mon</v>
      </c>
      <c r="B543" s="147">
        <f>IF(SUMIFS(CashFlow!$C$16:$C$40,CashFlow!$D$16:$D$40,CashFlowCalcs!$E543)&gt;0,SUMIFS(CashFlow!$C$16:$C$40,CashFlow!$D$16:$D$40,CashFlowCalcs!$E543),B542)</f>
        <v>18</v>
      </c>
      <c r="C543" s="147" t="str">
        <f t="shared" si="164"/>
        <v>N</v>
      </c>
      <c r="D543" s="80">
        <f t="shared" si="169"/>
        <v>366</v>
      </c>
      <c r="E543" s="81">
        <f t="shared" si="170"/>
        <v>44893</v>
      </c>
      <c r="F543" s="80">
        <f t="shared" si="171"/>
        <v>-0.83431952662721898</v>
      </c>
      <c r="G543" s="119">
        <f t="shared" si="165"/>
        <v>0.28168015060727564</v>
      </c>
      <c r="H543" s="125">
        <f t="shared" si="172"/>
        <v>44893</v>
      </c>
      <c r="I543" s="82">
        <f t="shared" si="160"/>
        <v>0.70611687441238857</v>
      </c>
      <c r="J543" s="126">
        <f t="shared" si="166"/>
        <v>6439661.8016614746</v>
      </c>
      <c r="K543" s="139">
        <f t="shared" si="161"/>
        <v>0</v>
      </c>
      <c r="L543" s="83">
        <f t="shared" si="159"/>
        <v>6439661.8016614746</v>
      </c>
      <c r="M543" s="80">
        <f t="shared" si="167"/>
        <v>366</v>
      </c>
      <c r="N543" s="157">
        <f t="shared" si="155"/>
        <v>0</v>
      </c>
      <c r="O543" s="140">
        <f t="shared" si="162"/>
        <v>0</v>
      </c>
      <c r="P543" s="149">
        <v>0</v>
      </c>
      <c r="Q543" s="163">
        <f t="shared" si="168"/>
        <v>366</v>
      </c>
      <c r="R543" s="150">
        <f t="shared" si="163"/>
        <v>0</v>
      </c>
      <c r="S543" s="164">
        <f t="shared" si="156"/>
        <v>9119824.2599999998</v>
      </c>
    </row>
    <row r="544" spans="1:19" x14ac:dyDescent="0.25">
      <c r="A544" s="80" t="str">
        <f t="shared" si="173"/>
        <v>Tues</v>
      </c>
      <c r="B544" s="147">
        <f>IF(SUMIFS(CashFlow!$C$16:$C$40,CashFlow!$D$16:$D$40,CashFlowCalcs!$E544)&gt;0,SUMIFS(CashFlow!$C$16:$C$40,CashFlow!$D$16:$D$40,CashFlowCalcs!$E544),B543)</f>
        <v>18</v>
      </c>
      <c r="C544" s="147" t="str">
        <f t="shared" si="164"/>
        <v>N</v>
      </c>
      <c r="D544" s="80">
        <f t="shared" si="169"/>
        <v>367</v>
      </c>
      <c r="E544" s="81">
        <f t="shared" si="170"/>
        <v>44894</v>
      </c>
      <c r="F544" s="80">
        <f t="shared" si="171"/>
        <v>-0.82840236686390512</v>
      </c>
      <c r="G544" s="119">
        <f t="shared" si="165"/>
        <v>0.28306923236727699</v>
      </c>
      <c r="H544" s="125">
        <f t="shared" si="172"/>
        <v>44894</v>
      </c>
      <c r="I544" s="82">
        <f t="shared" si="160"/>
        <v>0.70959902985912771</v>
      </c>
      <c r="J544" s="126">
        <f t="shared" si="166"/>
        <v>6471418.4473817367</v>
      </c>
      <c r="K544" s="139">
        <f t="shared" si="161"/>
        <v>0</v>
      </c>
      <c r="L544" s="83">
        <f t="shared" si="159"/>
        <v>6471418.4473817367</v>
      </c>
      <c r="M544" s="80">
        <f t="shared" si="167"/>
        <v>367</v>
      </c>
      <c r="N544" s="157">
        <f t="shared" si="155"/>
        <v>0</v>
      </c>
      <c r="O544" s="140">
        <f t="shared" si="162"/>
        <v>0</v>
      </c>
      <c r="P544" s="149">
        <v>0</v>
      </c>
      <c r="Q544" s="163">
        <f t="shared" si="168"/>
        <v>367</v>
      </c>
      <c r="R544" s="150">
        <f t="shared" si="163"/>
        <v>0</v>
      </c>
      <c r="S544" s="164">
        <f t="shared" si="156"/>
        <v>9119824.2599999998</v>
      </c>
    </row>
    <row r="545" spans="1:19" x14ac:dyDescent="0.25">
      <c r="A545" s="80" t="str">
        <f t="shared" si="173"/>
        <v>Wed</v>
      </c>
      <c r="B545" s="147">
        <f>IF(SUMIFS(CashFlow!$C$16:$C$40,CashFlow!$D$16:$D$40,CashFlowCalcs!$E545)&gt;0,SUMIFS(CashFlow!$C$16:$C$40,CashFlow!$D$16:$D$40,CashFlowCalcs!$E545),B544)</f>
        <v>18</v>
      </c>
      <c r="C545" s="147" t="str">
        <f t="shared" si="164"/>
        <v>N</v>
      </c>
      <c r="D545" s="80">
        <f t="shared" si="169"/>
        <v>368</v>
      </c>
      <c r="E545" s="81">
        <f t="shared" si="170"/>
        <v>44895</v>
      </c>
      <c r="F545" s="80">
        <f t="shared" si="171"/>
        <v>-0.8224852071005917</v>
      </c>
      <c r="G545" s="119">
        <f t="shared" si="165"/>
        <v>0.28445520452434492</v>
      </c>
      <c r="H545" s="125">
        <f t="shared" si="172"/>
        <v>44895</v>
      </c>
      <c r="I545" s="82">
        <f t="shared" si="160"/>
        <v>0.71307339014138937</v>
      </c>
      <c r="J545" s="126">
        <f t="shared" si="166"/>
        <v>6503104.0025718873</v>
      </c>
      <c r="K545" s="139">
        <f t="shared" si="161"/>
        <v>0</v>
      </c>
      <c r="L545" s="83">
        <f t="shared" si="159"/>
        <v>6503104.0025718873</v>
      </c>
      <c r="M545" s="80">
        <f t="shared" si="167"/>
        <v>368</v>
      </c>
      <c r="N545" s="157">
        <f t="shared" si="155"/>
        <v>0</v>
      </c>
      <c r="O545" s="140">
        <f t="shared" si="162"/>
        <v>0</v>
      </c>
      <c r="P545" s="149">
        <v>0</v>
      </c>
      <c r="Q545" s="163">
        <f t="shared" si="168"/>
        <v>368</v>
      </c>
      <c r="R545" s="150">
        <f t="shared" si="163"/>
        <v>0</v>
      </c>
      <c r="S545" s="164">
        <f t="shared" si="156"/>
        <v>9119824.2599999998</v>
      </c>
    </row>
    <row r="546" spans="1:19" x14ac:dyDescent="0.25">
      <c r="A546" s="80" t="str">
        <f t="shared" si="173"/>
        <v>Thu</v>
      </c>
      <c r="B546" s="147">
        <f>IF(SUMIFS(CashFlow!$C$16:$C$40,CashFlow!$D$16:$D$40,CashFlowCalcs!$E546)&gt;0,SUMIFS(CashFlow!$C$16:$C$40,CashFlow!$D$16:$D$40,CashFlowCalcs!$E546),B545)</f>
        <v>18</v>
      </c>
      <c r="C546" s="147" t="str">
        <f t="shared" si="164"/>
        <v>N</v>
      </c>
      <c r="D546" s="80">
        <f t="shared" si="169"/>
        <v>369</v>
      </c>
      <c r="E546" s="81">
        <f t="shared" si="170"/>
        <v>44896</v>
      </c>
      <c r="F546" s="80">
        <f t="shared" si="171"/>
        <v>-0.81656804733727784</v>
      </c>
      <c r="G546" s="119">
        <f t="shared" si="165"/>
        <v>0.28583795456377703</v>
      </c>
      <c r="H546" s="125">
        <f t="shared" si="172"/>
        <v>44896</v>
      </c>
      <c r="I546" s="82">
        <f t="shared" si="160"/>
        <v>0.71653967320688905</v>
      </c>
      <c r="J546" s="126">
        <f t="shared" si="166"/>
        <v>6534715.8949646587</v>
      </c>
      <c r="K546" s="139">
        <f t="shared" si="161"/>
        <v>0</v>
      </c>
      <c r="L546" s="83">
        <f t="shared" si="159"/>
        <v>6534715.8949646587</v>
      </c>
      <c r="M546" s="80">
        <f t="shared" si="167"/>
        <v>369</v>
      </c>
      <c r="N546" s="157">
        <f t="shared" si="155"/>
        <v>0</v>
      </c>
      <c r="O546" s="140">
        <f t="shared" si="162"/>
        <v>0</v>
      </c>
      <c r="P546" s="149">
        <v>0</v>
      </c>
      <c r="Q546" s="163">
        <f t="shared" si="168"/>
        <v>369</v>
      </c>
      <c r="R546" s="150">
        <f t="shared" si="163"/>
        <v>0</v>
      </c>
      <c r="S546" s="164">
        <f t="shared" si="156"/>
        <v>9119824.2599999998</v>
      </c>
    </row>
    <row r="547" spans="1:19" x14ac:dyDescent="0.25">
      <c r="A547" s="80" t="str">
        <f t="shared" si="173"/>
        <v>Fri</v>
      </c>
      <c r="B547" s="147">
        <f>IF(SUMIFS(CashFlow!$C$16:$C$40,CashFlow!$D$16:$D$40,CashFlowCalcs!$E547)&gt;0,SUMIFS(CashFlow!$C$16:$C$40,CashFlow!$D$16:$D$40,CashFlowCalcs!$E547),B546)</f>
        <v>18</v>
      </c>
      <c r="C547" s="147" t="str">
        <f t="shared" si="164"/>
        <v>N</v>
      </c>
      <c r="D547" s="80">
        <f t="shared" si="169"/>
        <v>370</v>
      </c>
      <c r="E547" s="81">
        <f t="shared" si="170"/>
        <v>44897</v>
      </c>
      <c r="F547" s="80">
        <f t="shared" si="171"/>
        <v>-0.81065088757396442</v>
      </c>
      <c r="G547" s="119">
        <f t="shared" si="165"/>
        <v>0.28721736976122075</v>
      </c>
      <c r="H547" s="125">
        <f t="shared" si="172"/>
        <v>44897</v>
      </c>
      <c r="I547" s="82">
        <f t="shared" si="160"/>
        <v>0.71999759647779049</v>
      </c>
      <c r="J547" s="126">
        <f t="shared" si="166"/>
        <v>6566251.5474998439</v>
      </c>
      <c r="K547" s="139">
        <f t="shared" si="161"/>
        <v>0</v>
      </c>
      <c r="L547" s="83">
        <f t="shared" si="159"/>
        <v>6566251.5474998439</v>
      </c>
      <c r="M547" s="80">
        <f t="shared" si="167"/>
        <v>370</v>
      </c>
      <c r="N547" s="157">
        <f t="shared" si="155"/>
        <v>0</v>
      </c>
      <c r="O547" s="140">
        <f t="shared" si="162"/>
        <v>0</v>
      </c>
      <c r="P547" s="149">
        <v>0</v>
      </c>
      <c r="Q547" s="163">
        <f t="shared" si="168"/>
        <v>370</v>
      </c>
      <c r="R547" s="150">
        <f t="shared" si="163"/>
        <v>0</v>
      </c>
      <c r="S547" s="164">
        <f t="shared" si="156"/>
        <v>9119824.2599999998</v>
      </c>
    </row>
    <row r="548" spans="1:19" x14ac:dyDescent="0.25">
      <c r="A548" s="80" t="str">
        <f t="shared" si="173"/>
        <v>Sat</v>
      </c>
      <c r="B548" s="147">
        <f>IF(SUMIFS(CashFlow!$C$16:$C$40,CashFlow!$D$16:$D$40,CashFlowCalcs!$E548)&gt;0,SUMIFS(CashFlow!$C$16:$C$40,CashFlow!$D$16:$D$40,CashFlowCalcs!$E548),B547)</f>
        <v>18</v>
      </c>
      <c r="C548" s="147" t="str">
        <f t="shared" si="164"/>
        <v>Y</v>
      </c>
      <c r="D548" s="80">
        <f t="shared" si="169"/>
        <v>370</v>
      </c>
      <c r="E548" s="81">
        <f t="shared" ref="E548:E563" si="174">E547+1</f>
        <v>44898</v>
      </c>
      <c r="F548" s="80">
        <f t="shared" si="171"/>
        <v>-0.81065088757396442</v>
      </c>
      <c r="G548" s="119">
        <f t="shared" si="165"/>
        <v>0.28721736976122075</v>
      </c>
      <c r="H548" s="125">
        <f t="shared" si="172"/>
        <v>44898</v>
      </c>
      <c r="I548" s="82">
        <f t="shared" si="160"/>
        <v>0.71999759647779049</v>
      </c>
      <c r="J548" s="126">
        <f t="shared" si="166"/>
        <v>6566251.5474998439</v>
      </c>
      <c r="K548" s="139">
        <f t="shared" si="161"/>
        <v>0</v>
      </c>
      <c r="L548" s="83">
        <f t="shared" si="159"/>
        <v>6566251.5474998439</v>
      </c>
      <c r="M548" s="80">
        <f t="shared" si="167"/>
        <v>370</v>
      </c>
      <c r="N548" s="157">
        <f t="shared" ref="N548:N611" si="175">IF(E548&lt;$J$6,0,IF(E548&gt;=$I$1,0,1))*$I$10</f>
        <v>0</v>
      </c>
      <c r="O548" s="140">
        <f t="shared" si="162"/>
        <v>0</v>
      </c>
      <c r="P548" s="149">
        <v>0</v>
      </c>
      <c r="Q548" s="163">
        <f t="shared" si="168"/>
        <v>370</v>
      </c>
      <c r="R548" s="150">
        <f t="shared" si="163"/>
        <v>0</v>
      </c>
      <c r="S548" s="164">
        <f t="shared" si="156"/>
        <v>9119824.2599999998</v>
      </c>
    </row>
    <row r="549" spans="1:19" x14ac:dyDescent="0.25">
      <c r="A549" s="80" t="str">
        <f t="shared" si="173"/>
        <v>Sun</v>
      </c>
      <c r="B549" s="147">
        <f>IF(SUMIFS(CashFlow!$C$16:$C$40,CashFlow!$D$16:$D$40,CashFlowCalcs!$E549)&gt;0,SUMIFS(CashFlow!$C$16:$C$40,CashFlow!$D$16:$D$40,CashFlowCalcs!$E549),B548)</f>
        <v>18</v>
      </c>
      <c r="C549" s="147" t="str">
        <f t="shared" si="164"/>
        <v>Y</v>
      </c>
      <c r="D549" s="80">
        <f t="shared" si="169"/>
        <v>370</v>
      </c>
      <c r="E549" s="81">
        <f t="shared" si="174"/>
        <v>44899</v>
      </c>
      <c r="F549" s="80">
        <f t="shared" si="171"/>
        <v>-0.81065088757396442</v>
      </c>
      <c r="G549" s="119">
        <f t="shared" si="165"/>
        <v>0.28721736976122075</v>
      </c>
      <c r="H549" s="125">
        <f t="shared" si="172"/>
        <v>44899</v>
      </c>
      <c r="I549" s="82">
        <f t="shared" si="160"/>
        <v>0.71999759647779049</v>
      </c>
      <c r="J549" s="126">
        <f t="shared" si="166"/>
        <v>6566251.5474998439</v>
      </c>
      <c r="K549" s="139">
        <f t="shared" si="161"/>
        <v>0</v>
      </c>
      <c r="L549" s="83">
        <f t="shared" si="159"/>
        <v>6566251.5474998439</v>
      </c>
      <c r="M549" s="80">
        <f t="shared" si="167"/>
        <v>370</v>
      </c>
      <c r="N549" s="157">
        <f t="shared" si="175"/>
        <v>0</v>
      </c>
      <c r="O549" s="140">
        <f t="shared" si="162"/>
        <v>0</v>
      </c>
      <c r="P549" s="149">
        <v>0</v>
      </c>
      <c r="Q549" s="163">
        <f t="shared" si="168"/>
        <v>370</v>
      </c>
      <c r="R549" s="150">
        <f t="shared" si="163"/>
        <v>0</v>
      </c>
      <c r="S549" s="164">
        <f t="shared" si="156"/>
        <v>9119824.2599999998</v>
      </c>
    </row>
    <row r="550" spans="1:19" x14ac:dyDescent="0.25">
      <c r="A550" s="80" t="str">
        <f t="shared" si="173"/>
        <v>Mon</v>
      </c>
      <c r="B550" s="147">
        <f>IF(SUMIFS(CashFlow!$C$16:$C$40,CashFlow!$D$16:$D$40,CashFlowCalcs!$E550)&gt;0,SUMIFS(CashFlow!$C$16:$C$40,CashFlow!$D$16:$D$40,CashFlowCalcs!$E550),B549)</f>
        <v>18</v>
      </c>
      <c r="C550" s="147" t="str">
        <f t="shared" si="164"/>
        <v>N</v>
      </c>
      <c r="D550" s="80">
        <f t="shared" si="169"/>
        <v>371</v>
      </c>
      <c r="E550" s="81">
        <f t="shared" si="174"/>
        <v>44900</v>
      </c>
      <c r="F550" s="80">
        <f t="shared" si="171"/>
        <v>-0.804733727810651</v>
      </c>
      <c r="G550" s="119">
        <f t="shared" si="165"/>
        <v>0.28859333719747982</v>
      </c>
      <c r="H550" s="125">
        <f t="shared" si="172"/>
        <v>44900</v>
      </c>
      <c r="I550" s="82">
        <f t="shared" si="160"/>
        <v>0.72344687688782217</v>
      </c>
      <c r="J550" s="126">
        <f t="shared" si="166"/>
        <v>6597708.3786627939</v>
      </c>
      <c r="K550" s="139">
        <f t="shared" si="161"/>
        <v>0</v>
      </c>
      <c r="L550" s="83">
        <f t="shared" si="159"/>
        <v>6597708.3786627939</v>
      </c>
      <c r="M550" s="80">
        <f t="shared" si="167"/>
        <v>371</v>
      </c>
      <c r="N550" s="157">
        <f t="shared" si="175"/>
        <v>0</v>
      </c>
      <c r="O550" s="140">
        <f t="shared" si="162"/>
        <v>0</v>
      </c>
      <c r="P550" s="149">
        <v>0</v>
      </c>
      <c r="Q550" s="163">
        <f t="shared" si="168"/>
        <v>371</v>
      </c>
      <c r="R550" s="150">
        <f t="shared" si="163"/>
        <v>0</v>
      </c>
      <c r="S550" s="164">
        <f t="shared" si="156"/>
        <v>9119824.2599999998</v>
      </c>
    </row>
    <row r="551" spans="1:19" x14ac:dyDescent="0.25">
      <c r="A551" s="80" t="str">
        <f t="shared" si="173"/>
        <v>Tues</v>
      </c>
      <c r="B551" s="147">
        <f>IF(SUMIFS(CashFlow!$C$16:$C$40,CashFlow!$D$16:$D$40,CashFlowCalcs!$E551)&gt;0,SUMIFS(CashFlow!$C$16:$C$40,CashFlow!$D$16:$D$40,CashFlowCalcs!$E551),B550)</f>
        <v>18</v>
      </c>
      <c r="C551" s="147" t="str">
        <f t="shared" si="164"/>
        <v>N</v>
      </c>
      <c r="D551" s="80">
        <f t="shared" si="169"/>
        <v>372</v>
      </c>
      <c r="E551" s="81">
        <f t="shared" si="174"/>
        <v>44901</v>
      </c>
      <c r="F551" s="80">
        <f t="shared" si="171"/>
        <v>-0.79881656804733758</v>
      </c>
      <c r="G551" s="119">
        <f t="shared" si="165"/>
        <v>0.28996574377342593</v>
      </c>
      <c r="H551" s="125">
        <f t="shared" si="172"/>
        <v>44901</v>
      </c>
      <c r="I551" s="82">
        <f t="shared" si="160"/>
        <v>0.72688723091965879</v>
      </c>
      <c r="J551" s="126">
        <f t="shared" si="166"/>
        <v>6629083.8028253261</v>
      </c>
      <c r="K551" s="139">
        <f t="shared" si="161"/>
        <v>0</v>
      </c>
      <c r="L551" s="83">
        <f t="shared" si="159"/>
        <v>6629083.8028253261</v>
      </c>
      <c r="M551" s="80">
        <f t="shared" si="167"/>
        <v>372</v>
      </c>
      <c r="N551" s="157">
        <f t="shared" si="175"/>
        <v>0</v>
      </c>
      <c r="O551" s="140">
        <f t="shared" si="162"/>
        <v>0</v>
      </c>
      <c r="P551" s="149">
        <v>0</v>
      </c>
      <c r="Q551" s="163">
        <f t="shared" si="168"/>
        <v>372</v>
      </c>
      <c r="R551" s="150">
        <f t="shared" si="163"/>
        <v>0</v>
      </c>
      <c r="S551" s="164">
        <f t="shared" si="156"/>
        <v>9119824.2599999998</v>
      </c>
    </row>
    <row r="552" spans="1:19" x14ac:dyDescent="0.25">
      <c r="A552" s="80" t="str">
        <f t="shared" si="173"/>
        <v>Wed</v>
      </c>
      <c r="B552" s="147">
        <f>IF(SUMIFS(CashFlow!$C$16:$C$40,CashFlow!$D$16:$D$40,CashFlowCalcs!$E552)&gt;0,SUMIFS(CashFlow!$C$16:$C$40,CashFlow!$D$16:$D$40,CashFlowCalcs!$E552),B551)</f>
        <v>18</v>
      </c>
      <c r="C552" s="147" t="str">
        <f t="shared" si="164"/>
        <v>N</v>
      </c>
      <c r="D552" s="80">
        <f t="shared" si="169"/>
        <v>373</v>
      </c>
      <c r="E552" s="81">
        <f t="shared" si="174"/>
        <v>44902</v>
      </c>
      <c r="F552" s="80">
        <f t="shared" si="171"/>
        <v>-0.79289940828402372</v>
      </c>
      <c r="G552" s="119">
        <f t="shared" si="165"/>
        <v>0.29133447622501407</v>
      </c>
      <c r="H552" s="125">
        <f t="shared" si="172"/>
        <v>44902</v>
      </c>
      <c r="I552" s="82">
        <f t="shared" si="160"/>
        <v>0.73031837464256077</v>
      </c>
      <c r="J552" s="126">
        <f t="shared" si="166"/>
        <v>6660375.230588994</v>
      </c>
      <c r="K552" s="139">
        <f t="shared" si="161"/>
        <v>0</v>
      </c>
      <c r="L552" s="83">
        <f t="shared" si="159"/>
        <v>6660375.230588994</v>
      </c>
      <c r="M552" s="80">
        <f t="shared" si="167"/>
        <v>373</v>
      </c>
      <c r="N552" s="157">
        <f t="shared" si="175"/>
        <v>0</v>
      </c>
      <c r="O552" s="140">
        <f t="shared" si="162"/>
        <v>0</v>
      </c>
      <c r="P552" s="149">
        <v>0</v>
      </c>
      <c r="Q552" s="163">
        <f t="shared" si="168"/>
        <v>373</v>
      </c>
      <c r="R552" s="150">
        <f t="shared" si="163"/>
        <v>0</v>
      </c>
      <c r="S552" s="164">
        <f t="shared" si="156"/>
        <v>9119824.2599999998</v>
      </c>
    </row>
    <row r="553" spans="1:19" x14ac:dyDescent="0.25">
      <c r="A553" s="80" t="str">
        <f t="shared" si="173"/>
        <v>Thu</v>
      </c>
      <c r="B553" s="147">
        <f>IF(SUMIFS(CashFlow!$C$16:$C$40,CashFlow!$D$16:$D$40,CashFlowCalcs!$E553)&gt;0,SUMIFS(CashFlow!$C$16:$C$40,CashFlow!$D$16:$D$40,CashFlowCalcs!$E553),B552)</f>
        <v>18</v>
      </c>
      <c r="C553" s="147" t="str">
        <f t="shared" si="164"/>
        <v>N</v>
      </c>
      <c r="D553" s="80">
        <f t="shared" si="169"/>
        <v>374</v>
      </c>
      <c r="E553" s="81">
        <f t="shared" si="174"/>
        <v>44903</v>
      </c>
      <c r="F553" s="80">
        <f t="shared" si="171"/>
        <v>-0.78698224852070986</v>
      </c>
      <c r="G553" s="119">
        <f t="shared" si="165"/>
        <v>0.29269942113839809</v>
      </c>
      <c r="H553" s="125">
        <f t="shared" si="172"/>
        <v>44903</v>
      </c>
      <c r="I553" s="82">
        <f t="shared" si="160"/>
        <v>0.73374002375026648</v>
      </c>
      <c r="J553" s="126">
        <f t="shared" si="166"/>
        <v>6691580.0691306563</v>
      </c>
      <c r="K553" s="139">
        <f t="shared" si="161"/>
        <v>0</v>
      </c>
      <c r="L553" s="83">
        <f t="shared" si="159"/>
        <v>6691580.0691306563</v>
      </c>
      <c r="M553" s="80">
        <f t="shared" si="167"/>
        <v>374</v>
      </c>
      <c r="N553" s="157">
        <f t="shared" si="175"/>
        <v>0</v>
      </c>
      <c r="O553" s="140">
        <f t="shared" si="162"/>
        <v>0</v>
      </c>
      <c r="P553" s="149">
        <v>0</v>
      </c>
      <c r="Q553" s="163">
        <f t="shared" si="168"/>
        <v>374</v>
      </c>
      <c r="R553" s="150">
        <f t="shared" si="163"/>
        <v>0</v>
      </c>
      <c r="S553" s="164">
        <f t="shared" si="156"/>
        <v>9119824.2599999998</v>
      </c>
    </row>
    <row r="554" spans="1:19" x14ac:dyDescent="0.25">
      <c r="A554" s="80" t="str">
        <f t="shared" si="173"/>
        <v>Fri</v>
      </c>
      <c r="B554" s="147">
        <f>IF(SUMIFS(CashFlow!$C$16:$C$40,CashFlow!$D$16:$D$40,CashFlowCalcs!$E554)&gt;0,SUMIFS(CashFlow!$C$16:$C$40,CashFlow!$D$16:$D$40,CashFlowCalcs!$E554),B553)</f>
        <v>18</v>
      </c>
      <c r="C554" s="147" t="str">
        <f t="shared" si="164"/>
        <v>N</v>
      </c>
      <c r="D554" s="80">
        <f t="shared" si="169"/>
        <v>375</v>
      </c>
      <c r="E554" s="81">
        <f t="shared" si="174"/>
        <v>44904</v>
      </c>
      <c r="F554" s="80">
        <f t="shared" si="171"/>
        <v>-0.78106508875739644</v>
      </c>
      <c r="G554" s="119">
        <f t="shared" si="165"/>
        <v>0.29406046496514415</v>
      </c>
      <c r="H554" s="125">
        <f t="shared" si="172"/>
        <v>44904</v>
      </c>
      <c r="I554" s="82">
        <f t="shared" si="160"/>
        <v>0.73715189359912969</v>
      </c>
      <c r="J554" s="126">
        <f t="shared" si="166"/>
        <v>6722695.7225502813</v>
      </c>
      <c r="K554" s="139">
        <f t="shared" si="161"/>
        <v>0</v>
      </c>
      <c r="L554" s="83">
        <f t="shared" si="159"/>
        <v>6722695.7225502813</v>
      </c>
      <c r="M554" s="80">
        <f t="shared" si="167"/>
        <v>375</v>
      </c>
      <c r="N554" s="157">
        <f t="shared" si="175"/>
        <v>0</v>
      </c>
      <c r="O554" s="140">
        <f t="shared" si="162"/>
        <v>0</v>
      </c>
      <c r="P554" s="149">
        <v>0</v>
      </c>
      <c r="Q554" s="163">
        <f t="shared" si="168"/>
        <v>375</v>
      </c>
      <c r="R554" s="150">
        <f t="shared" si="163"/>
        <v>0</v>
      </c>
      <c r="S554" s="164">
        <f t="shared" si="156"/>
        <v>9119824.2599999998</v>
      </c>
    </row>
    <row r="555" spans="1:19" x14ac:dyDescent="0.25">
      <c r="A555" s="80" t="str">
        <f t="shared" si="173"/>
        <v>Sat</v>
      </c>
      <c r="B555" s="147">
        <f>IF(SUMIFS(CashFlow!$C$16:$C$40,CashFlow!$D$16:$D$40,CashFlowCalcs!$E555)&gt;0,SUMIFS(CashFlow!$C$16:$C$40,CashFlow!$D$16:$D$40,CashFlowCalcs!$E555),B554)</f>
        <v>18</v>
      </c>
      <c r="C555" s="147" t="str">
        <f t="shared" si="164"/>
        <v>Y</v>
      </c>
      <c r="D555" s="80">
        <f t="shared" si="169"/>
        <v>375</v>
      </c>
      <c r="E555" s="81">
        <f t="shared" si="174"/>
        <v>44905</v>
      </c>
      <c r="F555" s="80">
        <f t="shared" si="171"/>
        <v>-0.78106508875739644</v>
      </c>
      <c r="G555" s="119">
        <f t="shared" si="165"/>
        <v>0.29406046496514415</v>
      </c>
      <c r="H555" s="125">
        <f t="shared" si="172"/>
        <v>44905</v>
      </c>
      <c r="I555" s="82">
        <f t="shared" si="160"/>
        <v>0.73715189359912969</v>
      </c>
      <c r="J555" s="126">
        <f t="shared" si="166"/>
        <v>6722695.7225502813</v>
      </c>
      <c r="K555" s="139">
        <f t="shared" si="161"/>
        <v>0</v>
      </c>
      <c r="L555" s="83">
        <f t="shared" si="159"/>
        <v>6722695.7225502813</v>
      </c>
      <c r="M555" s="80">
        <f t="shared" si="167"/>
        <v>375</v>
      </c>
      <c r="N555" s="157">
        <f t="shared" si="175"/>
        <v>0</v>
      </c>
      <c r="O555" s="140">
        <f t="shared" si="162"/>
        <v>0</v>
      </c>
      <c r="P555" s="149">
        <v>0</v>
      </c>
      <c r="Q555" s="163">
        <f t="shared" si="168"/>
        <v>375</v>
      </c>
      <c r="R555" s="150">
        <f t="shared" si="163"/>
        <v>0</v>
      </c>
      <c r="S555" s="164">
        <f t="shared" si="156"/>
        <v>9119824.2599999998</v>
      </c>
    </row>
    <row r="556" spans="1:19" x14ac:dyDescent="0.25">
      <c r="A556" s="80" t="str">
        <f t="shared" si="173"/>
        <v>Sun</v>
      </c>
      <c r="B556" s="147">
        <f>IF(SUMIFS(CashFlow!$C$16:$C$40,CashFlow!$D$16:$D$40,CashFlowCalcs!$E556)&gt;0,SUMIFS(CashFlow!$C$16:$C$40,CashFlow!$D$16:$D$40,CashFlowCalcs!$E556),B555)</f>
        <v>18</v>
      </c>
      <c r="C556" s="147" t="str">
        <f t="shared" si="164"/>
        <v>Y</v>
      </c>
      <c r="D556" s="80">
        <f t="shared" si="169"/>
        <v>375</v>
      </c>
      <c r="E556" s="81">
        <f t="shared" si="174"/>
        <v>44906</v>
      </c>
      <c r="F556" s="80">
        <f t="shared" si="171"/>
        <v>-0.78106508875739644</v>
      </c>
      <c r="G556" s="119">
        <f t="shared" si="165"/>
        <v>0.29406046496514415</v>
      </c>
      <c r="H556" s="125">
        <f t="shared" si="172"/>
        <v>44906</v>
      </c>
      <c r="I556" s="82">
        <f t="shared" si="160"/>
        <v>0.73715189359912969</v>
      </c>
      <c r="J556" s="126">
        <f t="shared" si="166"/>
        <v>6722695.7225502813</v>
      </c>
      <c r="K556" s="139">
        <f t="shared" si="161"/>
        <v>0</v>
      </c>
      <c r="L556" s="83">
        <f t="shared" si="159"/>
        <v>6722695.7225502813</v>
      </c>
      <c r="M556" s="80">
        <f t="shared" si="167"/>
        <v>375</v>
      </c>
      <c r="N556" s="157">
        <f t="shared" si="175"/>
        <v>0</v>
      </c>
      <c r="O556" s="140">
        <f t="shared" si="162"/>
        <v>0</v>
      </c>
      <c r="P556" s="149">
        <v>0</v>
      </c>
      <c r="Q556" s="163">
        <f t="shared" si="168"/>
        <v>375</v>
      </c>
      <c r="R556" s="150">
        <f t="shared" si="163"/>
        <v>0</v>
      </c>
      <c r="S556" s="164">
        <f t="shared" si="156"/>
        <v>9119824.2599999998</v>
      </c>
    </row>
    <row r="557" spans="1:19" x14ac:dyDescent="0.25">
      <c r="A557" s="80" t="str">
        <f t="shared" si="173"/>
        <v>Mon</v>
      </c>
      <c r="B557" s="147">
        <f>IF(SUMIFS(CashFlow!$C$16:$C$40,CashFlow!$D$16:$D$40,CashFlowCalcs!$E557)&gt;0,SUMIFS(CashFlow!$C$16:$C$40,CashFlow!$D$16:$D$40,CashFlowCalcs!$E557),B556)</f>
        <v>18</v>
      </c>
      <c r="C557" s="147" t="str">
        <f t="shared" si="164"/>
        <v>N</v>
      </c>
      <c r="D557" s="80">
        <f t="shared" si="169"/>
        <v>376</v>
      </c>
      <c r="E557" s="81">
        <f t="shared" si="174"/>
        <v>44907</v>
      </c>
      <c r="F557" s="80">
        <f t="shared" si="171"/>
        <v>-0.77514792899408302</v>
      </c>
      <c r="G557" s="119">
        <f t="shared" si="165"/>
        <v>0.29541749403754036</v>
      </c>
      <c r="H557" s="125">
        <f t="shared" si="172"/>
        <v>44907</v>
      </c>
      <c r="I557" s="82">
        <f t="shared" si="160"/>
        <v>0.74055369924649717</v>
      </c>
      <c r="J557" s="126">
        <f t="shared" si="166"/>
        <v>6753719.5922209481</v>
      </c>
      <c r="K557" s="139">
        <f t="shared" si="161"/>
        <v>0</v>
      </c>
      <c r="L557" s="83">
        <f t="shared" si="159"/>
        <v>6753719.5922209481</v>
      </c>
      <c r="M557" s="80">
        <f t="shared" si="167"/>
        <v>376</v>
      </c>
      <c r="N557" s="157">
        <f t="shared" si="175"/>
        <v>0</v>
      </c>
      <c r="O557" s="140">
        <f t="shared" si="162"/>
        <v>0</v>
      </c>
      <c r="P557" s="149">
        <v>0</v>
      </c>
      <c r="Q557" s="163">
        <f t="shared" si="168"/>
        <v>376</v>
      </c>
      <c r="R557" s="150">
        <f t="shared" si="163"/>
        <v>0</v>
      </c>
      <c r="S557" s="164">
        <f t="shared" si="156"/>
        <v>9119824.2599999998</v>
      </c>
    </row>
    <row r="558" spans="1:19" x14ac:dyDescent="0.25">
      <c r="A558" s="80" t="str">
        <f t="shared" si="173"/>
        <v>Tues</v>
      </c>
      <c r="B558" s="147">
        <f>IF(SUMIFS(CashFlow!$C$16:$C$40,CashFlow!$D$16:$D$40,CashFlowCalcs!$E558)&gt;0,SUMIFS(CashFlow!$C$16:$C$40,CashFlow!$D$16:$D$40,CashFlowCalcs!$E558),B557)</f>
        <v>18</v>
      </c>
      <c r="C558" s="147" t="str">
        <f t="shared" si="164"/>
        <v>N</v>
      </c>
      <c r="D558" s="80">
        <f t="shared" si="169"/>
        <v>377</v>
      </c>
      <c r="E558" s="81">
        <f t="shared" si="174"/>
        <v>44908</v>
      </c>
      <c r="F558" s="80">
        <f t="shared" si="171"/>
        <v>-0.76923076923076916</v>
      </c>
      <c r="G558" s="119">
        <f t="shared" si="165"/>
        <v>0.29677039458399734</v>
      </c>
      <c r="H558" s="125">
        <f t="shared" si="172"/>
        <v>44908</v>
      </c>
      <c r="I558" s="82">
        <f t="shared" si="160"/>
        <v>0.74394515548931539</v>
      </c>
      <c r="J558" s="126">
        <f t="shared" si="166"/>
        <v>6784649.0771409301</v>
      </c>
      <c r="K558" s="139">
        <f t="shared" si="161"/>
        <v>0</v>
      </c>
      <c r="L558" s="83">
        <f t="shared" si="159"/>
        <v>6784649.0771409301</v>
      </c>
      <c r="M558" s="80">
        <f t="shared" si="167"/>
        <v>377</v>
      </c>
      <c r="N558" s="157">
        <f t="shared" si="175"/>
        <v>0</v>
      </c>
      <c r="O558" s="140">
        <f t="shared" si="162"/>
        <v>0</v>
      </c>
      <c r="P558" s="149">
        <v>0</v>
      </c>
      <c r="Q558" s="163">
        <f t="shared" si="168"/>
        <v>377</v>
      </c>
      <c r="R558" s="150">
        <f t="shared" si="163"/>
        <v>0</v>
      </c>
      <c r="S558" s="164">
        <f t="shared" si="156"/>
        <v>9119824.2599999998</v>
      </c>
    </row>
    <row r="559" spans="1:19" x14ac:dyDescent="0.25">
      <c r="A559" s="80" t="str">
        <f t="shared" si="173"/>
        <v>Wed</v>
      </c>
      <c r="B559" s="147">
        <f>IF(SUMIFS(CashFlow!$C$16:$C$40,CashFlow!$D$16:$D$40,CashFlowCalcs!$E559)&gt;0,SUMIFS(CashFlow!$C$16:$C$40,CashFlow!$D$16:$D$40,CashFlowCalcs!$E559),B558)</f>
        <v>18</v>
      </c>
      <c r="C559" s="147" t="str">
        <f t="shared" si="164"/>
        <v>N</v>
      </c>
      <c r="D559" s="80">
        <f t="shared" si="169"/>
        <v>378</v>
      </c>
      <c r="E559" s="81">
        <f t="shared" si="174"/>
        <v>44909</v>
      </c>
      <c r="F559" s="80">
        <f t="shared" si="171"/>
        <v>-0.7633136094674553</v>
      </c>
      <c r="G559" s="119">
        <f t="shared" si="165"/>
        <v>0.2981190527445392</v>
      </c>
      <c r="H559" s="125">
        <f t="shared" si="172"/>
        <v>44909</v>
      </c>
      <c r="I559" s="82">
        <f t="shared" si="160"/>
        <v>0.7473259769029631</v>
      </c>
      <c r="J559" s="126">
        <f t="shared" si="166"/>
        <v>6815481.574287842</v>
      </c>
      <c r="K559" s="139">
        <f t="shared" si="161"/>
        <v>0</v>
      </c>
      <c r="L559" s="83">
        <f t="shared" si="159"/>
        <v>6815481.574287842</v>
      </c>
      <c r="M559" s="80">
        <f t="shared" si="167"/>
        <v>378</v>
      </c>
      <c r="N559" s="157">
        <f t="shared" si="175"/>
        <v>0</v>
      </c>
      <c r="O559" s="140">
        <f t="shared" si="162"/>
        <v>0</v>
      </c>
      <c r="P559" s="149">
        <v>0</v>
      </c>
      <c r="Q559" s="163">
        <f t="shared" si="168"/>
        <v>378</v>
      </c>
      <c r="R559" s="150">
        <f t="shared" si="163"/>
        <v>0</v>
      </c>
      <c r="S559" s="164">
        <f t="shared" si="156"/>
        <v>9119824.2599999998</v>
      </c>
    </row>
    <row r="560" spans="1:19" x14ac:dyDescent="0.25">
      <c r="A560" s="80" t="str">
        <f t="shared" si="173"/>
        <v>Thu</v>
      </c>
      <c r="B560" s="147">
        <f>IF(SUMIFS(CashFlow!$C$16:$C$40,CashFlow!$D$16:$D$40,CashFlowCalcs!$E560)&gt;0,SUMIFS(CashFlow!$C$16:$C$40,CashFlow!$D$16:$D$40,CashFlowCalcs!$E560),B559)</f>
        <v>18</v>
      </c>
      <c r="C560" s="147" t="str">
        <f t="shared" si="164"/>
        <v>N</v>
      </c>
      <c r="D560" s="80">
        <f t="shared" si="169"/>
        <v>379</v>
      </c>
      <c r="E560" s="81">
        <f t="shared" si="174"/>
        <v>44910</v>
      </c>
      <c r="F560" s="80">
        <f t="shared" si="171"/>
        <v>-0.75739644970414188</v>
      </c>
      <c r="G560" s="119">
        <f t="shared" si="165"/>
        <v>0.29946335458638068</v>
      </c>
      <c r="H560" s="125">
        <f t="shared" si="172"/>
        <v>44910</v>
      </c>
      <c r="I560" s="82">
        <f t="shared" si="160"/>
        <v>0.75069587788030012</v>
      </c>
      <c r="J560" s="126">
        <f t="shared" si="166"/>
        <v>6846214.4789747586</v>
      </c>
      <c r="K560" s="139">
        <f t="shared" si="161"/>
        <v>0</v>
      </c>
      <c r="L560" s="83">
        <f t="shared" si="159"/>
        <v>6846214.4789747586</v>
      </c>
      <c r="M560" s="80">
        <f t="shared" si="167"/>
        <v>379</v>
      </c>
      <c r="N560" s="157">
        <f t="shared" si="175"/>
        <v>0</v>
      </c>
      <c r="O560" s="140">
        <f t="shared" si="162"/>
        <v>0</v>
      </c>
      <c r="P560" s="149">
        <v>0</v>
      </c>
      <c r="Q560" s="163">
        <f t="shared" si="168"/>
        <v>379</v>
      </c>
      <c r="R560" s="150">
        <f t="shared" si="163"/>
        <v>0</v>
      </c>
      <c r="S560" s="164">
        <f t="shared" si="156"/>
        <v>9119824.2599999998</v>
      </c>
    </row>
    <row r="561" spans="1:19" x14ac:dyDescent="0.25">
      <c r="A561" s="80" t="str">
        <f t="shared" si="173"/>
        <v>Fri</v>
      </c>
      <c r="B561" s="147">
        <f>IF(SUMIFS(CashFlow!$C$16:$C$40,CashFlow!$D$16:$D$40,CashFlowCalcs!$E561)&gt;0,SUMIFS(CashFlow!$C$16:$C$40,CashFlow!$D$16:$D$40,CashFlowCalcs!$E561),B560)</f>
        <v>18</v>
      </c>
      <c r="C561" s="147" t="str">
        <f t="shared" si="164"/>
        <v>N</v>
      </c>
      <c r="D561" s="80">
        <f t="shared" si="169"/>
        <v>380</v>
      </c>
      <c r="E561" s="81">
        <f t="shared" si="174"/>
        <v>44911</v>
      </c>
      <c r="F561" s="80">
        <f t="shared" si="171"/>
        <v>-0.75147928994082847</v>
      </c>
      <c r="G561" s="119">
        <f t="shared" si="165"/>
        <v>0.30080318611958939</v>
      </c>
      <c r="H561" s="125">
        <f t="shared" si="172"/>
        <v>44911</v>
      </c>
      <c r="I561" s="82">
        <f t="shared" si="160"/>
        <v>0.75405457267093001</v>
      </c>
      <c r="J561" s="126">
        <f t="shared" si="166"/>
        <v>6876845.1852082806</v>
      </c>
      <c r="K561" s="139">
        <f t="shared" si="161"/>
        <v>0</v>
      </c>
      <c r="L561" s="83">
        <f t="shared" si="159"/>
        <v>6876845.1852082806</v>
      </c>
      <c r="M561" s="80">
        <f t="shared" si="167"/>
        <v>380</v>
      </c>
      <c r="N561" s="157">
        <f t="shared" si="175"/>
        <v>0</v>
      </c>
      <c r="O561" s="140">
        <f t="shared" si="162"/>
        <v>0</v>
      </c>
      <c r="P561" s="149">
        <v>0</v>
      </c>
      <c r="Q561" s="163">
        <f t="shared" si="168"/>
        <v>380</v>
      </c>
      <c r="R561" s="150">
        <f t="shared" si="163"/>
        <v>0</v>
      </c>
      <c r="S561" s="164">
        <f t="shared" si="156"/>
        <v>9119824.2599999998</v>
      </c>
    </row>
    <row r="562" spans="1:19" x14ac:dyDescent="0.25">
      <c r="A562" s="80" t="str">
        <f t="shared" si="173"/>
        <v>Sat</v>
      </c>
      <c r="B562" s="147">
        <f>IF(SUMIFS(CashFlow!$C$16:$C$40,CashFlow!$D$16:$D$40,CashFlowCalcs!$E562)&gt;0,SUMIFS(CashFlow!$C$16:$C$40,CashFlow!$D$16:$D$40,CashFlowCalcs!$E562),B561)</f>
        <v>18</v>
      </c>
      <c r="C562" s="147" t="str">
        <f t="shared" si="164"/>
        <v>Y</v>
      </c>
      <c r="D562" s="80">
        <f t="shared" si="169"/>
        <v>380</v>
      </c>
      <c r="E562" s="81">
        <f t="shared" si="174"/>
        <v>44912</v>
      </c>
      <c r="F562" s="80">
        <f t="shared" si="171"/>
        <v>-0.75147928994082847</v>
      </c>
      <c r="G562" s="119">
        <f t="shared" si="165"/>
        <v>0.30080318611958939</v>
      </c>
      <c r="H562" s="125">
        <f t="shared" si="172"/>
        <v>44912</v>
      </c>
      <c r="I562" s="82">
        <f t="shared" si="160"/>
        <v>0.75405457267093001</v>
      </c>
      <c r="J562" s="126">
        <f t="shared" si="166"/>
        <v>6876845.1852082806</v>
      </c>
      <c r="K562" s="139">
        <f t="shared" si="161"/>
        <v>0</v>
      </c>
      <c r="L562" s="83">
        <f t="shared" si="159"/>
        <v>6876845.1852082806</v>
      </c>
      <c r="M562" s="80">
        <f t="shared" si="167"/>
        <v>380</v>
      </c>
      <c r="N562" s="157">
        <f t="shared" si="175"/>
        <v>0</v>
      </c>
      <c r="O562" s="140">
        <f t="shared" si="162"/>
        <v>0</v>
      </c>
      <c r="P562" s="149">
        <v>0</v>
      </c>
      <c r="Q562" s="163">
        <f t="shared" si="168"/>
        <v>380</v>
      </c>
      <c r="R562" s="150">
        <f t="shared" si="163"/>
        <v>0</v>
      </c>
      <c r="S562" s="164">
        <f t="shared" si="156"/>
        <v>9119824.2599999998</v>
      </c>
    </row>
    <row r="563" spans="1:19" x14ac:dyDescent="0.25">
      <c r="A563" s="80" t="str">
        <f t="shared" si="173"/>
        <v>Sun</v>
      </c>
      <c r="B563" s="147">
        <f>IF(SUMIFS(CashFlow!$C$16:$C$40,CashFlow!$D$16:$D$40,CashFlowCalcs!$E563)&gt;0,SUMIFS(CashFlow!$C$16:$C$40,CashFlow!$D$16:$D$40,CashFlowCalcs!$E563),B562)</f>
        <v>18</v>
      </c>
      <c r="C563" s="147" t="str">
        <f t="shared" si="164"/>
        <v>Y</v>
      </c>
      <c r="D563" s="80">
        <f t="shared" si="169"/>
        <v>380</v>
      </c>
      <c r="E563" s="81">
        <f t="shared" si="174"/>
        <v>44913</v>
      </c>
      <c r="F563" s="80">
        <f t="shared" si="171"/>
        <v>-0.75147928994082847</v>
      </c>
      <c r="G563" s="119">
        <f t="shared" si="165"/>
        <v>0.30080318611958939</v>
      </c>
      <c r="H563" s="125">
        <f t="shared" si="172"/>
        <v>44913</v>
      </c>
      <c r="I563" s="82">
        <f t="shared" si="160"/>
        <v>0.75405457267093001</v>
      </c>
      <c r="J563" s="126">
        <f t="shared" si="166"/>
        <v>6876845.1852082806</v>
      </c>
      <c r="K563" s="139">
        <f t="shared" si="161"/>
        <v>0</v>
      </c>
      <c r="L563" s="83">
        <f t="shared" si="159"/>
        <v>6876845.1852082806</v>
      </c>
      <c r="M563" s="80">
        <f t="shared" si="167"/>
        <v>380</v>
      </c>
      <c r="N563" s="157">
        <f t="shared" si="175"/>
        <v>0</v>
      </c>
      <c r="O563" s="140">
        <f t="shared" si="162"/>
        <v>0</v>
      </c>
      <c r="P563" s="149">
        <v>0</v>
      </c>
      <c r="Q563" s="163">
        <f t="shared" si="168"/>
        <v>380</v>
      </c>
      <c r="R563" s="150">
        <f t="shared" si="163"/>
        <v>0</v>
      </c>
      <c r="S563" s="164">
        <f t="shared" ref="S563:S626" si="176">(1-(IF(AND(R563=1,D562&lt;$I$2),(1-I562)/(1-VLOOKUP($K$6,$D$17:$I$750,6)),0)))*$M$8</f>
        <v>9119824.2599999998</v>
      </c>
    </row>
    <row r="564" spans="1:19" x14ac:dyDescent="0.25">
      <c r="A564" s="80" t="str">
        <f t="shared" si="173"/>
        <v>Mon</v>
      </c>
      <c r="B564" s="147">
        <f>IF(SUMIFS(CashFlow!$C$16:$C$40,CashFlow!$D$16:$D$40,CashFlowCalcs!$E564)&gt;0,SUMIFS(CashFlow!$C$16:$C$40,CashFlow!$D$16:$D$40,CashFlowCalcs!$E564),B563)</f>
        <v>18</v>
      </c>
      <c r="C564" s="147" t="str">
        <f t="shared" si="164"/>
        <v>N</v>
      </c>
      <c r="D564" s="80">
        <f t="shared" si="169"/>
        <v>381</v>
      </c>
      <c r="E564" s="81">
        <f t="shared" ref="E564:E579" si="177">E563+1</f>
        <v>44914</v>
      </c>
      <c r="F564" s="80">
        <f t="shared" si="171"/>
        <v>-0.74556213017751505</v>
      </c>
      <c r="G564" s="119">
        <f t="shared" si="165"/>
        <v>0.30213843331282725</v>
      </c>
      <c r="H564" s="125">
        <f t="shared" si="172"/>
        <v>44914</v>
      </c>
      <c r="I564" s="82">
        <f t="shared" si="160"/>
        <v>0.75740177542066001</v>
      </c>
      <c r="J564" s="126">
        <f t="shared" si="166"/>
        <v>6907371.0860484065</v>
      </c>
      <c r="K564" s="139">
        <f t="shared" si="161"/>
        <v>0</v>
      </c>
      <c r="L564" s="83">
        <f t="shared" si="159"/>
        <v>6907371.0860484065</v>
      </c>
      <c r="M564" s="80">
        <f t="shared" si="167"/>
        <v>381</v>
      </c>
      <c r="N564" s="157">
        <f t="shared" si="175"/>
        <v>0</v>
      </c>
      <c r="O564" s="140">
        <f t="shared" si="162"/>
        <v>0</v>
      </c>
      <c r="P564" s="149">
        <v>0</v>
      </c>
      <c r="Q564" s="163">
        <f t="shared" si="168"/>
        <v>381</v>
      </c>
      <c r="R564" s="150">
        <f t="shared" si="163"/>
        <v>0</v>
      </c>
      <c r="S564" s="164">
        <f t="shared" si="176"/>
        <v>9119824.2599999998</v>
      </c>
    </row>
    <row r="565" spans="1:19" x14ac:dyDescent="0.25">
      <c r="A565" s="80" t="str">
        <f t="shared" si="173"/>
        <v>Tues</v>
      </c>
      <c r="B565" s="147">
        <f>IF(SUMIFS(CashFlow!$C$16:$C$40,CashFlow!$D$16:$D$40,CashFlowCalcs!$E565)&gt;0,SUMIFS(CashFlow!$C$16:$C$40,CashFlow!$D$16:$D$40,CashFlowCalcs!$E565),B564)</f>
        <v>18</v>
      </c>
      <c r="C565" s="147" t="str">
        <f t="shared" si="164"/>
        <v>N</v>
      </c>
      <c r="D565" s="80">
        <f t="shared" si="169"/>
        <v>382</v>
      </c>
      <c r="E565" s="81">
        <f t="shared" si="177"/>
        <v>44915</v>
      </c>
      <c r="F565" s="80">
        <f t="shared" si="171"/>
        <v>-0.73964497041420119</v>
      </c>
      <c r="G565" s="119">
        <f t="shared" si="165"/>
        <v>0.30346898210917111</v>
      </c>
      <c r="H565" s="125">
        <f t="shared" si="172"/>
        <v>44915</v>
      </c>
      <c r="I565" s="82">
        <f t="shared" si="160"/>
        <v>0.76073720021116076</v>
      </c>
      <c r="J565" s="126">
        <f t="shared" si="166"/>
        <v>6937789.573970221</v>
      </c>
      <c r="K565" s="139">
        <f t="shared" si="161"/>
        <v>0</v>
      </c>
      <c r="L565" s="83">
        <f t="shared" si="159"/>
        <v>6937789.573970221</v>
      </c>
      <c r="M565" s="80">
        <f t="shared" si="167"/>
        <v>382</v>
      </c>
      <c r="N565" s="157">
        <f t="shared" si="175"/>
        <v>0</v>
      </c>
      <c r="O565" s="140">
        <f t="shared" si="162"/>
        <v>0</v>
      </c>
      <c r="P565" s="149">
        <v>0</v>
      </c>
      <c r="Q565" s="163">
        <f t="shared" si="168"/>
        <v>382</v>
      </c>
      <c r="R565" s="150">
        <f t="shared" si="163"/>
        <v>0</v>
      </c>
      <c r="S565" s="164">
        <f t="shared" si="176"/>
        <v>9119824.2599999998</v>
      </c>
    </row>
    <row r="566" spans="1:19" x14ac:dyDescent="0.25">
      <c r="A566" s="80" t="str">
        <f t="shared" si="173"/>
        <v>Wed</v>
      </c>
      <c r="B566" s="147">
        <f>IF(SUMIFS(CashFlow!$C$16:$C$40,CashFlow!$D$16:$D$40,CashFlowCalcs!$E566)&gt;0,SUMIFS(CashFlow!$C$16:$C$40,CashFlow!$D$16:$D$40,CashFlowCalcs!$E566),B565)</f>
        <v>18</v>
      </c>
      <c r="C566" s="147" t="str">
        <f t="shared" si="164"/>
        <v>N</v>
      </c>
      <c r="D566" s="80">
        <f t="shared" si="169"/>
        <v>383</v>
      </c>
      <c r="E566" s="81">
        <f t="shared" si="177"/>
        <v>44916</v>
      </c>
      <c r="F566" s="80">
        <f t="shared" si="171"/>
        <v>-0.73372781065088777</v>
      </c>
      <c r="G566" s="119">
        <f t="shared" si="165"/>
        <v>0.30479471844200778</v>
      </c>
      <c r="H566" s="125">
        <f t="shared" si="172"/>
        <v>44916</v>
      </c>
      <c r="I566" s="82">
        <f t="shared" si="160"/>
        <v>0.76406056109981191</v>
      </c>
      <c r="J566" s="126">
        <f t="shared" si="166"/>
        <v>6968098.0412272764</v>
      </c>
      <c r="K566" s="139">
        <f t="shared" si="161"/>
        <v>0</v>
      </c>
      <c r="L566" s="83">
        <f t="shared" si="159"/>
        <v>6968098.0412272764</v>
      </c>
      <c r="M566" s="80">
        <f t="shared" si="167"/>
        <v>383</v>
      </c>
      <c r="N566" s="157">
        <f t="shared" si="175"/>
        <v>0</v>
      </c>
      <c r="O566" s="140">
        <f t="shared" si="162"/>
        <v>0</v>
      </c>
      <c r="P566" s="149">
        <v>0</v>
      </c>
      <c r="Q566" s="163">
        <f t="shared" si="168"/>
        <v>383</v>
      </c>
      <c r="R566" s="150">
        <f t="shared" si="163"/>
        <v>0</v>
      </c>
      <c r="S566" s="164">
        <f t="shared" si="176"/>
        <v>9119824.2599999998</v>
      </c>
    </row>
    <row r="567" spans="1:19" x14ac:dyDescent="0.25">
      <c r="A567" s="80" t="str">
        <f t="shared" si="173"/>
        <v>Thu</v>
      </c>
      <c r="B567" s="147">
        <f>IF(SUMIFS(CashFlow!$C$16:$C$40,CashFlow!$D$16:$D$40,CashFlowCalcs!$E567)&gt;0,SUMIFS(CashFlow!$C$16:$C$40,CashFlow!$D$16:$D$40,CashFlowCalcs!$E567),B566)</f>
        <v>18</v>
      </c>
      <c r="C567" s="147" t="str">
        <f t="shared" si="164"/>
        <v>N</v>
      </c>
      <c r="D567" s="80">
        <f t="shared" si="169"/>
        <v>384</v>
      </c>
      <c r="E567" s="81">
        <f t="shared" si="177"/>
        <v>44917</v>
      </c>
      <c r="F567" s="80">
        <f t="shared" si="171"/>
        <v>-0.72781065088757391</v>
      </c>
      <c r="G567" s="119">
        <f t="shared" si="165"/>
        <v>0.30611552825100158</v>
      </c>
      <c r="H567" s="125">
        <f t="shared" si="172"/>
        <v>44917</v>
      </c>
      <c r="I567" s="82">
        <f t="shared" si="160"/>
        <v>0.7673715721597294</v>
      </c>
      <c r="J567" s="126">
        <f t="shared" si="166"/>
        <v>6998293.8802166404</v>
      </c>
      <c r="K567" s="139">
        <f t="shared" si="161"/>
        <v>0</v>
      </c>
      <c r="L567" s="83">
        <f t="shared" si="159"/>
        <v>6998293.8802166404</v>
      </c>
      <c r="M567" s="80">
        <f t="shared" si="167"/>
        <v>384</v>
      </c>
      <c r="N567" s="157">
        <f t="shared" si="175"/>
        <v>0</v>
      </c>
      <c r="O567" s="140">
        <f t="shared" si="162"/>
        <v>0</v>
      </c>
      <c r="P567" s="149">
        <v>0</v>
      </c>
      <c r="Q567" s="163">
        <f t="shared" si="168"/>
        <v>384</v>
      </c>
      <c r="R567" s="150">
        <f t="shared" si="163"/>
        <v>0</v>
      </c>
      <c r="S567" s="164">
        <f t="shared" si="176"/>
        <v>9119824.2599999998</v>
      </c>
    </row>
    <row r="568" spans="1:19" x14ac:dyDescent="0.25">
      <c r="A568" s="80" t="str">
        <f t="shared" si="173"/>
        <v>Fri</v>
      </c>
      <c r="B568" s="147">
        <f>IF(SUMIFS(CashFlow!$C$16:$C$40,CashFlow!$D$16:$D$40,CashFlowCalcs!$E568)&gt;0,SUMIFS(CashFlow!$C$16:$C$40,CashFlow!$D$16:$D$40,CashFlowCalcs!$E568),B567)</f>
        <v>18</v>
      </c>
      <c r="C568" s="147" t="str">
        <f t="shared" si="164"/>
        <v>N</v>
      </c>
      <c r="D568" s="80">
        <f t="shared" si="169"/>
        <v>385</v>
      </c>
      <c r="E568" s="81">
        <f t="shared" si="177"/>
        <v>44918</v>
      </c>
      <c r="F568" s="80">
        <f t="shared" si="171"/>
        <v>-0.72189349112426049</v>
      </c>
      <c r="G568" s="119">
        <f t="shared" si="165"/>
        <v>0.30743129749812992</v>
      </c>
      <c r="H568" s="125">
        <f t="shared" si="172"/>
        <v>44918</v>
      </c>
      <c r="I568" s="82">
        <f t="shared" si="160"/>
        <v>0.77066994751996398</v>
      </c>
      <c r="J568" s="126">
        <f t="shared" si="166"/>
        <v>7028374.4838454938</v>
      </c>
      <c r="K568" s="139">
        <f t="shared" si="161"/>
        <v>0</v>
      </c>
      <c r="L568" s="83">
        <f t="shared" si="159"/>
        <v>7028374.4838454938</v>
      </c>
      <c r="M568" s="80">
        <f t="shared" si="167"/>
        <v>385</v>
      </c>
      <c r="N568" s="157">
        <f t="shared" si="175"/>
        <v>0</v>
      </c>
      <c r="O568" s="140">
        <f t="shared" si="162"/>
        <v>0</v>
      </c>
      <c r="P568" s="149">
        <v>0</v>
      </c>
      <c r="Q568" s="163">
        <f t="shared" si="168"/>
        <v>385</v>
      </c>
      <c r="R568" s="150">
        <f t="shared" si="163"/>
        <v>0</v>
      </c>
      <c r="S568" s="164">
        <f t="shared" si="176"/>
        <v>9119824.2599999998</v>
      </c>
    </row>
    <row r="569" spans="1:19" x14ac:dyDescent="0.25">
      <c r="A569" s="80" t="str">
        <f t="shared" si="173"/>
        <v>Sat</v>
      </c>
      <c r="B569" s="147">
        <f>IF(SUMIFS(CashFlow!$C$16:$C$40,CashFlow!$D$16:$D$40,CashFlowCalcs!$E569)&gt;0,SUMIFS(CashFlow!$C$16:$C$40,CashFlow!$D$16:$D$40,CashFlowCalcs!$E569),B568)</f>
        <v>18</v>
      </c>
      <c r="C569" s="147" t="str">
        <f t="shared" si="164"/>
        <v>Y</v>
      </c>
      <c r="D569" s="80">
        <f t="shared" si="169"/>
        <v>385</v>
      </c>
      <c r="E569" s="81">
        <f t="shared" si="177"/>
        <v>44919</v>
      </c>
      <c r="F569" s="80">
        <f t="shared" si="171"/>
        <v>-0.72189349112426049</v>
      </c>
      <c r="G569" s="119">
        <f t="shared" si="165"/>
        <v>0.30743129749812992</v>
      </c>
      <c r="H569" s="125">
        <f t="shared" si="172"/>
        <v>44919</v>
      </c>
      <c r="I569" s="82">
        <f t="shared" si="160"/>
        <v>0.77066994751996398</v>
      </c>
      <c r="J569" s="126">
        <f t="shared" si="166"/>
        <v>7028374.4838454938</v>
      </c>
      <c r="K569" s="139">
        <f t="shared" si="161"/>
        <v>0</v>
      </c>
      <c r="L569" s="83">
        <f t="shared" si="159"/>
        <v>7028374.4838454938</v>
      </c>
      <c r="M569" s="80">
        <f t="shared" si="167"/>
        <v>385</v>
      </c>
      <c r="N569" s="157">
        <f t="shared" si="175"/>
        <v>0</v>
      </c>
      <c r="O569" s="140">
        <f t="shared" si="162"/>
        <v>0</v>
      </c>
      <c r="P569" s="149">
        <v>0</v>
      </c>
      <c r="Q569" s="163">
        <f t="shared" si="168"/>
        <v>385</v>
      </c>
      <c r="R569" s="150">
        <f t="shared" si="163"/>
        <v>0</v>
      </c>
      <c r="S569" s="164">
        <f t="shared" si="176"/>
        <v>9119824.2599999998</v>
      </c>
    </row>
    <row r="570" spans="1:19" x14ac:dyDescent="0.25">
      <c r="A570" s="80" t="str">
        <f t="shared" si="173"/>
        <v>Sun</v>
      </c>
      <c r="B570" s="147">
        <f>IF(SUMIFS(CashFlow!$C$16:$C$40,CashFlow!$D$16:$D$40,CashFlowCalcs!$E570)&gt;0,SUMIFS(CashFlow!$C$16:$C$40,CashFlow!$D$16:$D$40,CashFlowCalcs!$E570),B569)</f>
        <v>18</v>
      </c>
      <c r="C570" s="147" t="str">
        <f t="shared" si="164"/>
        <v>Y</v>
      </c>
      <c r="D570" s="80">
        <f t="shared" si="169"/>
        <v>385</v>
      </c>
      <c r="E570" s="81">
        <f t="shared" si="177"/>
        <v>44920</v>
      </c>
      <c r="F570" s="80">
        <f t="shared" si="171"/>
        <v>-0.72189349112426049</v>
      </c>
      <c r="G570" s="119">
        <f t="shared" si="165"/>
        <v>0.30743129749812992</v>
      </c>
      <c r="H570" s="125">
        <f t="shared" si="172"/>
        <v>44920</v>
      </c>
      <c r="I570" s="82">
        <f t="shared" si="160"/>
        <v>0.77066994751996398</v>
      </c>
      <c r="J570" s="126">
        <f t="shared" si="166"/>
        <v>7028374.4838454938</v>
      </c>
      <c r="K570" s="139">
        <f t="shared" si="161"/>
        <v>0</v>
      </c>
      <c r="L570" s="83">
        <f t="shared" si="159"/>
        <v>7028374.4838454938</v>
      </c>
      <c r="M570" s="80">
        <f t="shared" si="167"/>
        <v>385</v>
      </c>
      <c r="N570" s="157">
        <f t="shared" si="175"/>
        <v>0</v>
      </c>
      <c r="O570" s="140">
        <f t="shared" si="162"/>
        <v>0</v>
      </c>
      <c r="P570" s="149">
        <v>0</v>
      </c>
      <c r="Q570" s="163">
        <f t="shared" si="168"/>
        <v>385</v>
      </c>
      <c r="R570" s="150">
        <f t="shared" si="163"/>
        <v>0</v>
      </c>
      <c r="S570" s="164">
        <f t="shared" si="176"/>
        <v>9119824.2599999998</v>
      </c>
    </row>
    <row r="571" spans="1:19" x14ac:dyDescent="0.25">
      <c r="A571" s="80" t="str">
        <f t="shared" si="173"/>
        <v>Mon</v>
      </c>
      <c r="B571" s="147">
        <f>IF(SUMIFS(CashFlow!$C$16:$C$40,CashFlow!$D$16:$D$40,CashFlowCalcs!$E571)&gt;0,SUMIFS(CashFlow!$C$16:$C$40,CashFlow!$D$16:$D$40,CashFlowCalcs!$E571),B570)</f>
        <v>18</v>
      </c>
      <c r="C571" s="147" t="str">
        <f t="shared" si="164"/>
        <v>N</v>
      </c>
      <c r="D571" s="80">
        <f t="shared" si="169"/>
        <v>386</v>
      </c>
      <c r="E571" s="81">
        <f t="shared" si="177"/>
        <v>44921</v>
      </c>
      <c r="F571" s="80">
        <f t="shared" si="171"/>
        <v>-0.71597633136094663</v>
      </c>
      <c r="G571" s="119">
        <f t="shared" si="165"/>
        <v>0.30874191218378616</v>
      </c>
      <c r="H571" s="125">
        <f t="shared" si="172"/>
        <v>44921</v>
      </c>
      <c r="I571" s="82">
        <f t="shared" si="160"/>
        <v>0.77395540140586749</v>
      </c>
      <c r="J571" s="126">
        <f t="shared" si="166"/>
        <v>7058337.2458992684</v>
      </c>
      <c r="K571" s="139">
        <f t="shared" si="161"/>
        <v>0</v>
      </c>
      <c r="L571" s="83">
        <f t="shared" si="159"/>
        <v>7058337.2458992684</v>
      </c>
      <c r="M571" s="80">
        <f t="shared" si="167"/>
        <v>386</v>
      </c>
      <c r="N571" s="157">
        <f t="shared" si="175"/>
        <v>0</v>
      </c>
      <c r="O571" s="140">
        <f t="shared" si="162"/>
        <v>0</v>
      </c>
      <c r="P571" s="149">
        <v>0</v>
      </c>
      <c r="Q571" s="163">
        <f t="shared" si="168"/>
        <v>386</v>
      </c>
      <c r="R571" s="150">
        <f t="shared" si="163"/>
        <v>0</v>
      </c>
      <c r="S571" s="164">
        <f t="shared" si="176"/>
        <v>9119824.2599999998</v>
      </c>
    </row>
    <row r="572" spans="1:19" x14ac:dyDescent="0.25">
      <c r="A572" s="80" t="str">
        <f t="shared" si="173"/>
        <v>Tues</v>
      </c>
      <c r="B572" s="147">
        <f>IF(SUMIFS(CashFlow!$C$16:$C$40,CashFlow!$D$16:$D$40,CashFlowCalcs!$E572)&gt;0,SUMIFS(CashFlow!$C$16:$C$40,CashFlow!$D$16:$D$40,CashFlowCalcs!$E572),B571)</f>
        <v>18</v>
      </c>
      <c r="C572" s="147" t="str">
        <f t="shared" si="164"/>
        <v>N</v>
      </c>
      <c r="D572" s="80">
        <f t="shared" si="169"/>
        <v>387</v>
      </c>
      <c r="E572" s="81">
        <f t="shared" si="177"/>
        <v>44922</v>
      </c>
      <c r="F572" s="80">
        <f t="shared" si="171"/>
        <v>-0.71005917159763321</v>
      </c>
      <c r="G572" s="119">
        <f t="shared" si="165"/>
        <v>0.31004725836294328</v>
      </c>
      <c r="H572" s="125">
        <f t="shared" si="172"/>
        <v>44922</v>
      </c>
      <c r="I572" s="82">
        <f t="shared" si="160"/>
        <v>0.77722764817961221</v>
      </c>
      <c r="J572" s="126">
        <f t="shared" si="166"/>
        <v>7088179.5614111722</v>
      </c>
      <c r="K572" s="139">
        <f t="shared" si="161"/>
        <v>0</v>
      </c>
      <c r="L572" s="83">
        <f t="shared" si="159"/>
        <v>7088179.5614111722</v>
      </c>
      <c r="M572" s="80">
        <f t="shared" si="167"/>
        <v>387</v>
      </c>
      <c r="N572" s="157">
        <f t="shared" si="175"/>
        <v>0</v>
      </c>
      <c r="O572" s="140">
        <f t="shared" si="162"/>
        <v>0</v>
      </c>
      <c r="P572" s="149">
        <v>0</v>
      </c>
      <c r="Q572" s="163">
        <f t="shared" si="168"/>
        <v>387</v>
      </c>
      <c r="R572" s="150">
        <f t="shared" si="163"/>
        <v>0</v>
      </c>
      <c r="S572" s="164">
        <f t="shared" si="176"/>
        <v>9119824.2599999998</v>
      </c>
    </row>
    <row r="573" spans="1:19" x14ac:dyDescent="0.25">
      <c r="A573" s="80" t="str">
        <f t="shared" si="173"/>
        <v>Wed</v>
      </c>
      <c r="B573" s="147">
        <f>IF(SUMIFS(CashFlow!$C$16:$C$40,CashFlow!$D$16:$D$40,CashFlowCalcs!$E573)&gt;0,SUMIFS(CashFlow!$C$16:$C$40,CashFlow!$D$16:$D$40,CashFlowCalcs!$E573),B572)</f>
        <v>18</v>
      </c>
      <c r="C573" s="147" t="str">
        <f t="shared" si="164"/>
        <v>N</v>
      </c>
      <c r="D573" s="80">
        <f t="shared" si="169"/>
        <v>388</v>
      </c>
      <c r="E573" s="81">
        <f t="shared" si="177"/>
        <v>44923</v>
      </c>
      <c r="F573" s="80">
        <f t="shared" si="171"/>
        <v>-0.70414201183431935</v>
      </c>
      <c r="G573" s="119">
        <f t="shared" si="165"/>
        <v>0.3113472221613795</v>
      </c>
      <c r="H573" s="125">
        <f t="shared" si="172"/>
        <v>44923</v>
      </c>
      <c r="I573" s="82">
        <f t="shared" si="160"/>
        <v>0.7804864023808652</v>
      </c>
      <c r="J573" s="126">
        <f t="shared" si="166"/>
        <v>7117898.827033136</v>
      </c>
      <c r="K573" s="139">
        <f t="shared" si="161"/>
        <v>0</v>
      </c>
      <c r="L573" s="83">
        <f t="shared" si="159"/>
        <v>7117898.827033136</v>
      </c>
      <c r="M573" s="80">
        <f t="shared" si="167"/>
        <v>388</v>
      </c>
      <c r="N573" s="157">
        <f t="shared" si="175"/>
        <v>0</v>
      </c>
      <c r="O573" s="140">
        <f t="shared" si="162"/>
        <v>0</v>
      </c>
      <c r="P573" s="149">
        <v>0</v>
      </c>
      <c r="Q573" s="163">
        <f t="shared" si="168"/>
        <v>388</v>
      </c>
      <c r="R573" s="150">
        <f t="shared" si="163"/>
        <v>0</v>
      </c>
      <c r="S573" s="164">
        <f t="shared" si="176"/>
        <v>9119824.2599999998</v>
      </c>
    </row>
    <row r="574" spans="1:19" x14ac:dyDescent="0.25">
      <c r="A574" s="80" t="str">
        <f t="shared" si="173"/>
        <v>Thu</v>
      </c>
      <c r="B574" s="147">
        <f>IF(SUMIFS(CashFlow!$C$16:$C$40,CashFlow!$D$16:$D$40,CashFlowCalcs!$E574)&gt;0,SUMIFS(CashFlow!$C$16:$C$40,CashFlow!$D$16:$D$40,CashFlowCalcs!$E574),B573)</f>
        <v>18</v>
      </c>
      <c r="C574" s="147" t="str">
        <f t="shared" si="164"/>
        <v>N</v>
      </c>
      <c r="D574" s="80">
        <f t="shared" si="169"/>
        <v>389</v>
      </c>
      <c r="E574" s="81">
        <f t="shared" si="177"/>
        <v>44924</v>
      </c>
      <c r="F574" s="80">
        <f t="shared" si="171"/>
        <v>-0.69822485207100593</v>
      </c>
      <c r="G574" s="119">
        <f t="shared" si="165"/>
        <v>0.31264168979195778</v>
      </c>
      <c r="H574" s="125">
        <f t="shared" si="172"/>
        <v>44924</v>
      </c>
      <c r="I574" s="82">
        <f t="shared" si="160"/>
        <v>0.78373137876759802</v>
      </c>
      <c r="J574" s="126">
        <f t="shared" si="166"/>
        <v>7147492.4414079888</v>
      </c>
      <c r="K574" s="139">
        <f t="shared" si="161"/>
        <v>0</v>
      </c>
      <c r="L574" s="83">
        <f t="shared" si="159"/>
        <v>7147492.4414079888</v>
      </c>
      <c r="M574" s="80">
        <f t="shared" si="167"/>
        <v>389</v>
      </c>
      <c r="N574" s="157">
        <f t="shared" si="175"/>
        <v>0</v>
      </c>
      <c r="O574" s="140">
        <f t="shared" si="162"/>
        <v>0</v>
      </c>
      <c r="P574" s="149">
        <v>0</v>
      </c>
      <c r="Q574" s="163">
        <f t="shared" si="168"/>
        <v>389</v>
      </c>
      <c r="R574" s="150">
        <f t="shared" si="163"/>
        <v>0</v>
      </c>
      <c r="S574" s="164">
        <f t="shared" si="176"/>
        <v>9119824.2599999998</v>
      </c>
    </row>
    <row r="575" spans="1:19" x14ac:dyDescent="0.25">
      <c r="A575" s="80" t="str">
        <f t="shared" si="173"/>
        <v>Fri</v>
      </c>
      <c r="B575" s="147">
        <f>IF(SUMIFS(CashFlow!$C$16:$C$40,CashFlow!$D$16:$D$40,CashFlowCalcs!$E575)&gt;0,SUMIFS(CashFlow!$C$16:$C$40,CashFlow!$D$16:$D$40,CashFlowCalcs!$E575),B574)</f>
        <v>18</v>
      </c>
      <c r="C575" s="147" t="str">
        <f t="shared" si="164"/>
        <v>N</v>
      </c>
      <c r="D575" s="80">
        <f t="shared" si="169"/>
        <v>390</v>
      </c>
      <c r="E575" s="81">
        <f t="shared" si="177"/>
        <v>44925</v>
      </c>
      <c r="F575" s="80">
        <f t="shared" si="171"/>
        <v>-0.69230769230769207</v>
      </c>
      <c r="G575" s="119">
        <f t="shared" si="165"/>
        <v>0.31393054757096117</v>
      </c>
      <c r="H575" s="125">
        <f t="shared" si="172"/>
        <v>44925</v>
      </c>
      <c r="I575" s="82">
        <f t="shared" si="160"/>
        <v>0.78696229235703596</v>
      </c>
      <c r="J575" s="126">
        <f t="shared" si="166"/>
        <v>7176957.8055429086</v>
      </c>
      <c r="K575" s="139">
        <f t="shared" si="161"/>
        <v>0</v>
      </c>
      <c r="L575" s="83">
        <f t="shared" si="159"/>
        <v>7176957.8055429086</v>
      </c>
      <c r="M575" s="80">
        <f t="shared" si="167"/>
        <v>390</v>
      </c>
      <c r="N575" s="157">
        <f t="shared" si="175"/>
        <v>0</v>
      </c>
      <c r="O575" s="140">
        <f t="shared" si="162"/>
        <v>0</v>
      </c>
      <c r="P575" s="149">
        <v>0</v>
      </c>
      <c r="Q575" s="163">
        <f t="shared" si="168"/>
        <v>390</v>
      </c>
      <c r="R575" s="150">
        <f t="shared" si="163"/>
        <v>0</v>
      </c>
      <c r="S575" s="164">
        <f t="shared" si="176"/>
        <v>9119824.2599999998</v>
      </c>
    </row>
    <row r="576" spans="1:19" x14ac:dyDescent="0.25">
      <c r="A576" s="80" t="str">
        <f t="shared" si="173"/>
        <v>Sat</v>
      </c>
      <c r="B576" s="147">
        <f>IF(SUMIFS(CashFlow!$C$16:$C$40,CashFlow!$D$16:$D$40,CashFlowCalcs!$E576)&gt;0,SUMIFS(CashFlow!$C$16:$C$40,CashFlow!$D$16:$D$40,CashFlowCalcs!$E576),B575)</f>
        <v>18</v>
      </c>
      <c r="C576" s="147" t="str">
        <f t="shared" si="164"/>
        <v>Y</v>
      </c>
      <c r="D576" s="80">
        <f t="shared" si="169"/>
        <v>390</v>
      </c>
      <c r="E576" s="81">
        <f t="shared" si="177"/>
        <v>44926</v>
      </c>
      <c r="F576" s="80">
        <f t="shared" si="171"/>
        <v>-0.69230769230769207</v>
      </c>
      <c r="G576" s="119">
        <f t="shared" si="165"/>
        <v>0.31393054757096117</v>
      </c>
      <c r="H576" s="125">
        <f t="shared" si="172"/>
        <v>44926</v>
      </c>
      <c r="I576" s="82">
        <f t="shared" si="160"/>
        <v>0.78696229235703596</v>
      </c>
      <c r="J576" s="126">
        <f t="shared" si="166"/>
        <v>7176957.8055429086</v>
      </c>
      <c r="K576" s="139">
        <f t="shared" si="161"/>
        <v>0</v>
      </c>
      <c r="L576" s="83">
        <f t="shared" si="159"/>
        <v>7176957.8055429086</v>
      </c>
      <c r="M576" s="80">
        <f t="shared" si="167"/>
        <v>390</v>
      </c>
      <c r="N576" s="157">
        <f t="shared" si="175"/>
        <v>0</v>
      </c>
      <c r="O576" s="140">
        <f t="shared" si="162"/>
        <v>0</v>
      </c>
      <c r="P576" s="149">
        <v>0</v>
      </c>
      <c r="Q576" s="163">
        <f t="shared" si="168"/>
        <v>390</v>
      </c>
      <c r="R576" s="150">
        <f t="shared" si="163"/>
        <v>0</v>
      </c>
      <c r="S576" s="164">
        <f t="shared" si="176"/>
        <v>9119824.2599999998</v>
      </c>
    </row>
    <row r="577" spans="1:19" x14ac:dyDescent="0.25">
      <c r="A577" s="80" t="str">
        <f t="shared" si="173"/>
        <v>Sun</v>
      </c>
      <c r="B577" s="147">
        <f>IF(SUMIFS(CashFlow!$C$16:$C$40,CashFlow!$D$16:$D$40,CashFlowCalcs!$E577)&gt;0,SUMIFS(CashFlow!$C$16:$C$40,CashFlow!$D$16:$D$40,CashFlowCalcs!$E577),B576)</f>
        <v>18</v>
      </c>
      <c r="C577" s="147" t="str">
        <f t="shared" si="164"/>
        <v>Y</v>
      </c>
      <c r="D577" s="80">
        <f t="shared" si="169"/>
        <v>390</v>
      </c>
      <c r="E577" s="81">
        <f t="shared" si="177"/>
        <v>44927</v>
      </c>
      <c r="F577" s="80">
        <f t="shared" si="171"/>
        <v>-0.69230769230769207</v>
      </c>
      <c r="G577" s="119">
        <f t="shared" si="165"/>
        <v>0.31393054757096117</v>
      </c>
      <c r="H577" s="125">
        <f t="shared" si="172"/>
        <v>44927</v>
      </c>
      <c r="I577" s="82">
        <f t="shared" si="160"/>
        <v>0.78696229235703596</v>
      </c>
      <c r="J577" s="126">
        <f t="shared" si="166"/>
        <v>7176957.8055429086</v>
      </c>
      <c r="K577" s="139">
        <f t="shared" si="161"/>
        <v>0</v>
      </c>
      <c r="L577" s="83">
        <f t="shared" si="159"/>
        <v>7176957.8055429086</v>
      </c>
      <c r="M577" s="80">
        <f t="shared" si="167"/>
        <v>390</v>
      </c>
      <c r="N577" s="157">
        <f t="shared" si="175"/>
        <v>0</v>
      </c>
      <c r="O577" s="140">
        <f t="shared" si="162"/>
        <v>0</v>
      </c>
      <c r="P577" s="149">
        <v>0</v>
      </c>
      <c r="Q577" s="163">
        <f t="shared" si="168"/>
        <v>390</v>
      </c>
      <c r="R577" s="150">
        <f t="shared" si="163"/>
        <v>0</v>
      </c>
      <c r="S577" s="164">
        <f t="shared" si="176"/>
        <v>9119824.2599999998</v>
      </c>
    </row>
    <row r="578" spans="1:19" x14ac:dyDescent="0.25">
      <c r="A578" s="80" t="str">
        <f t="shared" si="173"/>
        <v>Mon</v>
      </c>
      <c r="B578" s="147">
        <f>IF(SUMIFS(CashFlow!$C$16:$C$40,CashFlow!$D$16:$D$40,CashFlowCalcs!$E578)&gt;0,SUMIFS(CashFlow!$C$16:$C$40,CashFlow!$D$16:$D$40,CashFlowCalcs!$E578),B577)</f>
        <v>18</v>
      </c>
      <c r="C578" s="147" t="str">
        <f t="shared" si="164"/>
        <v>N</v>
      </c>
      <c r="D578" s="80">
        <f t="shared" si="169"/>
        <v>391</v>
      </c>
      <c r="E578" s="81">
        <f t="shared" si="177"/>
        <v>44928</v>
      </c>
      <c r="F578" s="80">
        <f t="shared" si="171"/>
        <v>-0.68639053254437865</v>
      </c>
      <c r="G578" s="119">
        <f t="shared" si="165"/>
        <v>0.31521368193447608</v>
      </c>
      <c r="H578" s="125">
        <f t="shared" si="172"/>
        <v>44928</v>
      </c>
      <c r="I578" s="82">
        <f t="shared" si="160"/>
        <v>0.79017885846672786</v>
      </c>
      <c r="J578" s="126">
        <f t="shared" si="166"/>
        <v>7206292.3231839705</v>
      </c>
      <c r="K578" s="139">
        <f t="shared" si="161"/>
        <v>0</v>
      </c>
      <c r="L578" s="83">
        <f t="shared" si="159"/>
        <v>7206292.3231839705</v>
      </c>
      <c r="M578" s="80">
        <f t="shared" si="167"/>
        <v>391</v>
      </c>
      <c r="N578" s="157">
        <f t="shared" si="175"/>
        <v>0</v>
      </c>
      <c r="O578" s="140">
        <f t="shared" si="162"/>
        <v>0</v>
      </c>
      <c r="P578" s="149">
        <v>0</v>
      </c>
      <c r="Q578" s="163">
        <f t="shared" si="168"/>
        <v>391</v>
      </c>
      <c r="R578" s="150">
        <f t="shared" si="163"/>
        <v>0</v>
      </c>
      <c r="S578" s="164">
        <f t="shared" si="176"/>
        <v>9119824.2599999998</v>
      </c>
    </row>
    <row r="579" spans="1:19" x14ac:dyDescent="0.25">
      <c r="A579" s="80" t="str">
        <f t="shared" si="173"/>
        <v>Tues</v>
      </c>
      <c r="B579" s="147">
        <f>IF(SUMIFS(CashFlow!$C$16:$C$40,CashFlow!$D$16:$D$40,CashFlowCalcs!$E579)&gt;0,SUMIFS(CashFlow!$C$16:$C$40,CashFlow!$D$16:$D$40,CashFlowCalcs!$E579),B578)</f>
        <v>18</v>
      </c>
      <c r="C579" s="147" t="str">
        <f t="shared" si="164"/>
        <v>N</v>
      </c>
      <c r="D579" s="80">
        <f t="shared" si="169"/>
        <v>392</v>
      </c>
      <c r="E579" s="81">
        <f t="shared" si="177"/>
        <v>44929</v>
      </c>
      <c r="F579" s="80">
        <f t="shared" si="171"/>
        <v>-0.68047337278106523</v>
      </c>
      <c r="G579" s="119">
        <f t="shared" si="165"/>
        <v>0.31649097945482374</v>
      </c>
      <c r="H579" s="125">
        <f t="shared" si="172"/>
        <v>44929</v>
      </c>
      <c r="I579" s="82">
        <f t="shared" si="160"/>
        <v>0.79338079275573659</v>
      </c>
      <c r="J579" s="126">
        <f t="shared" si="166"/>
        <v>7235493.401191799</v>
      </c>
      <c r="K579" s="139">
        <f t="shared" si="161"/>
        <v>0</v>
      </c>
      <c r="L579" s="83">
        <f t="shared" si="159"/>
        <v>7235493.401191799</v>
      </c>
      <c r="M579" s="80">
        <f t="shared" si="167"/>
        <v>392</v>
      </c>
      <c r="N579" s="157">
        <f t="shared" si="175"/>
        <v>0</v>
      </c>
      <c r="O579" s="140">
        <f t="shared" si="162"/>
        <v>0</v>
      </c>
      <c r="P579" s="149">
        <v>0</v>
      </c>
      <c r="Q579" s="163">
        <f t="shared" si="168"/>
        <v>392</v>
      </c>
      <c r="R579" s="150">
        <f t="shared" si="163"/>
        <v>0</v>
      </c>
      <c r="S579" s="164">
        <f t="shared" si="176"/>
        <v>9119824.2599999998</v>
      </c>
    </row>
    <row r="580" spans="1:19" x14ac:dyDescent="0.25">
      <c r="A580" s="80" t="str">
        <f t="shared" si="173"/>
        <v>Wed</v>
      </c>
      <c r="B580" s="147">
        <f>IF(SUMIFS(CashFlow!$C$16:$C$40,CashFlow!$D$16:$D$40,CashFlowCalcs!$E580)&gt;0,SUMIFS(CashFlow!$C$16:$C$40,CashFlow!$D$16:$D$40,CashFlowCalcs!$E580),B579)</f>
        <v>18</v>
      </c>
      <c r="C580" s="147" t="str">
        <f t="shared" si="164"/>
        <v>N</v>
      </c>
      <c r="D580" s="80">
        <f t="shared" si="169"/>
        <v>393</v>
      </c>
      <c r="E580" s="81">
        <f t="shared" ref="E580:E595" si="178">E579+1</f>
        <v>44930</v>
      </c>
      <c r="F580" s="80">
        <f t="shared" si="171"/>
        <v>-0.67455621301775182</v>
      </c>
      <c r="G580" s="119">
        <f t="shared" si="165"/>
        <v>0.31776232685703448</v>
      </c>
      <c r="H580" s="125">
        <f t="shared" si="172"/>
        <v>44930</v>
      </c>
      <c r="I580" s="82">
        <f t="shared" si="160"/>
        <v>0.79656781126593679</v>
      </c>
      <c r="J580" s="126">
        <f t="shared" si="166"/>
        <v>7264558.4499181919</v>
      </c>
      <c r="K580" s="139">
        <f t="shared" si="161"/>
        <v>0</v>
      </c>
      <c r="L580" s="83">
        <f t="shared" si="159"/>
        <v>7264558.4499181919</v>
      </c>
      <c r="M580" s="80">
        <f t="shared" si="167"/>
        <v>393</v>
      </c>
      <c r="N580" s="157">
        <f t="shared" si="175"/>
        <v>0</v>
      </c>
      <c r="O580" s="140">
        <f t="shared" si="162"/>
        <v>0</v>
      </c>
      <c r="P580" s="149">
        <v>0</v>
      </c>
      <c r="Q580" s="163">
        <f t="shared" si="168"/>
        <v>393</v>
      </c>
      <c r="R580" s="150">
        <f t="shared" si="163"/>
        <v>0</v>
      </c>
      <c r="S580" s="164">
        <f t="shared" si="176"/>
        <v>9119824.2599999998</v>
      </c>
    </row>
    <row r="581" spans="1:19" x14ac:dyDescent="0.25">
      <c r="A581" s="80" t="str">
        <f t="shared" si="173"/>
        <v>Thu</v>
      </c>
      <c r="B581" s="147">
        <f>IF(SUMIFS(CashFlow!$C$16:$C$40,CashFlow!$D$16:$D$40,CashFlowCalcs!$E581)&gt;0,SUMIFS(CashFlow!$C$16:$C$40,CashFlow!$D$16:$D$40,CashFlowCalcs!$E581),B580)</f>
        <v>18</v>
      </c>
      <c r="C581" s="147" t="str">
        <f t="shared" si="164"/>
        <v>N</v>
      </c>
      <c r="D581" s="80">
        <f t="shared" si="169"/>
        <v>394</v>
      </c>
      <c r="E581" s="81">
        <f t="shared" si="178"/>
        <v>44931</v>
      </c>
      <c r="F581" s="80">
        <f t="shared" si="171"/>
        <v>-0.66863905325443795</v>
      </c>
      <c r="G581" s="119">
        <f t="shared" si="165"/>
        <v>0.31902761103536287</v>
      </c>
      <c r="H581" s="125">
        <f t="shared" si="172"/>
        <v>44931</v>
      </c>
      <c r="I581" s="82">
        <f t="shared" si="160"/>
        <v>0.7997396304634149</v>
      </c>
      <c r="J581" s="126">
        <f t="shared" si="166"/>
        <v>7293484.8835836863</v>
      </c>
      <c r="K581" s="139">
        <f t="shared" si="161"/>
        <v>0</v>
      </c>
      <c r="L581" s="83">
        <f t="shared" si="159"/>
        <v>7293484.8835836863</v>
      </c>
      <c r="M581" s="80">
        <f t="shared" si="167"/>
        <v>394</v>
      </c>
      <c r="N581" s="157">
        <f t="shared" si="175"/>
        <v>0</v>
      </c>
      <c r="O581" s="140">
        <f t="shared" si="162"/>
        <v>0</v>
      </c>
      <c r="P581" s="149">
        <v>0</v>
      </c>
      <c r="Q581" s="163">
        <f t="shared" si="168"/>
        <v>394</v>
      </c>
      <c r="R581" s="150">
        <f t="shared" si="163"/>
        <v>0</v>
      </c>
      <c r="S581" s="164">
        <f t="shared" si="176"/>
        <v>9119824.2599999998</v>
      </c>
    </row>
    <row r="582" spans="1:19" x14ac:dyDescent="0.25">
      <c r="A582" s="80" t="str">
        <f t="shared" si="173"/>
        <v>Fri</v>
      </c>
      <c r="B582" s="147">
        <f>IF(SUMIFS(CashFlow!$C$16:$C$40,CashFlow!$D$16:$D$40,CashFlowCalcs!$E582)&gt;0,SUMIFS(CashFlow!$C$16:$C$40,CashFlow!$D$16:$D$40,CashFlowCalcs!$E582),B581)</f>
        <v>18</v>
      </c>
      <c r="C582" s="147" t="str">
        <f t="shared" si="164"/>
        <v>N</v>
      </c>
      <c r="D582" s="80">
        <f t="shared" si="169"/>
        <v>395</v>
      </c>
      <c r="E582" s="81">
        <f t="shared" si="178"/>
        <v>44932</v>
      </c>
      <c r="F582" s="80">
        <f t="shared" si="171"/>
        <v>-0.66272189349112409</v>
      </c>
      <c r="G582" s="119">
        <f t="shared" si="165"/>
        <v>0.3202867190698388</v>
      </c>
      <c r="H582" s="125">
        <f t="shared" si="172"/>
        <v>44932</v>
      </c>
      <c r="I582" s="82">
        <f t="shared" si="160"/>
        <v>0.80289596727995982</v>
      </c>
      <c r="J582" s="126">
        <f t="shared" si="166"/>
        <v>7322270.1206559436</v>
      </c>
      <c r="K582" s="139">
        <f t="shared" si="161"/>
        <v>0</v>
      </c>
      <c r="L582" s="83">
        <f t="shared" si="159"/>
        <v>7322270.1206559436</v>
      </c>
      <c r="M582" s="80">
        <f t="shared" si="167"/>
        <v>395</v>
      </c>
      <c r="N582" s="157">
        <f t="shared" si="175"/>
        <v>0</v>
      </c>
      <c r="O582" s="140">
        <f t="shared" si="162"/>
        <v>0</v>
      </c>
      <c r="P582" s="149">
        <v>0</v>
      </c>
      <c r="Q582" s="163">
        <f t="shared" si="168"/>
        <v>395</v>
      </c>
      <c r="R582" s="150">
        <f t="shared" si="163"/>
        <v>0</v>
      </c>
      <c r="S582" s="164">
        <f t="shared" si="176"/>
        <v>9119824.2599999998</v>
      </c>
    </row>
    <row r="583" spans="1:19" x14ac:dyDescent="0.25">
      <c r="A583" s="80" t="str">
        <f t="shared" si="173"/>
        <v>Sat</v>
      </c>
      <c r="B583" s="147">
        <f>IF(SUMIFS(CashFlow!$C$16:$C$40,CashFlow!$D$16:$D$40,CashFlowCalcs!$E583)&gt;0,SUMIFS(CashFlow!$C$16:$C$40,CashFlow!$D$16:$D$40,CashFlowCalcs!$E583),B582)</f>
        <v>18</v>
      </c>
      <c r="C583" s="147" t="str">
        <f t="shared" si="164"/>
        <v>Y</v>
      </c>
      <c r="D583" s="80">
        <f t="shared" si="169"/>
        <v>395</v>
      </c>
      <c r="E583" s="81">
        <f t="shared" si="178"/>
        <v>44933</v>
      </c>
      <c r="F583" s="80">
        <f t="shared" si="171"/>
        <v>-0.66272189349112409</v>
      </c>
      <c r="G583" s="119">
        <f t="shared" si="165"/>
        <v>0.3202867190698388</v>
      </c>
      <c r="H583" s="125">
        <f t="shared" si="172"/>
        <v>44933</v>
      </c>
      <c r="I583" s="82">
        <f t="shared" si="160"/>
        <v>0.80289596727995982</v>
      </c>
      <c r="J583" s="126">
        <f t="shared" si="166"/>
        <v>7322270.1206559436</v>
      </c>
      <c r="K583" s="139">
        <f t="shared" si="161"/>
        <v>0</v>
      </c>
      <c r="L583" s="83">
        <f t="shared" si="159"/>
        <v>7322270.1206559436</v>
      </c>
      <c r="M583" s="80">
        <f t="shared" si="167"/>
        <v>395</v>
      </c>
      <c r="N583" s="157">
        <f t="shared" si="175"/>
        <v>0</v>
      </c>
      <c r="O583" s="140">
        <f t="shared" si="162"/>
        <v>0</v>
      </c>
      <c r="P583" s="149">
        <v>0</v>
      </c>
      <c r="Q583" s="163">
        <f t="shared" si="168"/>
        <v>395</v>
      </c>
      <c r="R583" s="150">
        <f t="shared" si="163"/>
        <v>0</v>
      </c>
      <c r="S583" s="164">
        <f t="shared" si="176"/>
        <v>9119824.2599999998</v>
      </c>
    </row>
    <row r="584" spans="1:19" x14ac:dyDescent="0.25">
      <c r="A584" s="80" t="str">
        <f t="shared" si="173"/>
        <v>Sun</v>
      </c>
      <c r="B584" s="147">
        <f>IF(SUMIFS(CashFlow!$C$16:$C$40,CashFlow!$D$16:$D$40,CashFlowCalcs!$E584)&gt;0,SUMIFS(CashFlow!$C$16:$C$40,CashFlow!$D$16:$D$40,CashFlowCalcs!$E584),B583)</f>
        <v>18</v>
      </c>
      <c r="C584" s="147" t="str">
        <f t="shared" si="164"/>
        <v>Y</v>
      </c>
      <c r="D584" s="80">
        <f t="shared" si="169"/>
        <v>395</v>
      </c>
      <c r="E584" s="81">
        <f t="shared" si="178"/>
        <v>44934</v>
      </c>
      <c r="F584" s="80">
        <f t="shared" si="171"/>
        <v>-0.66272189349112409</v>
      </c>
      <c r="G584" s="119">
        <f t="shared" si="165"/>
        <v>0.3202867190698388</v>
      </c>
      <c r="H584" s="125">
        <f t="shared" si="172"/>
        <v>44934</v>
      </c>
      <c r="I584" s="82">
        <f t="shared" si="160"/>
        <v>0.80289596727995982</v>
      </c>
      <c r="J584" s="126">
        <f t="shared" si="166"/>
        <v>7322270.1206559436</v>
      </c>
      <c r="K584" s="139">
        <f t="shared" si="161"/>
        <v>0</v>
      </c>
      <c r="L584" s="83">
        <f t="shared" si="159"/>
        <v>7322270.1206559436</v>
      </c>
      <c r="M584" s="80">
        <f t="shared" si="167"/>
        <v>395</v>
      </c>
      <c r="N584" s="157">
        <f t="shared" si="175"/>
        <v>0</v>
      </c>
      <c r="O584" s="140">
        <f t="shared" si="162"/>
        <v>0</v>
      </c>
      <c r="P584" s="149">
        <v>0</v>
      </c>
      <c r="Q584" s="163">
        <f t="shared" si="168"/>
        <v>395</v>
      </c>
      <c r="R584" s="150">
        <f t="shared" si="163"/>
        <v>0</v>
      </c>
      <c r="S584" s="164">
        <f t="shared" si="176"/>
        <v>9119824.2599999998</v>
      </c>
    </row>
    <row r="585" spans="1:19" x14ac:dyDescent="0.25">
      <c r="A585" s="80" t="str">
        <f t="shared" si="173"/>
        <v>Mon</v>
      </c>
      <c r="B585" s="147">
        <f>IF(SUMIFS(CashFlow!$C$16:$C$40,CashFlow!$D$16:$D$40,CashFlowCalcs!$E585)&gt;0,SUMIFS(CashFlow!$C$16:$C$40,CashFlow!$D$16:$D$40,CashFlowCalcs!$E585),B584)</f>
        <v>18</v>
      </c>
      <c r="C585" s="147" t="str">
        <f t="shared" si="164"/>
        <v>N</v>
      </c>
      <c r="D585" s="80">
        <f t="shared" si="169"/>
        <v>396</v>
      </c>
      <c r="E585" s="81">
        <f t="shared" si="178"/>
        <v>44935</v>
      </c>
      <c r="F585" s="80">
        <f t="shared" si="171"/>
        <v>-0.65680473372781067</v>
      </c>
      <c r="G585" s="119">
        <f t="shared" si="165"/>
        <v>0.32153953824285336</v>
      </c>
      <c r="H585" s="125">
        <f t="shared" si="172"/>
        <v>44935</v>
      </c>
      <c r="I585" s="82">
        <f t="shared" si="160"/>
        <v>0.80603653915464024</v>
      </c>
      <c r="J585" s="126">
        <f t="shared" si="166"/>
        <v>7350911.5842289282</v>
      </c>
      <c r="K585" s="139">
        <f t="shared" si="161"/>
        <v>0</v>
      </c>
      <c r="L585" s="83">
        <f t="shared" si="159"/>
        <v>7350911.5842289282</v>
      </c>
      <c r="M585" s="80">
        <f t="shared" si="167"/>
        <v>396</v>
      </c>
      <c r="N585" s="157">
        <f t="shared" si="175"/>
        <v>0</v>
      </c>
      <c r="O585" s="140">
        <f t="shared" si="162"/>
        <v>0</v>
      </c>
      <c r="P585" s="149">
        <v>0</v>
      </c>
      <c r="Q585" s="163">
        <f t="shared" si="168"/>
        <v>396</v>
      </c>
      <c r="R585" s="150">
        <f t="shared" si="163"/>
        <v>0</v>
      </c>
      <c r="S585" s="164">
        <f t="shared" si="176"/>
        <v>9119824.2599999998</v>
      </c>
    </row>
    <row r="586" spans="1:19" x14ac:dyDescent="0.25">
      <c r="A586" s="80" t="str">
        <f t="shared" si="173"/>
        <v>Tues</v>
      </c>
      <c r="B586" s="147">
        <f>IF(SUMIFS(CashFlow!$C$16:$C$40,CashFlow!$D$16:$D$40,CashFlowCalcs!$E586)&gt;0,SUMIFS(CashFlow!$C$16:$C$40,CashFlow!$D$16:$D$40,CashFlowCalcs!$E586),B585)</f>
        <v>18</v>
      </c>
      <c r="C586" s="147" t="str">
        <f t="shared" si="164"/>
        <v>N</v>
      </c>
      <c r="D586" s="80">
        <f t="shared" si="169"/>
        <v>397</v>
      </c>
      <c r="E586" s="81">
        <f t="shared" si="178"/>
        <v>44936</v>
      </c>
      <c r="F586" s="80">
        <f t="shared" si="171"/>
        <v>-0.65088757396449726</v>
      </c>
      <c r="G586" s="119">
        <f t="shared" si="165"/>
        <v>0.32278595605577443</v>
      </c>
      <c r="H586" s="125">
        <f t="shared" si="172"/>
        <v>44936</v>
      </c>
      <c r="I586" s="82">
        <f t="shared" si="160"/>
        <v>0.80916106407545663</v>
      </c>
      <c r="J586" s="126">
        <f t="shared" si="166"/>
        <v>7379406.702402764</v>
      </c>
      <c r="K586" s="139">
        <f t="shared" si="161"/>
        <v>0</v>
      </c>
      <c r="L586" s="83">
        <f t="shared" si="159"/>
        <v>7379406.702402764</v>
      </c>
      <c r="M586" s="80">
        <f t="shared" si="167"/>
        <v>397</v>
      </c>
      <c r="N586" s="157">
        <f t="shared" si="175"/>
        <v>0</v>
      </c>
      <c r="O586" s="140">
        <f t="shared" si="162"/>
        <v>0</v>
      </c>
      <c r="P586" s="149">
        <v>0</v>
      </c>
      <c r="Q586" s="163">
        <f t="shared" si="168"/>
        <v>397</v>
      </c>
      <c r="R586" s="150">
        <f t="shared" si="163"/>
        <v>0</v>
      </c>
      <c r="S586" s="164">
        <f t="shared" si="176"/>
        <v>9119824.2599999998</v>
      </c>
    </row>
    <row r="587" spans="1:19" x14ac:dyDescent="0.25">
      <c r="A587" s="80" t="str">
        <f t="shared" si="173"/>
        <v>Wed</v>
      </c>
      <c r="B587" s="147">
        <f>IF(SUMIFS(CashFlow!$C$16:$C$40,CashFlow!$D$16:$D$40,CashFlowCalcs!$E587)&gt;0,SUMIFS(CashFlow!$C$16:$C$40,CashFlow!$D$16:$D$40,CashFlowCalcs!$E587),B586)</f>
        <v>18</v>
      </c>
      <c r="C587" s="147" t="str">
        <f t="shared" si="164"/>
        <v>N</v>
      </c>
      <c r="D587" s="80">
        <f t="shared" si="169"/>
        <v>398</v>
      </c>
      <c r="E587" s="81">
        <f t="shared" si="178"/>
        <v>44937</v>
      </c>
      <c r="F587" s="80">
        <f t="shared" si="171"/>
        <v>-0.6449704142011834</v>
      </c>
      <c r="G587" s="119">
        <f t="shared" si="165"/>
        <v>0.32402586024558894</v>
      </c>
      <c r="H587" s="125">
        <f t="shared" si="172"/>
        <v>44937</v>
      </c>
      <c r="I587" s="82">
        <f t="shared" si="160"/>
        <v>0.81226926062106031</v>
      </c>
      <c r="J587" s="126">
        <f t="shared" si="166"/>
        <v>7407752.9086642079</v>
      </c>
      <c r="K587" s="139">
        <f t="shared" si="161"/>
        <v>0</v>
      </c>
      <c r="L587" s="83">
        <f t="shared" si="159"/>
        <v>7407752.9086642079</v>
      </c>
      <c r="M587" s="80">
        <f t="shared" si="167"/>
        <v>398</v>
      </c>
      <c r="N587" s="157">
        <f t="shared" si="175"/>
        <v>0</v>
      </c>
      <c r="O587" s="140">
        <f t="shared" si="162"/>
        <v>0</v>
      </c>
      <c r="P587" s="149">
        <v>0</v>
      </c>
      <c r="Q587" s="163">
        <f t="shared" si="168"/>
        <v>398</v>
      </c>
      <c r="R587" s="150">
        <f t="shared" si="163"/>
        <v>0</v>
      </c>
      <c r="S587" s="164">
        <f t="shared" si="176"/>
        <v>9119824.2599999998</v>
      </c>
    </row>
    <row r="588" spans="1:19" x14ac:dyDescent="0.25">
      <c r="A588" s="80" t="str">
        <f t="shared" si="173"/>
        <v>Thu</v>
      </c>
      <c r="B588" s="147">
        <f>IF(SUMIFS(CashFlow!$C$16:$C$40,CashFlow!$D$16:$D$40,CashFlowCalcs!$E588)&gt;0,SUMIFS(CashFlow!$C$16:$C$40,CashFlow!$D$16:$D$40,CashFlowCalcs!$E588),B587)</f>
        <v>18</v>
      </c>
      <c r="C588" s="147" t="str">
        <f t="shared" si="164"/>
        <v>N</v>
      </c>
      <c r="D588" s="80">
        <f t="shared" si="169"/>
        <v>399</v>
      </c>
      <c r="E588" s="81">
        <f t="shared" si="178"/>
        <v>44938</v>
      </c>
      <c r="F588" s="80">
        <f t="shared" si="171"/>
        <v>-0.63905325443786953</v>
      </c>
      <c r="G588" s="119">
        <f t="shared" si="165"/>
        <v>0.3252591388015687</v>
      </c>
      <c r="H588" s="125">
        <f t="shared" si="172"/>
        <v>44938</v>
      </c>
      <c r="I588" s="82">
        <f t="shared" si="160"/>
        <v>0.81536084800253117</v>
      </c>
      <c r="J588" s="126">
        <f t="shared" si="166"/>
        <v>7435947.6422676565</v>
      </c>
      <c r="K588" s="139">
        <f t="shared" si="161"/>
        <v>0</v>
      </c>
      <c r="L588" s="83">
        <f t="shared" ref="L588:L651" si="179">IF(AND(E588&gt;=$H$3,P588=0,E588&lt;=$I$1),J588+K588,0)</f>
        <v>7435947.6422676565</v>
      </c>
      <c r="M588" s="80">
        <f t="shared" si="167"/>
        <v>399</v>
      </c>
      <c r="N588" s="157">
        <f t="shared" si="175"/>
        <v>0</v>
      </c>
      <c r="O588" s="140">
        <f t="shared" si="162"/>
        <v>0</v>
      </c>
      <c r="P588" s="149">
        <v>0</v>
      </c>
      <c r="Q588" s="163">
        <f t="shared" si="168"/>
        <v>399</v>
      </c>
      <c r="R588" s="150">
        <f t="shared" si="163"/>
        <v>0</v>
      </c>
      <c r="S588" s="164">
        <f t="shared" si="176"/>
        <v>9119824.2599999998</v>
      </c>
    </row>
    <row r="589" spans="1:19" x14ac:dyDescent="0.25">
      <c r="A589" s="80" t="str">
        <f t="shared" si="173"/>
        <v>Fri</v>
      </c>
      <c r="B589" s="147">
        <f>IF(SUMIFS(CashFlow!$C$16:$C$40,CashFlow!$D$16:$D$40,CashFlowCalcs!$E589)&gt;0,SUMIFS(CashFlow!$C$16:$C$40,CashFlow!$D$16:$D$40,CashFlowCalcs!$E589),B588)</f>
        <v>18</v>
      </c>
      <c r="C589" s="147" t="str">
        <f t="shared" si="164"/>
        <v>N</v>
      </c>
      <c r="D589" s="80">
        <f t="shared" si="169"/>
        <v>400</v>
      </c>
      <c r="E589" s="81">
        <f t="shared" si="178"/>
        <v>44939</v>
      </c>
      <c r="F589" s="80">
        <f t="shared" si="171"/>
        <v>-0.63313609467455612</v>
      </c>
      <c r="G589" s="119">
        <f t="shared" si="165"/>
        <v>0.32648567998195677</v>
      </c>
      <c r="H589" s="125">
        <f t="shared" si="172"/>
        <v>44939</v>
      </c>
      <c r="I589" s="82">
        <f t="shared" si="160"/>
        <v>0.81843554610520719</v>
      </c>
      <c r="J589" s="126">
        <f t="shared" si="166"/>
        <v>7463988.3486166168</v>
      </c>
      <c r="K589" s="139">
        <f t="shared" si="161"/>
        <v>0</v>
      </c>
      <c r="L589" s="83">
        <f t="shared" si="179"/>
        <v>7463988.3486166168</v>
      </c>
      <c r="M589" s="80">
        <f t="shared" si="167"/>
        <v>400</v>
      </c>
      <c r="N589" s="157">
        <f t="shared" si="175"/>
        <v>0</v>
      </c>
      <c r="O589" s="140">
        <f t="shared" si="162"/>
        <v>0</v>
      </c>
      <c r="P589" s="149">
        <v>0</v>
      </c>
      <c r="Q589" s="163">
        <f t="shared" si="168"/>
        <v>400</v>
      </c>
      <c r="R589" s="150">
        <f t="shared" si="163"/>
        <v>0</v>
      </c>
      <c r="S589" s="164">
        <f t="shared" si="176"/>
        <v>9119824.2599999998</v>
      </c>
    </row>
    <row r="590" spans="1:19" x14ac:dyDescent="0.25">
      <c r="A590" s="80" t="str">
        <f t="shared" si="173"/>
        <v>Sat</v>
      </c>
      <c r="B590" s="147">
        <f>IF(SUMIFS(CashFlow!$C$16:$C$40,CashFlow!$D$16:$D$40,CashFlowCalcs!$E590)&gt;0,SUMIFS(CashFlow!$C$16:$C$40,CashFlow!$D$16:$D$40,CashFlowCalcs!$E590),B589)</f>
        <v>18</v>
      </c>
      <c r="C590" s="147" t="str">
        <f t="shared" si="164"/>
        <v>Y</v>
      </c>
      <c r="D590" s="80">
        <f t="shared" si="169"/>
        <v>400</v>
      </c>
      <c r="E590" s="81">
        <f t="shared" si="178"/>
        <v>44940</v>
      </c>
      <c r="F590" s="80">
        <f t="shared" si="171"/>
        <v>-0.63313609467455612</v>
      </c>
      <c r="G590" s="119">
        <f t="shared" si="165"/>
        <v>0.32648567998195677</v>
      </c>
      <c r="H590" s="125">
        <f t="shared" si="172"/>
        <v>44940</v>
      </c>
      <c r="I590" s="82">
        <f t="shared" si="160"/>
        <v>0.81843554610520719</v>
      </c>
      <c r="J590" s="126">
        <f t="shared" si="166"/>
        <v>7463988.3486166168</v>
      </c>
      <c r="K590" s="139">
        <f t="shared" si="161"/>
        <v>0</v>
      </c>
      <c r="L590" s="83">
        <f t="shared" si="179"/>
        <v>7463988.3486166168</v>
      </c>
      <c r="M590" s="80">
        <f t="shared" si="167"/>
        <v>400</v>
      </c>
      <c r="N590" s="157">
        <f t="shared" si="175"/>
        <v>0</v>
      </c>
      <c r="O590" s="140">
        <f t="shared" si="162"/>
        <v>0</v>
      </c>
      <c r="P590" s="149">
        <v>0</v>
      </c>
      <c r="Q590" s="163">
        <f t="shared" si="168"/>
        <v>400</v>
      </c>
      <c r="R590" s="150">
        <f t="shared" si="163"/>
        <v>0</v>
      </c>
      <c r="S590" s="164">
        <f t="shared" si="176"/>
        <v>9119824.2599999998</v>
      </c>
    </row>
    <row r="591" spans="1:19" x14ac:dyDescent="0.25">
      <c r="A591" s="80" t="str">
        <f t="shared" si="173"/>
        <v>Sun</v>
      </c>
      <c r="B591" s="147">
        <f>IF(SUMIFS(CashFlow!$C$16:$C$40,CashFlow!$D$16:$D$40,CashFlowCalcs!$E591)&gt;0,SUMIFS(CashFlow!$C$16:$C$40,CashFlow!$D$16:$D$40,CashFlowCalcs!$E591),B590)</f>
        <v>18</v>
      </c>
      <c r="C591" s="147" t="str">
        <f t="shared" si="164"/>
        <v>Y</v>
      </c>
      <c r="D591" s="80">
        <f t="shared" si="169"/>
        <v>400</v>
      </c>
      <c r="E591" s="81">
        <f t="shared" si="178"/>
        <v>44941</v>
      </c>
      <c r="F591" s="80">
        <f t="shared" si="171"/>
        <v>-0.63313609467455612</v>
      </c>
      <c r="G591" s="119">
        <f t="shared" si="165"/>
        <v>0.32648567998195677</v>
      </c>
      <c r="H591" s="125">
        <f t="shared" si="172"/>
        <v>44941</v>
      </c>
      <c r="I591" s="82">
        <f t="shared" si="160"/>
        <v>0.81843554610520719</v>
      </c>
      <c r="J591" s="126">
        <f t="shared" si="166"/>
        <v>7463988.3486166168</v>
      </c>
      <c r="K591" s="139">
        <f t="shared" si="161"/>
        <v>0</v>
      </c>
      <c r="L591" s="83">
        <f t="shared" si="179"/>
        <v>7463988.3486166168</v>
      </c>
      <c r="M591" s="80">
        <f t="shared" si="167"/>
        <v>400</v>
      </c>
      <c r="N591" s="157">
        <f t="shared" si="175"/>
        <v>0</v>
      </c>
      <c r="O591" s="140">
        <f t="shared" si="162"/>
        <v>0</v>
      </c>
      <c r="P591" s="149">
        <v>0</v>
      </c>
      <c r="Q591" s="163">
        <f t="shared" si="168"/>
        <v>400</v>
      </c>
      <c r="R591" s="150">
        <f t="shared" si="163"/>
        <v>0</v>
      </c>
      <c r="S591" s="164">
        <f t="shared" si="176"/>
        <v>9119824.2599999998</v>
      </c>
    </row>
    <row r="592" spans="1:19" x14ac:dyDescent="0.25">
      <c r="A592" s="80" t="str">
        <f t="shared" si="173"/>
        <v>Mon</v>
      </c>
      <c r="B592" s="147">
        <f>IF(SUMIFS(CashFlow!$C$16:$C$40,CashFlow!$D$16:$D$40,CashFlowCalcs!$E592)&gt;0,SUMIFS(CashFlow!$C$16:$C$40,CashFlow!$D$16:$D$40,CashFlowCalcs!$E592),B591)</f>
        <v>18</v>
      </c>
      <c r="C592" s="147" t="str">
        <f t="shared" si="164"/>
        <v>N</v>
      </c>
      <c r="D592" s="80">
        <f t="shared" si="169"/>
        <v>401</v>
      </c>
      <c r="E592" s="81">
        <f t="shared" si="178"/>
        <v>44942</v>
      </c>
      <c r="F592" s="80">
        <f t="shared" si="171"/>
        <v>-0.6272189349112427</v>
      </c>
      <c r="G592" s="119">
        <f t="shared" si="165"/>
        <v>0.32770537233066988</v>
      </c>
      <c r="H592" s="125">
        <f t="shared" si="172"/>
        <v>44942</v>
      </c>
      <c r="I592" s="82">
        <f t="shared" si="160"/>
        <v>0.82149307553055451</v>
      </c>
      <c r="J592" s="126">
        <f t="shared" si="166"/>
        <v>7491872.4796455633</v>
      </c>
      <c r="K592" s="139">
        <f t="shared" si="161"/>
        <v>0</v>
      </c>
      <c r="L592" s="83">
        <f t="shared" si="179"/>
        <v>7491872.4796455633</v>
      </c>
      <c r="M592" s="80">
        <f t="shared" si="167"/>
        <v>401</v>
      </c>
      <c r="N592" s="157">
        <f t="shared" si="175"/>
        <v>0</v>
      </c>
      <c r="O592" s="140">
        <f t="shared" si="162"/>
        <v>0</v>
      </c>
      <c r="P592" s="149">
        <v>0</v>
      </c>
      <c r="Q592" s="163">
        <f t="shared" si="168"/>
        <v>401</v>
      </c>
      <c r="R592" s="150">
        <f t="shared" si="163"/>
        <v>0</v>
      </c>
      <c r="S592" s="164">
        <f t="shared" si="176"/>
        <v>9119824.2599999998</v>
      </c>
    </row>
    <row r="593" spans="1:19" x14ac:dyDescent="0.25">
      <c r="A593" s="80" t="str">
        <f t="shared" si="173"/>
        <v>Tues</v>
      </c>
      <c r="B593" s="147">
        <f>IF(SUMIFS(CashFlow!$C$16:$C$40,CashFlow!$D$16:$D$40,CashFlowCalcs!$E593)&gt;0,SUMIFS(CashFlow!$C$16:$C$40,CashFlow!$D$16:$D$40,CashFlowCalcs!$E593),B592)</f>
        <v>18</v>
      </c>
      <c r="C593" s="147" t="str">
        <f t="shared" si="164"/>
        <v>N</v>
      </c>
      <c r="D593" s="80">
        <f t="shared" si="169"/>
        <v>402</v>
      </c>
      <c r="E593" s="81">
        <f t="shared" si="178"/>
        <v>44943</v>
      </c>
      <c r="F593" s="80">
        <f t="shared" si="171"/>
        <v>-0.62130177514792884</v>
      </c>
      <c r="G593" s="119">
        <f t="shared" si="165"/>
        <v>0.32891810469401428</v>
      </c>
      <c r="H593" s="125">
        <f t="shared" si="172"/>
        <v>44943</v>
      </c>
      <c r="I593" s="82">
        <f t="shared" si="160"/>
        <v>0.82453315763807022</v>
      </c>
      <c r="J593" s="126">
        <f t="shared" si="166"/>
        <v>7519597.4942020774</v>
      </c>
      <c r="K593" s="139">
        <f t="shared" si="161"/>
        <v>0</v>
      </c>
      <c r="L593" s="83">
        <f t="shared" si="179"/>
        <v>7519597.4942020774</v>
      </c>
      <c r="M593" s="80">
        <f t="shared" si="167"/>
        <v>402</v>
      </c>
      <c r="N593" s="157">
        <f t="shared" si="175"/>
        <v>0</v>
      </c>
      <c r="O593" s="140">
        <f t="shared" si="162"/>
        <v>0</v>
      </c>
      <c r="P593" s="149">
        <v>0</v>
      </c>
      <c r="Q593" s="163">
        <f t="shared" si="168"/>
        <v>402</v>
      </c>
      <c r="R593" s="150">
        <f t="shared" si="163"/>
        <v>0</v>
      </c>
      <c r="S593" s="164">
        <f t="shared" si="176"/>
        <v>9119824.2599999998</v>
      </c>
    </row>
    <row r="594" spans="1:19" x14ac:dyDescent="0.25">
      <c r="A594" s="80" t="str">
        <f t="shared" si="173"/>
        <v>Wed</v>
      </c>
      <c r="B594" s="147">
        <f>IF(SUMIFS(CashFlow!$C$16:$C$40,CashFlow!$D$16:$D$40,CashFlowCalcs!$E594)&gt;0,SUMIFS(CashFlow!$C$16:$C$40,CashFlow!$D$16:$D$40,CashFlowCalcs!$E594),B593)</f>
        <v>18</v>
      </c>
      <c r="C594" s="147" t="str">
        <f t="shared" si="164"/>
        <v>N</v>
      </c>
      <c r="D594" s="80">
        <f t="shared" si="169"/>
        <v>403</v>
      </c>
      <c r="E594" s="81">
        <f t="shared" si="178"/>
        <v>44944</v>
      </c>
      <c r="F594" s="80">
        <f t="shared" si="171"/>
        <v>-0.61538461538461542</v>
      </c>
      <c r="G594" s="119">
        <f t="shared" si="165"/>
        <v>0.33012376623741096</v>
      </c>
      <c r="H594" s="125">
        <f t="shared" si="172"/>
        <v>44944</v>
      </c>
      <c r="I594" s="82">
        <f t="shared" ref="I594:I657" si="180">G594/VLOOKUP($J$5,$D$18:$G$750,4)</f>
        <v>0.82755551458720944</v>
      </c>
      <c r="J594" s="126">
        <f t="shared" si="166"/>
        <v>7547160.8584292168</v>
      </c>
      <c r="K594" s="139">
        <f t="shared" ref="K594:K657" si="181">N594*O594</f>
        <v>0</v>
      </c>
      <c r="L594" s="83">
        <f t="shared" si="179"/>
        <v>7547160.8584292168</v>
      </c>
      <c r="M594" s="80">
        <f t="shared" si="167"/>
        <v>403</v>
      </c>
      <c r="N594" s="157">
        <f t="shared" si="175"/>
        <v>0</v>
      </c>
      <c r="O594" s="140">
        <f t="shared" ref="O594:O657" si="182">IF(E594&lt;$J$6,0,IF(E594&gt;=$I$1,0,($J$5-D594)/($J$5-VLOOKUP($J$6,$H$17:$M$750,6))))</f>
        <v>0</v>
      </c>
      <c r="P594" s="149">
        <v>0</v>
      </c>
      <c r="Q594" s="163">
        <f t="shared" si="168"/>
        <v>403</v>
      </c>
      <c r="R594" s="150">
        <f t="shared" ref="R594:R657" si="183">IF(OR(E594&lt;$J$6+1,E594&gt;$I$1),0,1)</f>
        <v>0</v>
      </c>
      <c r="S594" s="164">
        <f t="shared" si="176"/>
        <v>9119824.2599999998</v>
      </c>
    </row>
    <row r="595" spans="1:19" x14ac:dyDescent="0.25">
      <c r="A595" s="80" t="str">
        <f t="shared" si="173"/>
        <v>Thu</v>
      </c>
      <c r="B595" s="147">
        <f>IF(SUMIFS(CashFlow!$C$16:$C$40,CashFlow!$D$16:$D$40,CashFlowCalcs!$E595)&gt;0,SUMIFS(CashFlow!$C$16:$C$40,CashFlow!$D$16:$D$40,CashFlowCalcs!$E595),B594)</f>
        <v>18</v>
      </c>
      <c r="C595" s="147" t="str">
        <f t="shared" ref="C595:C654" si="184">IF(LEFT(A595,1)="S","Y","N")</f>
        <v>N</v>
      </c>
      <c r="D595" s="80">
        <f t="shared" si="169"/>
        <v>404</v>
      </c>
      <c r="E595" s="81">
        <f t="shared" si="178"/>
        <v>44945</v>
      </c>
      <c r="F595" s="80">
        <f t="shared" si="171"/>
        <v>-0.609467455621302</v>
      </c>
      <c r="G595" s="119">
        <f t="shared" ref="G595:G658" si="185">NORMDIST(F595,0,1,0)</f>
        <v>0.33132224646212804</v>
      </c>
      <c r="H595" s="125">
        <f t="shared" si="172"/>
        <v>44945</v>
      </c>
      <c r="I595" s="82">
        <f t="shared" si="180"/>
        <v>0.83055986937933024</v>
      </c>
      <c r="J595" s="126">
        <f t="shared" ref="J595:J658" si="186">(I595*$G$8)+$G$7</f>
        <v>7574560.0461480469</v>
      </c>
      <c r="K595" s="139">
        <f t="shared" si="181"/>
        <v>0</v>
      </c>
      <c r="L595" s="83">
        <f t="shared" si="179"/>
        <v>7574560.0461480469</v>
      </c>
      <c r="M595" s="80">
        <f t="shared" ref="M595:M658" si="187">D595</f>
        <v>404</v>
      </c>
      <c r="N595" s="157">
        <f t="shared" si="175"/>
        <v>0</v>
      </c>
      <c r="O595" s="140">
        <f t="shared" si="182"/>
        <v>0</v>
      </c>
      <c r="P595" s="149">
        <v>0</v>
      </c>
      <c r="Q595" s="163">
        <f t="shared" ref="Q595:Q658" si="188">D595</f>
        <v>404</v>
      </c>
      <c r="R595" s="150">
        <f t="shared" si="183"/>
        <v>0</v>
      </c>
      <c r="S595" s="164">
        <f t="shared" si="176"/>
        <v>9119824.2599999998</v>
      </c>
    </row>
    <row r="596" spans="1:19" x14ac:dyDescent="0.25">
      <c r="A596" s="80" t="str">
        <f t="shared" si="173"/>
        <v>Fri</v>
      </c>
      <c r="B596" s="147">
        <f>IF(SUMIFS(CashFlow!$C$16:$C$40,CashFlow!$D$16:$D$40,CashFlowCalcs!$E596)&gt;0,SUMIFS(CashFlow!$C$16:$C$40,CashFlow!$D$16:$D$40,CashFlowCalcs!$E596),B595)</f>
        <v>18</v>
      </c>
      <c r="C596" s="147" t="str">
        <f t="shared" si="184"/>
        <v>N</v>
      </c>
      <c r="D596" s="80">
        <f t="shared" ref="D596:D659" si="189">IF($C596="N",$D595+1,$D595)</f>
        <v>405</v>
      </c>
      <c r="E596" s="81">
        <f t="shared" ref="E596:E611" si="190">E595+1</f>
        <v>44946</v>
      </c>
      <c r="F596" s="80">
        <f t="shared" ref="F596:F659" si="191">$F$18+((((D596)/($J$5+2)*3)))</f>
        <v>-0.60355029585798814</v>
      </c>
      <c r="G596" s="119">
        <f t="shared" si="185"/>
        <v>0.33251343522201471</v>
      </c>
      <c r="H596" s="125">
        <f t="shared" ref="H596:H659" si="192">H595+1</f>
        <v>44946</v>
      </c>
      <c r="I596" s="82">
        <f t="shared" si="180"/>
        <v>0.83354594589964226</v>
      </c>
      <c r="J596" s="126">
        <f t="shared" si="186"/>
        <v>7601792.5392402047</v>
      </c>
      <c r="K596" s="139">
        <f t="shared" si="181"/>
        <v>0</v>
      </c>
      <c r="L596" s="83">
        <f t="shared" si="179"/>
        <v>7601792.5392402047</v>
      </c>
      <c r="M596" s="80">
        <f t="shared" si="187"/>
        <v>405</v>
      </c>
      <c r="N596" s="157">
        <f t="shared" si="175"/>
        <v>0</v>
      </c>
      <c r="O596" s="140">
        <f t="shared" si="182"/>
        <v>0</v>
      </c>
      <c r="P596" s="149">
        <v>0</v>
      </c>
      <c r="Q596" s="163">
        <f t="shared" si="188"/>
        <v>405</v>
      </c>
      <c r="R596" s="150">
        <f t="shared" si="183"/>
        <v>0</v>
      </c>
      <c r="S596" s="164">
        <f t="shared" si="176"/>
        <v>9119824.2599999998</v>
      </c>
    </row>
    <row r="597" spans="1:19" x14ac:dyDescent="0.25">
      <c r="A597" s="80" t="str">
        <f t="shared" si="173"/>
        <v>Sat</v>
      </c>
      <c r="B597" s="147">
        <f>IF(SUMIFS(CashFlow!$C$16:$C$40,CashFlow!$D$16:$D$40,CashFlowCalcs!$E597)&gt;0,SUMIFS(CashFlow!$C$16:$C$40,CashFlow!$D$16:$D$40,CashFlowCalcs!$E597),B596)</f>
        <v>18</v>
      </c>
      <c r="C597" s="147" t="str">
        <f t="shared" si="184"/>
        <v>Y</v>
      </c>
      <c r="D597" s="80">
        <f t="shared" si="189"/>
        <v>405</v>
      </c>
      <c r="E597" s="81">
        <f t="shared" si="190"/>
        <v>44947</v>
      </c>
      <c r="F597" s="80">
        <f t="shared" si="191"/>
        <v>-0.60355029585798814</v>
      </c>
      <c r="G597" s="119">
        <f t="shared" si="185"/>
        <v>0.33251343522201471</v>
      </c>
      <c r="H597" s="125">
        <f t="shared" si="192"/>
        <v>44947</v>
      </c>
      <c r="I597" s="82">
        <f t="shared" si="180"/>
        <v>0.83354594589964226</v>
      </c>
      <c r="J597" s="126">
        <f t="shared" si="186"/>
        <v>7601792.5392402047</v>
      </c>
      <c r="K597" s="139">
        <f t="shared" si="181"/>
        <v>0</v>
      </c>
      <c r="L597" s="83">
        <f t="shared" si="179"/>
        <v>7601792.5392402047</v>
      </c>
      <c r="M597" s="80">
        <f t="shared" si="187"/>
        <v>405</v>
      </c>
      <c r="N597" s="157">
        <f t="shared" si="175"/>
        <v>0</v>
      </c>
      <c r="O597" s="140">
        <f t="shared" si="182"/>
        <v>0</v>
      </c>
      <c r="P597" s="149">
        <v>0</v>
      </c>
      <c r="Q597" s="163">
        <f t="shared" si="188"/>
        <v>405</v>
      </c>
      <c r="R597" s="150">
        <f t="shared" si="183"/>
        <v>0</v>
      </c>
      <c r="S597" s="164">
        <f t="shared" si="176"/>
        <v>9119824.2599999998</v>
      </c>
    </row>
    <row r="598" spans="1:19" x14ac:dyDescent="0.25">
      <c r="A598" s="80" t="str">
        <f t="shared" si="173"/>
        <v>Sun</v>
      </c>
      <c r="B598" s="147">
        <f>IF(SUMIFS(CashFlow!$C$16:$C$40,CashFlow!$D$16:$D$40,CashFlowCalcs!$E598)&gt;0,SUMIFS(CashFlow!$C$16:$C$40,CashFlow!$D$16:$D$40,CashFlowCalcs!$E598),B597)</f>
        <v>18</v>
      </c>
      <c r="C598" s="147" t="str">
        <f t="shared" si="184"/>
        <v>Y</v>
      </c>
      <c r="D598" s="80">
        <f t="shared" si="189"/>
        <v>405</v>
      </c>
      <c r="E598" s="81">
        <f t="shared" si="190"/>
        <v>44948</v>
      </c>
      <c r="F598" s="80">
        <f t="shared" si="191"/>
        <v>-0.60355029585798814</v>
      </c>
      <c r="G598" s="119">
        <f t="shared" si="185"/>
        <v>0.33251343522201471</v>
      </c>
      <c r="H598" s="125">
        <f t="shared" si="192"/>
        <v>44948</v>
      </c>
      <c r="I598" s="82">
        <f t="shared" si="180"/>
        <v>0.83354594589964226</v>
      </c>
      <c r="J598" s="126">
        <f t="shared" si="186"/>
        <v>7601792.5392402047</v>
      </c>
      <c r="K598" s="139">
        <f t="shared" si="181"/>
        <v>0</v>
      </c>
      <c r="L598" s="83">
        <f t="shared" si="179"/>
        <v>7601792.5392402047</v>
      </c>
      <c r="M598" s="80">
        <f t="shared" si="187"/>
        <v>405</v>
      </c>
      <c r="N598" s="157">
        <f t="shared" si="175"/>
        <v>0</v>
      </c>
      <c r="O598" s="140">
        <f t="shared" si="182"/>
        <v>0</v>
      </c>
      <c r="P598" s="149">
        <v>0</v>
      </c>
      <c r="Q598" s="163">
        <f t="shared" si="188"/>
        <v>405</v>
      </c>
      <c r="R598" s="150">
        <f t="shared" si="183"/>
        <v>0</v>
      </c>
      <c r="S598" s="164">
        <f t="shared" si="176"/>
        <v>9119824.2599999998</v>
      </c>
    </row>
    <row r="599" spans="1:19" x14ac:dyDescent="0.25">
      <c r="A599" s="80" t="str">
        <f t="shared" si="173"/>
        <v>Mon</v>
      </c>
      <c r="B599" s="147">
        <f>IF(SUMIFS(CashFlow!$C$16:$C$40,CashFlow!$D$16:$D$40,CashFlowCalcs!$E599)&gt;0,SUMIFS(CashFlow!$C$16:$C$40,CashFlow!$D$16:$D$40,CashFlowCalcs!$E599),B598)</f>
        <v>18</v>
      </c>
      <c r="C599" s="147" t="str">
        <f t="shared" si="184"/>
        <v>N</v>
      </c>
      <c r="D599" s="80">
        <f t="shared" si="189"/>
        <v>406</v>
      </c>
      <c r="E599" s="81">
        <f t="shared" si="190"/>
        <v>44949</v>
      </c>
      <c r="F599" s="80">
        <f t="shared" si="191"/>
        <v>-0.59763313609467472</v>
      </c>
      <c r="G599" s="119">
        <f t="shared" si="185"/>
        <v>0.33369722274023478</v>
      </c>
      <c r="H599" s="125">
        <f t="shared" si="192"/>
        <v>44949</v>
      </c>
      <c r="I599" s="82">
        <f t="shared" si="180"/>
        <v>0.83651346895915446</v>
      </c>
      <c r="J599" s="126">
        <f t="shared" si="186"/>
        <v>7628855.828030454</v>
      </c>
      <c r="K599" s="139">
        <f t="shared" si="181"/>
        <v>0</v>
      </c>
      <c r="L599" s="83">
        <f t="shared" si="179"/>
        <v>7628855.828030454</v>
      </c>
      <c r="M599" s="80">
        <f t="shared" si="187"/>
        <v>406</v>
      </c>
      <c r="N599" s="157">
        <f t="shared" si="175"/>
        <v>0</v>
      </c>
      <c r="O599" s="140">
        <f t="shared" si="182"/>
        <v>0</v>
      </c>
      <c r="P599" s="149">
        <v>0</v>
      </c>
      <c r="Q599" s="163">
        <f t="shared" si="188"/>
        <v>406</v>
      </c>
      <c r="R599" s="150">
        <f t="shared" si="183"/>
        <v>0</v>
      </c>
      <c r="S599" s="164">
        <f t="shared" si="176"/>
        <v>9119824.2599999998</v>
      </c>
    </row>
    <row r="600" spans="1:19" x14ac:dyDescent="0.25">
      <c r="A600" s="80" t="str">
        <f t="shared" si="173"/>
        <v>Tues</v>
      </c>
      <c r="B600" s="147">
        <f>IF(SUMIFS(CashFlow!$C$16:$C$40,CashFlow!$D$16:$D$40,CashFlowCalcs!$E600)&gt;0,SUMIFS(CashFlow!$C$16:$C$40,CashFlow!$D$16:$D$40,CashFlowCalcs!$E600),B599)</f>
        <v>18</v>
      </c>
      <c r="C600" s="147" t="str">
        <f t="shared" si="184"/>
        <v>N</v>
      </c>
      <c r="D600" s="80">
        <f t="shared" si="189"/>
        <v>407</v>
      </c>
      <c r="E600" s="81">
        <f t="shared" si="190"/>
        <v>44950</v>
      </c>
      <c r="F600" s="80">
        <f t="shared" si="191"/>
        <v>-0.59171597633136086</v>
      </c>
      <c r="G600" s="119">
        <f t="shared" si="185"/>
        <v>0.33487349962599666</v>
      </c>
      <c r="H600" s="125">
        <f t="shared" si="192"/>
        <v>44950</v>
      </c>
      <c r="I600" s="82">
        <f t="shared" si="180"/>
        <v>0.8394621643366138</v>
      </c>
      <c r="J600" s="126">
        <f t="shared" si="186"/>
        <v>7655747.4116691574</v>
      </c>
      <c r="K600" s="139">
        <f t="shared" si="181"/>
        <v>0</v>
      </c>
      <c r="L600" s="83">
        <f t="shared" si="179"/>
        <v>7655747.4116691574</v>
      </c>
      <c r="M600" s="80">
        <f t="shared" si="187"/>
        <v>407</v>
      </c>
      <c r="N600" s="157">
        <f t="shared" si="175"/>
        <v>0</v>
      </c>
      <c r="O600" s="140">
        <f t="shared" si="182"/>
        <v>0</v>
      </c>
      <c r="P600" s="149">
        <v>0</v>
      </c>
      <c r="Q600" s="163">
        <f t="shared" si="188"/>
        <v>407</v>
      </c>
      <c r="R600" s="150">
        <f t="shared" si="183"/>
        <v>0</v>
      </c>
      <c r="S600" s="164">
        <f t="shared" si="176"/>
        <v>9119824.2599999998</v>
      </c>
    </row>
    <row r="601" spans="1:19" x14ac:dyDescent="0.25">
      <c r="A601" s="80" t="str">
        <f t="shared" si="173"/>
        <v>Wed</v>
      </c>
      <c r="B601" s="147">
        <f>IF(SUMIFS(CashFlow!$C$16:$C$40,CashFlow!$D$16:$D$40,CashFlowCalcs!$E601)&gt;0,SUMIFS(CashFlow!$C$16:$C$40,CashFlow!$D$16:$D$40,CashFlowCalcs!$E601),B600)</f>
        <v>18</v>
      </c>
      <c r="C601" s="147" t="str">
        <f t="shared" si="184"/>
        <v>N</v>
      </c>
      <c r="D601" s="80">
        <f t="shared" si="189"/>
        <v>408</v>
      </c>
      <c r="E601" s="81">
        <f t="shared" si="190"/>
        <v>44951</v>
      </c>
      <c r="F601" s="80">
        <f t="shared" si="191"/>
        <v>-0.58579881656804744</v>
      </c>
      <c r="G601" s="119">
        <f t="shared" si="185"/>
        <v>0.33604215689127409</v>
      </c>
      <c r="H601" s="125">
        <f t="shared" si="192"/>
        <v>44951</v>
      </c>
      <c r="I601" s="82">
        <f t="shared" si="180"/>
        <v>0.84239175882042083</v>
      </c>
      <c r="J601" s="126">
        <f t="shared" si="186"/>
        <v>7682464.7985145431</v>
      </c>
      <c r="K601" s="139">
        <f t="shared" si="181"/>
        <v>0</v>
      </c>
      <c r="L601" s="83">
        <f t="shared" si="179"/>
        <v>7682464.7985145431</v>
      </c>
      <c r="M601" s="80">
        <f t="shared" si="187"/>
        <v>408</v>
      </c>
      <c r="N601" s="157">
        <f t="shared" si="175"/>
        <v>0</v>
      </c>
      <c r="O601" s="140">
        <f t="shared" si="182"/>
        <v>0</v>
      </c>
      <c r="P601" s="149">
        <v>0</v>
      </c>
      <c r="Q601" s="163">
        <f t="shared" si="188"/>
        <v>408</v>
      </c>
      <c r="R601" s="150">
        <f t="shared" si="183"/>
        <v>0</v>
      </c>
      <c r="S601" s="164">
        <f t="shared" si="176"/>
        <v>9119824.2599999998</v>
      </c>
    </row>
    <row r="602" spans="1:19" x14ac:dyDescent="0.25">
      <c r="A602" s="80" t="str">
        <f t="shared" ref="A602:A665" si="193">A595</f>
        <v>Thu</v>
      </c>
      <c r="B602" s="147">
        <f>IF(SUMIFS(CashFlow!$C$16:$C$40,CashFlow!$D$16:$D$40,CashFlowCalcs!$E602)&gt;0,SUMIFS(CashFlow!$C$16:$C$40,CashFlow!$D$16:$D$40,CashFlowCalcs!$E602),B601)</f>
        <v>18</v>
      </c>
      <c r="C602" s="147" t="str">
        <f t="shared" si="184"/>
        <v>N</v>
      </c>
      <c r="D602" s="80">
        <f t="shared" si="189"/>
        <v>409</v>
      </c>
      <c r="E602" s="81">
        <f t="shared" si="190"/>
        <v>44952</v>
      </c>
      <c r="F602" s="80">
        <f t="shared" si="191"/>
        <v>-0.57988165680473358</v>
      </c>
      <c r="G602" s="119">
        <f t="shared" si="185"/>
        <v>0.33720308596751686</v>
      </c>
      <c r="H602" s="125">
        <f t="shared" si="192"/>
        <v>44952</v>
      </c>
      <c r="I602" s="82">
        <f t="shared" si="180"/>
        <v>0.8453019802505205</v>
      </c>
      <c r="J602" s="126">
        <f t="shared" si="186"/>
        <v>7709005.5065147374</v>
      </c>
      <c r="K602" s="139">
        <f t="shared" si="181"/>
        <v>0</v>
      </c>
      <c r="L602" s="83">
        <f t="shared" si="179"/>
        <v>7709005.5065147374</v>
      </c>
      <c r="M602" s="80">
        <f t="shared" si="187"/>
        <v>409</v>
      </c>
      <c r="N602" s="157">
        <f t="shared" si="175"/>
        <v>0</v>
      </c>
      <c r="O602" s="140">
        <f t="shared" si="182"/>
        <v>0</v>
      </c>
      <c r="P602" s="149">
        <v>0</v>
      </c>
      <c r="Q602" s="163">
        <f t="shared" si="188"/>
        <v>409</v>
      </c>
      <c r="R602" s="150">
        <f t="shared" si="183"/>
        <v>0</v>
      </c>
      <c r="S602" s="164">
        <f t="shared" si="176"/>
        <v>9119824.2599999998</v>
      </c>
    </row>
    <row r="603" spans="1:19" x14ac:dyDescent="0.25">
      <c r="A603" s="80" t="str">
        <f t="shared" si="193"/>
        <v>Fri</v>
      </c>
      <c r="B603" s="147">
        <f>IF(SUMIFS(CashFlow!$C$16:$C$40,CashFlow!$D$16:$D$40,CashFlowCalcs!$E603)&gt;0,SUMIFS(CashFlow!$C$16:$C$40,CashFlow!$D$16:$D$40,CashFlowCalcs!$E603),B602)</f>
        <v>18</v>
      </c>
      <c r="C603" s="147" t="str">
        <f t="shared" si="184"/>
        <v>N</v>
      </c>
      <c r="D603" s="80">
        <f t="shared" si="189"/>
        <v>410</v>
      </c>
      <c r="E603" s="81">
        <f t="shared" si="190"/>
        <v>44953</v>
      </c>
      <c r="F603" s="80">
        <f t="shared" si="191"/>
        <v>-0.57396449704142016</v>
      </c>
      <c r="G603" s="119">
        <f t="shared" si="185"/>
        <v>0.33835617872234564</v>
      </c>
      <c r="H603" s="125">
        <f t="shared" si="192"/>
        <v>44953</v>
      </c>
      <c r="I603" s="82">
        <f t="shared" si="180"/>
        <v>0.84819255756025247</v>
      </c>
      <c r="J603" s="126">
        <f t="shared" si="186"/>
        <v>7735367.0635894369</v>
      </c>
      <c r="K603" s="139">
        <f t="shared" si="181"/>
        <v>0</v>
      </c>
      <c r="L603" s="83">
        <f t="shared" si="179"/>
        <v>7735367.0635894369</v>
      </c>
      <c r="M603" s="80">
        <f t="shared" si="187"/>
        <v>410</v>
      </c>
      <c r="N603" s="157">
        <f t="shared" si="175"/>
        <v>0</v>
      </c>
      <c r="O603" s="140">
        <f t="shared" si="182"/>
        <v>0</v>
      </c>
      <c r="P603" s="149">
        <v>0</v>
      </c>
      <c r="Q603" s="163">
        <f t="shared" si="188"/>
        <v>410</v>
      </c>
      <c r="R603" s="150">
        <f t="shared" si="183"/>
        <v>0</v>
      </c>
      <c r="S603" s="164">
        <f t="shared" si="176"/>
        <v>9119824.2599999998</v>
      </c>
    </row>
    <row r="604" spans="1:19" x14ac:dyDescent="0.25">
      <c r="A604" s="80" t="str">
        <f t="shared" si="193"/>
        <v>Sat</v>
      </c>
      <c r="B604" s="147">
        <f>IF(SUMIFS(CashFlow!$C$16:$C$40,CashFlow!$D$16:$D$40,CashFlowCalcs!$E604)&gt;0,SUMIFS(CashFlow!$C$16:$C$40,CashFlow!$D$16:$D$40,CashFlowCalcs!$E604),B603)</f>
        <v>20</v>
      </c>
      <c r="C604" s="147" t="str">
        <f t="shared" si="184"/>
        <v>Y</v>
      </c>
      <c r="D604" s="80">
        <f t="shared" si="189"/>
        <v>410</v>
      </c>
      <c r="E604" s="81">
        <f t="shared" si="190"/>
        <v>44954</v>
      </c>
      <c r="F604" s="80">
        <f t="shared" si="191"/>
        <v>-0.57396449704142016</v>
      </c>
      <c r="G604" s="119">
        <f t="shared" si="185"/>
        <v>0.33835617872234564</v>
      </c>
      <c r="H604" s="125">
        <f t="shared" si="192"/>
        <v>44954</v>
      </c>
      <c r="I604" s="82">
        <f t="shared" si="180"/>
        <v>0.84819255756025247</v>
      </c>
      <c r="J604" s="126">
        <f t="shared" si="186"/>
        <v>7735367.0635894369</v>
      </c>
      <c r="K604" s="139">
        <f t="shared" si="181"/>
        <v>0</v>
      </c>
      <c r="L604" s="83">
        <f t="shared" si="179"/>
        <v>7735367.0635894369</v>
      </c>
      <c r="M604" s="80">
        <f t="shared" si="187"/>
        <v>410</v>
      </c>
      <c r="N604" s="157">
        <f t="shared" si="175"/>
        <v>0</v>
      </c>
      <c r="O604" s="140">
        <f t="shared" si="182"/>
        <v>0</v>
      </c>
      <c r="P604" s="149">
        <v>0</v>
      </c>
      <c r="Q604" s="163">
        <f t="shared" si="188"/>
        <v>410</v>
      </c>
      <c r="R604" s="150">
        <f t="shared" si="183"/>
        <v>0</v>
      </c>
      <c r="S604" s="164">
        <f t="shared" si="176"/>
        <v>9119824.2599999998</v>
      </c>
    </row>
    <row r="605" spans="1:19" x14ac:dyDescent="0.25">
      <c r="A605" s="80" t="str">
        <f t="shared" si="193"/>
        <v>Sun</v>
      </c>
      <c r="B605" s="147">
        <f>IF(SUMIFS(CashFlow!$C$16:$C$40,CashFlow!$D$16:$D$40,CashFlowCalcs!$E605)&gt;0,SUMIFS(CashFlow!$C$16:$C$40,CashFlow!$D$16:$D$40,CashFlowCalcs!$E605),B604)</f>
        <v>20</v>
      </c>
      <c r="C605" s="147" t="str">
        <f t="shared" si="184"/>
        <v>Y</v>
      </c>
      <c r="D605" s="80">
        <f t="shared" si="189"/>
        <v>410</v>
      </c>
      <c r="E605" s="81">
        <f t="shared" si="190"/>
        <v>44955</v>
      </c>
      <c r="F605" s="80">
        <f t="shared" si="191"/>
        <v>-0.57396449704142016</v>
      </c>
      <c r="G605" s="119">
        <f t="shared" si="185"/>
        <v>0.33835617872234564</v>
      </c>
      <c r="H605" s="125">
        <f t="shared" si="192"/>
        <v>44955</v>
      </c>
      <c r="I605" s="82">
        <f t="shared" si="180"/>
        <v>0.84819255756025247</v>
      </c>
      <c r="J605" s="126">
        <f t="shared" si="186"/>
        <v>7735367.0635894369</v>
      </c>
      <c r="K605" s="139">
        <f t="shared" si="181"/>
        <v>0</v>
      </c>
      <c r="L605" s="83">
        <f t="shared" si="179"/>
        <v>7735367.0635894369</v>
      </c>
      <c r="M605" s="80">
        <f t="shared" si="187"/>
        <v>410</v>
      </c>
      <c r="N605" s="157">
        <f t="shared" si="175"/>
        <v>0</v>
      </c>
      <c r="O605" s="140">
        <f t="shared" si="182"/>
        <v>0</v>
      </c>
      <c r="P605" s="149">
        <v>0</v>
      </c>
      <c r="Q605" s="163">
        <f t="shared" si="188"/>
        <v>410</v>
      </c>
      <c r="R605" s="150">
        <f t="shared" si="183"/>
        <v>0</v>
      </c>
      <c r="S605" s="164">
        <f t="shared" si="176"/>
        <v>9119824.2599999998</v>
      </c>
    </row>
    <row r="606" spans="1:19" x14ac:dyDescent="0.25">
      <c r="A606" s="80" t="str">
        <f t="shared" si="193"/>
        <v>Mon</v>
      </c>
      <c r="B606" s="147">
        <f>IF(SUMIFS(CashFlow!$C$16:$C$40,CashFlow!$D$16:$D$40,CashFlowCalcs!$E606)&gt;0,SUMIFS(CashFlow!$C$16:$C$40,CashFlow!$D$16:$D$40,CashFlowCalcs!$E606),B605)</f>
        <v>20</v>
      </c>
      <c r="C606" s="147" t="str">
        <f t="shared" si="184"/>
        <v>N</v>
      </c>
      <c r="D606" s="80">
        <f t="shared" si="189"/>
        <v>411</v>
      </c>
      <c r="E606" s="81">
        <f t="shared" si="190"/>
        <v>44956</v>
      </c>
      <c r="F606" s="80">
        <f t="shared" si="191"/>
        <v>-0.5680473372781063</v>
      </c>
      <c r="G606" s="119">
        <f t="shared" si="185"/>
        <v>0.3395013274762288</v>
      </c>
      <c r="H606" s="125">
        <f t="shared" si="192"/>
        <v>44956</v>
      </c>
      <c r="I606" s="82">
        <f t="shared" si="180"/>
        <v>0.85106322081815666</v>
      </c>
      <c r="J606" s="126">
        <f t="shared" si="186"/>
        <v>7761547.0080111623</v>
      </c>
      <c r="K606" s="139">
        <f t="shared" si="181"/>
        <v>0</v>
      </c>
      <c r="L606" s="83">
        <f t="shared" si="179"/>
        <v>7761547.0080111623</v>
      </c>
      <c r="M606" s="80">
        <f t="shared" si="187"/>
        <v>411</v>
      </c>
      <c r="N606" s="157">
        <f t="shared" si="175"/>
        <v>0</v>
      </c>
      <c r="O606" s="140">
        <f t="shared" si="182"/>
        <v>0</v>
      </c>
      <c r="P606" s="149">
        <v>0</v>
      </c>
      <c r="Q606" s="163">
        <f t="shared" si="188"/>
        <v>411</v>
      </c>
      <c r="R606" s="150">
        <f t="shared" si="183"/>
        <v>0</v>
      </c>
      <c r="S606" s="164">
        <f t="shared" si="176"/>
        <v>9119824.2599999998</v>
      </c>
    </row>
    <row r="607" spans="1:19" x14ac:dyDescent="0.25">
      <c r="A607" s="80" t="str">
        <f t="shared" si="193"/>
        <v>Tues</v>
      </c>
      <c r="B607" s="147">
        <f>IF(SUMIFS(CashFlow!$C$16:$C$40,CashFlow!$D$16:$D$40,CashFlowCalcs!$E607)&gt;0,SUMIFS(CashFlow!$C$16:$C$40,CashFlow!$D$16:$D$40,CashFlowCalcs!$E607),B606)</f>
        <v>20</v>
      </c>
      <c r="C607" s="147" t="str">
        <f t="shared" si="184"/>
        <v>N</v>
      </c>
      <c r="D607" s="80">
        <f t="shared" si="189"/>
        <v>412</v>
      </c>
      <c r="E607" s="81">
        <f t="shared" si="190"/>
        <v>44957</v>
      </c>
      <c r="F607" s="80">
        <f t="shared" si="191"/>
        <v>-0.56213017751479288</v>
      </c>
      <c r="G607" s="119">
        <f t="shared" si="185"/>
        <v>0.34063842501913655</v>
      </c>
      <c r="H607" s="125">
        <f t="shared" si="192"/>
        <v>44957</v>
      </c>
      <c r="I607" s="82">
        <f t="shared" si="180"/>
        <v>0.85391370126972199</v>
      </c>
      <c r="J607" s="126">
        <f t="shared" si="186"/>
        <v>7787542.888786003</v>
      </c>
      <c r="K607" s="139">
        <f t="shared" si="181"/>
        <v>0</v>
      </c>
      <c r="L607" s="83">
        <f t="shared" si="179"/>
        <v>7787542.888786003</v>
      </c>
      <c r="M607" s="80">
        <f t="shared" si="187"/>
        <v>412</v>
      </c>
      <c r="N607" s="157">
        <f t="shared" si="175"/>
        <v>0</v>
      </c>
      <c r="O607" s="140">
        <f t="shared" si="182"/>
        <v>0</v>
      </c>
      <c r="P607" s="149">
        <v>0</v>
      </c>
      <c r="Q607" s="163">
        <f t="shared" si="188"/>
        <v>412</v>
      </c>
      <c r="R607" s="150">
        <f t="shared" si="183"/>
        <v>0</v>
      </c>
      <c r="S607" s="164">
        <f t="shared" si="176"/>
        <v>9119824.2599999998</v>
      </c>
    </row>
    <row r="608" spans="1:19" x14ac:dyDescent="0.25">
      <c r="A608" s="80" t="str">
        <f t="shared" si="193"/>
        <v>Wed</v>
      </c>
      <c r="B608" s="147">
        <f>IF(SUMIFS(CashFlow!$C$16:$C$40,CashFlow!$D$16:$D$40,CashFlowCalcs!$E608)&gt;0,SUMIFS(CashFlow!$C$16:$C$40,CashFlow!$D$16:$D$40,CashFlowCalcs!$E608),B607)</f>
        <v>20</v>
      </c>
      <c r="C608" s="147" t="str">
        <f t="shared" si="184"/>
        <v>N</v>
      </c>
      <c r="D608" s="80">
        <f t="shared" si="189"/>
        <v>413</v>
      </c>
      <c r="E608" s="81">
        <f t="shared" si="190"/>
        <v>44958</v>
      </c>
      <c r="F608" s="80">
        <f t="shared" si="191"/>
        <v>-0.55621301775147902</v>
      </c>
      <c r="G608" s="119">
        <f t="shared" si="185"/>
        <v>0.34176736462717067</v>
      </c>
      <c r="H608" s="125">
        <f t="shared" si="192"/>
        <v>44958</v>
      </c>
      <c r="I608" s="82">
        <f t="shared" si="180"/>
        <v>0.856743731379074</v>
      </c>
      <c r="J608" s="126">
        <f t="shared" si="186"/>
        <v>7813352.2660338022</v>
      </c>
      <c r="K608" s="139">
        <f t="shared" si="181"/>
        <v>0</v>
      </c>
      <c r="L608" s="83">
        <f t="shared" si="179"/>
        <v>7813352.2660338022</v>
      </c>
      <c r="M608" s="80">
        <f t="shared" si="187"/>
        <v>413</v>
      </c>
      <c r="N608" s="157">
        <f t="shared" si="175"/>
        <v>0</v>
      </c>
      <c r="O608" s="140">
        <f t="shared" si="182"/>
        <v>0</v>
      </c>
      <c r="P608" s="149">
        <v>0</v>
      </c>
      <c r="Q608" s="163">
        <f t="shared" si="188"/>
        <v>413</v>
      </c>
      <c r="R608" s="150">
        <f t="shared" si="183"/>
        <v>0</v>
      </c>
      <c r="S608" s="164">
        <f t="shared" si="176"/>
        <v>9119824.2599999998</v>
      </c>
    </row>
    <row r="609" spans="1:19" x14ac:dyDescent="0.25">
      <c r="A609" s="80" t="str">
        <f t="shared" si="193"/>
        <v>Thu</v>
      </c>
      <c r="B609" s="147">
        <f>IF(SUMIFS(CashFlow!$C$16:$C$40,CashFlow!$D$16:$D$40,CashFlowCalcs!$E609)&gt;0,SUMIFS(CashFlow!$C$16:$C$40,CashFlow!$D$16:$D$40,CashFlowCalcs!$E609),B608)</f>
        <v>20</v>
      </c>
      <c r="C609" s="147" t="str">
        <f t="shared" si="184"/>
        <v>N</v>
      </c>
      <c r="D609" s="80">
        <f t="shared" si="189"/>
        <v>414</v>
      </c>
      <c r="E609" s="81">
        <f t="shared" si="190"/>
        <v>44959</v>
      </c>
      <c r="F609" s="80">
        <f t="shared" si="191"/>
        <v>-0.55029585798816605</v>
      </c>
      <c r="G609" s="119">
        <f t="shared" si="185"/>
        <v>0.3428880400791629</v>
      </c>
      <c r="H609" s="125">
        <f t="shared" si="192"/>
        <v>44959</v>
      </c>
      <c r="I609" s="82">
        <f t="shared" si="180"/>
        <v>0.85955304487058359</v>
      </c>
      <c r="J609" s="126">
        <f t="shared" si="186"/>
        <v>7838972.7113676164</v>
      </c>
      <c r="K609" s="139">
        <f t="shared" si="181"/>
        <v>0</v>
      </c>
      <c r="L609" s="83">
        <f t="shared" si="179"/>
        <v>7838972.7113676164</v>
      </c>
      <c r="M609" s="80">
        <f t="shared" si="187"/>
        <v>414</v>
      </c>
      <c r="N609" s="157">
        <f t="shared" si="175"/>
        <v>0</v>
      </c>
      <c r="O609" s="140">
        <f t="shared" si="182"/>
        <v>0</v>
      </c>
      <c r="P609" s="149">
        <v>0</v>
      </c>
      <c r="Q609" s="163">
        <f t="shared" si="188"/>
        <v>414</v>
      </c>
      <c r="R609" s="150">
        <f t="shared" si="183"/>
        <v>0</v>
      </c>
      <c r="S609" s="164">
        <f t="shared" si="176"/>
        <v>9119824.2599999998</v>
      </c>
    </row>
    <row r="610" spans="1:19" x14ac:dyDescent="0.25">
      <c r="A610" s="80" t="str">
        <f t="shared" si="193"/>
        <v>Fri</v>
      </c>
      <c r="B610" s="147">
        <f>IF(SUMIFS(CashFlow!$C$16:$C$40,CashFlow!$D$16:$D$40,CashFlowCalcs!$E610)&gt;0,SUMIFS(CashFlow!$C$16:$C$40,CashFlow!$D$16:$D$40,CashFlowCalcs!$E610),B609)</f>
        <v>20</v>
      </c>
      <c r="C610" s="147" t="str">
        <f t="shared" si="184"/>
        <v>N</v>
      </c>
      <c r="D610" s="80">
        <f t="shared" si="189"/>
        <v>415</v>
      </c>
      <c r="E610" s="81">
        <f t="shared" si="190"/>
        <v>44960</v>
      </c>
      <c r="F610" s="80">
        <f t="shared" si="191"/>
        <v>-0.54437869822485219</v>
      </c>
      <c r="G610" s="119">
        <f t="shared" si="185"/>
        <v>0.34400034567324306</v>
      </c>
      <c r="H610" s="125">
        <f t="shared" si="192"/>
        <v>44960</v>
      </c>
      <c r="I610" s="82">
        <f t="shared" si="180"/>
        <v>0.86234137677039968</v>
      </c>
      <c r="J610" s="126">
        <f t="shared" si="186"/>
        <v>7864401.8082724912</v>
      </c>
      <c r="K610" s="139">
        <f t="shared" si="181"/>
        <v>0</v>
      </c>
      <c r="L610" s="83">
        <f t="shared" si="179"/>
        <v>7864401.8082724912</v>
      </c>
      <c r="M610" s="80">
        <f t="shared" si="187"/>
        <v>415</v>
      </c>
      <c r="N610" s="157">
        <f t="shared" si="175"/>
        <v>0</v>
      </c>
      <c r="O610" s="140">
        <f t="shared" si="182"/>
        <v>0</v>
      </c>
      <c r="P610" s="149">
        <v>0</v>
      </c>
      <c r="Q610" s="163">
        <f t="shared" si="188"/>
        <v>415</v>
      </c>
      <c r="R610" s="150">
        <f t="shared" si="183"/>
        <v>0</v>
      </c>
      <c r="S610" s="164">
        <f t="shared" si="176"/>
        <v>9119824.2599999998</v>
      </c>
    </row>
    <row r="611" spans="1:19" x14ac:dyDescent="0.25">
      <c r="A611" s="80" t="str">
        <f t="shared" si="193"/>
        <v>Sat</v>
      </c>
      <c r="B611" s="147">
        <f>IF(SUMIFS(CashFlow!$C$16:$C$40,CashFlow!$D$16:$D$40,CashFlowCalcs!$E611)&gt;0,SUMIFS(CashFlow!$C$16:$C$40,CashFlow!$D$16:$D$40,CashFlowCalcs!$E611),B610)</f>
        <v>20</v>
      </c>
      <c r="C611" s="147" t="str">
        <f t="shared" si="184"/>
        <v>Y</v>
      </c>
      <c r="D611" s="80">
        <f t="shared" si="189"/>
        <v>415</v>
      </c>
      <c r="E611" s="81">
        <f t="shared" si="190"/>
        <v>44961</v>
      </c>
      <c r="F611" s="80">
        <f t="shared" si="191"/>
        <v>-0.54437869822485219</v>
      </c>
      <c r="G611" s="119">
        <f t="shared" si="185"/>
        <v>0.34400034567324306</v>
      </c>
      <c r="H611" s="125">
        <f t="shared" si="192"/>
        <v>44961</v>
      </c>
      <c r="I611" s="82">
        <f t="shared" si="180"/>
        <v>0.86234137677039968</v>
      </c>
      <c r="J611" s="126">
        <f t="shared" si="186"/>
        <v>7864401.8082724912</v>
      </c>
      <c r="K611" s="139">
        <f t="shared" si="181"/>
        <v>0</v>
      </c>
      <c r="L611" s="83">
        <f t="shared" si="179"/>
        <v>7864401.8082724912</v>
      </c>
      <c r="M611" s="80">
        <f t="shared" si="187"/>
        <v>415</v>
      </c>
      <c r="N611" s="157">
        <f t="shared" si="175"/>
        <v>0</v>
      </c>
      <c r="O611" s="140">
        <f t="shared" si="182"/>
        <v>0</v>
      </c>
      <c r="P611" s="149">
        <v>0</v>
      </c>
      <c r="Q611" s="163">
        <f t="shared" si="188"/>
        <v>415</v>
      </c>
      <c r="R611" s="150">
        <f t="shared" si="183"/>
        <v>0</v>
      </c>
      <c r="S611" s="164">
        <f t="shared" si="176"/>
        <v>9119824.2599999998</v>
      </c>
    </row>
    <row r="612" spans="1:19" x14ac:dyDescent="0.25">
      <c r="A612" s="80" t="str">
        <f t="shared" si="193"/>
        <v>Sun</v>
      </c>
      <c r="B612" s="147">
        <f>IF(SUMIFS(CashFlow!$C$16:$C$40,CashFlow!$D$16:$D$40,CashFlowCalcs!$E612)&gt;0,SUMIFS(CashFlow!$C$16:$C$40,CashFlow!$D$16:$D$40,CashFlowCalcs!$E612),B611)</f>
        <v>20</v>
      </c>
      <c r="C612" s="147" t="str">
        <f t="shared" si="184"/>
        <v>Y</v>
      </c>
      <c r="D612" s="80">
        <f t="shared" si="189"/>
        <v>415</v>
      </c>
      <c r="E612" s="81">
        <f t="shared" ref="E612:E627" si="194">E611+1</f>
        <v>44962</v>
      </c>
      <c r="F612" s="80">
        <f t="shared" si="191"/>
        <v>-0.54437869822485219</v>
      </c>
      <c r="G612" s="119">
        <f t="shared" si="185"/>
        <v>0.34400034567324306</v>
      </c>
      <c r="H612" s="125">
        <f t="shared" si="192"/>
        <v>44962</v>
      </c>
      <c r="I612" s="82">
        <f t="shared" si="180"/>
        <v>0.86234137677039968</v>
      </c>
      <c r="J612" s="126">
        <f t="shared" si="186"/>
        <v>7864401.8082724912</v>
      </c>
      <c r="K612" s="139">
        <f t="shared" si="181"/>
        <v>0</v>
      </c>
      <c r="L612" s="83">
        <f t="shared" si="179"/>
        <v>7864401.8082724912</v>
      </c>
      <c r="M612" s="80">
        <f t="shared" si="187"/>
        <v>415</v>
      </c>
      <c r="N612" s="157">
        <f t="shared" ref="N612:N675" si="195">IF(E612&lt;$J$6,0,IF(E612&gt;=$I$1,0,1))*$I$10</f>
        <v>0</v>
      </c>
      <c r="O612" s="140">
        <f t="shared" si="182"/>
        <v>0</v>
      </c>
      <c r="P612" s="149">
        <v>0</v>
      </c>
      <c r="Q612" s="163">
        <f t="shared" si="188"/>
        <v>415</v>
      </c>
      <c r="R612" s="150">
        <f t="shared" si="183"/>
        <v>0</v>
      </c>
      <c r="S612" s="164">
        <f t="shared" si="176"/>
        <v>9119824.2599999998</v>
      </c>
    </row>
    <row r="613" spans="1:19" x14ac:dyDescent="0.25">
      <c r="A613" s="80" t="str">
        <f t="shared" si="193"/>
        <v>Mon</v>
      </c>
      <c r="B613" s="147">
        <f>IF(SUMIFS(CashFlow!$C$16:$C$40,CashFlow!$D$16:$D$40,CashFlowCalcs!$E613)&gt;0,SUMIFS(CashFlow!$C$16:$C$40,CashFlow!$D$16:$D$40,CashFlowCalcs!$E613),B612)</f>
        <v>20</v>
      </c>
      <c r="C613" s="147" t="str">
        <f t="shared" si="184"/>
        <v>N</v>
      </c>
      <c r="D613" s="80">
        <f t="shared" si="189"/>
        <v>416</v>
      </c>
      <c r="E613" s="81">
        <f t="shared" si="194"/>
        <v>44963</v>
      </c>
      <c r="F613" s="80">
        <f t="shared" si="191"/>
        <v>-0.53846153846153832</v>
      </c>
      <c r="G613" s="119">
        <f t="shared" si="185"/>
        <v>0.34510417624336809</v>
      </c>
      <c r="H613" s="125">
        <f t="shared" si="192"/>
        <v>44963</v>
      </c>
      <c r="I613" s="82">
        <f t="shared" si="180"/>
        <v>0.86510846344788539</v>
      </c>
      <c r="J613" s="126">
        <f t="shared" si="186"/>
        <v>7889637.1524833478</v>
      </c>
      <c r="K613" s="139">
        <f t="shared" si="181"/>
        <v>0</v>
      </c>
      <c r="L613" s="83">
        <f t="shared" si="179"/>
        <v>7889637.1524833478</v>
      </c>
      <c r="M613" s="80">
        <f t="shared" si="187"/>
        <v>416</v>
      </c>
      <c r="N613" s="157">
        <f t="shared" si="195"/>
        <v>0</v>
      </c>
      <c r="O613" s="140">
        <f t="shared" si="182"/>
        <v>0</v>
      </c>
      <c r="P613" s="149">
        <v>0</v>
      </c>
      <c r="Q613" s="163">
        <f t="shared" si="188"/>
        <v>416</v>
      </c>
      <c r="R613" s="150">
        <f t="shared" si="183"/>
        <v>0</v>
      </c>
      <c r="S613" s="164">
        <f t="shared" si="176"/>
        <v>9119824.2599999998</v>
      </c>
    </row>
    <row r="614" spans="1:19" x14ac:dyDescent="0.25">
      <c r="A614" s="80" t="str">
        <f t="shared" si="193"/>
        <v>Tues</v>
      </c>
      <c r="B614" s="147">
        <f>IF(SUMIFS(CashFlow!$C$16:$C$40,CashFlow!$D$16:$D$40,CashFlowCalcs!$E614)&gt;0,SUMIFS(CashFlow!$C$16:$C$40,CashFlow!$D$16:$D$40,CashFlowCalcs!$E614),B613)</f>
        <v>20</v>
      </c>
      <c r="C614" s="147" t="str">
        <f t="shared" si="184"/>
        <v>N</v>
      </c>
      <c r="D614" s="80">
        <f t="shared" si="189"/>
        <v>417</v>
      </c>
      <c r="E614" s="81">
        <f t="shared" si="194"/>
        <v>44964</v>
      </c>
      <c r="F614" s="80">
        <f t="shared" si="191"/>
        <v>-0.53254437869822491</v>
      </c>
      <c r="G614" s="119">
        <f t="shared" si="185"/>
        <v>0.34619942717581315</v>
      </c>
      <c r="H614" s="125">
        <f t="shared" si="192"/>
        <v>44964</v>
      </c>
      <c r="I614" s="82">
        <f t="shared" si="180"/>
        <v>0.86785404265695643</v>
      </c>
      <c r="J614" s="126">
        <f t="shared" si="186"/>
        <v>7914676.3523619855</v>
      </c>
      <c r="K614" s="139">
        <f t="shared" si="181"/>
        <v>0</v>
      </c>
      <c r="L614" s="83">
        <f t="shared" si="179"/>
        <v>7914676.3523619855</v>
      </c>
      <c r="M614" s="80">
        <f t="shared" si="187"/>
        <v>417</v>
      </c>
      <c r="N614" s="157">
        <f t="shared" si="195"/>
        <v>0</v>
      </c>
      <c r="O614" s="140">
        <f t="shared" si="182"/>
        <v>0</v>
      </c>
      <c r="P614" s="149">
        <v>0</v>
      </c>
      <c r="Q614" s="163">
        <f t="shared" si="188"/>
        <v>417</v>
      </c>
      <c r="R614" s="150">
        <f t="shared" si="183"/>
        <v>0</v>
      </c>
      <c r="S614" s="164">
        <f t="shared" si="176"/>
        <v>9119824.2599999998</v>
      </c>
    </row>
    <row r="615" spans="1:19" x14ac:dyDescent="0.25">
      <c r="A615" s="80" t="str">
        <f t="shared" si="193"/>
        <v>Wed</v>
      </c>
      <c r="B615" s="147">
        <f>IF(SUMIFS(CashFlow!$C$16:$C$40,CashFlow!$D$16:$D$40,CashFlowCalcs!$E615)&gt;0,SUMIFS(CashFlow!$C$16:$C$40,CashFlow!$D$16:$D$40,CashFlowCalcs!$E615),B614)</f>
        <v>20</v>
      </c>
      <c r="C615" s="147" t="str">
        <f t="shared" si="184"/>
        <v>N</v>
      </c>
      <c r="D615" s="80">
        <f t="shared" si="189"/>
        <v>418</v>
      </c>
      <c r="E615" s="81">
        <f t="shared" si="194"/>
        <v>44965</v>
      </c>
      <c r="F615" s="80">
        <f t="shared" si="191"/>
        <v>-0.52662721893491149</v>
      </c>
      <c r="G615" s="119">
        <f t="shared" si="185"/>
        <v>0.34728599442561803</v>
      </c>
      <c r="H615" s="125">
        <f t="shared" si="192"/>
        <v>44965</v>
      </c>
      <c r="I615" s="82">
        <f t="shared" si="180"/>
        <v>0.87057785357731055</v>
      </c>
      <c r="J615" s="126">
        <f t="shared" si="186"/>
        <v>7939517.0292730844</v>
      </c>
      <c r="K615" s="139">
        <f t="shared" si="181"/>
        <v>0</v>
      </c>
      <c r="L615" s="83">
        <f t="shared" si="179"/>
        <v>7939517.0292730844</v>
      </c>
      <c r="M615" s="80">
        <f t="shared" si="187"/>
        <v>418</v>
      </c>
      <c r="N615" s="157">
        <f t="shared" si="195"/>
        <v>0</v>
      </c>
      <c r="O615" s="140">
        <f t="shared" si="182"/>
        <v>0</v>
      </c>
      <c r="P615" s="149">
        <v>0</v>
      </c>
      <c r="Q615" s="163">
        <f t="shared" si="188"/>
        <v>418</v>
      </c>
      <c r="R615" s="150">
        <f t="shared" si="183"/>
        <v>0</v>
      </c>
      <c r="S615" s="164">
        <f t="shared" si="176"/>
        <v>9119824.2599999998</v>
      </c>
    </row>
    <row r="616" spans="1:19" x14ac:dyDescent="0.25">
      <c r="A616" s="80" t="str">
        <f t="shared" si="193"/>
        <v>Thu</v>
      </c>
      <c r="B616" s="147">
        <f>IF(SUMIFS(CashFlow!$C$16:$C$40,CashFlow!$D$16:$D$40,CashFlowCalcs!$E616)&gt;0,SUMIFS(CashFlow!$C$16:$C$40,CashFlow!$D$16:$D$40,CashFlowCalcs!$E616),B615)</f>
        <v>20</v>
      </c>
      <c r="C616" s="147" t="str">
        <f t="shared" si="184"/>
        <v>N</v>
      </c>
      <c r="D616" s="80">
        <f t="shared" si="189"/>
        <v>419</v>
      </c>
      <c r="E616" s="81">
        <f t="shared" si="194"/>
        <v>44966</v>
      </c>
      <c r="F616" s="80">
        <f t="shared" si="191"/>
        <v>-0.52071005917159763</v>
      </c>
      <c r="G616" s="119">
        <f t="shared" si="185"/>
        <v>0.34836377453298673</v>
      </c>
      <c r="H616" s="125">
        <f t="shared" si="192"/>
        <v>44966</v>
      </c>
      <c r="I616" s="82">
        <f t="shared" si="180"/>
        <v>0.873279636855537</v>
      </c>
      <c r="J616" s="126">
        <f t="shared" si="186"/>
        <v>7964156.8179591158</v>
      </c>
      <c r="K616" s="139">
        <f t="shared" si="181"/>
        <v>0</v>
      </c>
      <c r="L616" s="83">
        <f t="shared" si="179"/>
        <v>7964156.8179591158</v>
      </c>
      <c r="M616" s="80">
        <f t="shared" si="187"/>
        <v>419</v>
      </c>
      <c r="N616" s="157">
        <f t="shared" si="195"/>
        <v>0</v>
      </c>
      <c r="O616" s="140">
        <f t="shared" si="182"/>
        <v>0</v>
      </c>
      <c r="P616" s="149">
        <v>0</v>
      </c>
      <c r="Q616" s="163">
        <f t="shared" si="188"/>
        <v>419</v>
      </c>
      <c r="R616" s="150">
        <f t="shared" si="183"/>
        <v>0</v>
      </c>
      <c r="S616" s="164">
        <f t="shared" si="176"/>
        <v>9119824.2599999998</v>
      </c>
    </row>
    <row r="617" spans="1:19" x14ac:dyDescent="0.25">
      <c r="A617" s="80" t="str">
        <f t="shared" si="193"/>
        <v>Fri</v>
      </c>
      <c r="B617" s="147">
        <f>IF(SUMIFS(CashFlow!$C$16:$C$40,CashFlow!$D$16:$D$40,CashFlowCalcs!$E617)&gt;0,SUMIFS(CashFlow!$C$16:$C$40,CashFlow!$D$16:$D$40,CashFlowCalcs!$E617),B616)</f>
        <v>20</v>
      </c>
      <c r="C617" s="147" t="str">
        <f t="shared" si="184"/>
        <v>N</v>
      </c>
      <c r="D617" s="80">
        <f t="shared" si="189"/>
        <v>420</v>
      </c>
      <c r="E617" s="81">
        <f t="shared" si="194"/>
        <v>44967</v>
      </c>
      <c r="F617" s="80">
        <f t="shared" si="191"/>
        <v>-0.51479289940828377</v>
      </c>
      <c r="G617" s="119">
        <f t="shared" si="185"/>
        <v>0.34943266463963552</v>
      </c>
      <c r="H617" s="125">
        <f t="shared" si="192"/>
        <v>44967</v>
      </c>
      <c r="I617" s="82">
        <f t="shared" si="180"/>
        <v>0.87595913464609831</v>
      </c>
      <c r="J617" s="126">
        <f t="shared" si="186"/>
        <v>7988593.3669140935</v>
      </c>
      <c r="K617" s="139">
        <f t="shared" si="181"/>
        <v>0</v>
      </c>
      <c r="L617" s="83">
        <f t="shared" si="179"/>
        <v>7988593.3669140935</v>
      </c>
      <c r="M617" s="80">
        <f t="shared" si="187"/>
        <v>420</v>
      </c>
      <c r="N617" s="157">
        <f t="shared" si="195"/>
        <v>0</v>
      </c>
      <c r="O617" s="140">
        <f t="shared" si="182"/>
        <v>0</v>
      </c>
      <c r="P617" s="149">
        <v>0</v>
      </c>
      <c r="Q617" s="163">
        <f t="shared" si="188"/>
        <v>420</v>
      </c>
      <c r="R617" s="150">
        <f t="shared" si="183"/>
        <v>0</v>
      </c>
      <c r="S617" s="164">
        <f t="shared" si="176"/>
        <v>9119824.2599999998</v>
      </c>
    </row>
    <row r="618" spans="1:19" x14ac:dyDescent="0.25">
      <c r="A618" s="80" t="str">
        <f t="shared" si="193"/>
        <v>Sat</v>
      </c>
      <c r="B618" s="147">
        <f>IF(SUMIFS(CashFlow!$C$16:$C$40,CashFlow!$D$16:$D$40,CashFlowCalcs!$E618)&gt;0,SUMIFS(CashFlow!$C$16:$C$40,CashFlow!$D$16:$D$40,CashFlowCalcs!$E618),B617)</f>
        <v>20</v>
      </c>
      <c r="C618" s="147" t="str">
        <f t="shared" si="184"/>
        <v>Y</v>
      </c>
      <c r="D618" s="80">
        <f t="shared" si="189"/>
        <v>420</v>
      </c>
      <c r="E618" s="81">
        <f t="shared" si="194"/>
        <v>44968</v>
      </c>
      <c r="F618" s="80">
        <f t="shared" si="191"/>
        <v>-0.51479289940828377</v>
      </c>
      <c r="G618" s="119">
        <f t="shared" si="185"/>
        <v>0.34943266463963552</v>
      </c>
      <c r="H618" s="125">
        <f t="shared" si="192"/>
        <v>44968</v>
      </c>
      <c r="I618" s="82">
        <f t="shared" si="180"/>
        <v>0.87595913464609831</v>
      </c>
      <c r="J618" s="126">
        <f t="shared" si="186"/>
        <v>7988593.3669140935</v>
      </c>
      <c r="K618" s="139">
        <f t="shared" si="181"/>
        <v>0</v>
      </c>
      <c r="L618" s="83">
        <f t="shared" si="179"/>
        <v>7988593.3669140935</v>
      </c>
      <c r="M618" s="80">
        <f t="shared" si="187"/>
        <v>420</v>
      </c>
      <c r="N618" s="157">
        <f t="shared" si="195"/>
        <v>0</v>
      </c>
      <c r="O618" s="140">
        <f t="shared" si="182"/>
        <v>0</v>
      </c>
      <c r="P618" s="149">
        <v>0</v>
      </c>
      <c r="Q618" s="163">
        <f t="shared" si="188"/>
        <v>420</v>
      </c>
      <c r="R618" s="150">
        <f t="shared" si="183"/>
        <v>0</v>
      </c>
      <c r="S618" s="164">
        <f t="shared" si="176"/>
        <v>9119824.2599999998</v>
      </c>
    </row>
    <row r="619" spans="1:19" x14ac:dyDescent="0.25">
      <c r="A619" s="80" t="str">
        <f t="shared" si="193"/>
        <v>Sun</v>
      </c>
      <c r="B619" s="147">
        <f>IF(SUMIFS(CashFlow!$C$16:$C$40,CashFlow!$D$16:$D$40,CashFlowCalcs!$E619)&gt;0,SUMIFS(CashFlow!$C$16:$C$40,CashFlow!$D$16:$D$40,CashFlowCalcs!$E619),B618)</f>
        <v>20</v>
      </c>
      <c r="C619" s="147" t="str">
        <f t="shared" si="184"/>
        <v>Y</v>
      </c>
      <c r="D619" s="80">
        <f t="shared" si="189"/>
        <v>420</v>
      </c>
      <c r="E619" s="81">
        <f t="shared" si="194"/>
        <v>44969</v>
      </c>
      <c r="F619" s="80">
        <f t="shared" si="191"/>
        <v>-0.51479289940828377</v>
      </c>
      <c r="G619" s="119">
        <f t="shared" si="185"/>
        <v>0.34943266463963552</v>
      </c>
      <c r="H619" s="125">
        <f t="shared" si="192"/>
        <v>44969</v>
      </c>
      <c r="I619" s="82">
        <f t="shared" si="180"/>
        <v>0.87595913464609831</v>
      </c>
      <c r="J619" s="126">
        <f t="shared" si="186"/>
        <v>7988593.3669140935</v>
      </c>
      <c r="K619" s="139">
        <f t="shared" si="181"/>
        <v>0</v>
      </c>
      <c r="L619" s="83">
        <f t="shared" si="179"/>
        <v>7988593.3669140935</v>
      </c>
      <c r="M619" s="80">
        <f t="shared" si="187"/>
        <v>420</v>
      </c>
      <c r="N619" s="157">
        <f t="shared" si="195"/>
        <v>0</v>
      </c>
      <c r="O619" s="140">
        <f t="shared" si="182"/>
        <v>0</v>
      </c>
      <c r="P619" s="149">
        <v>0</v>
      </c>
      <c r="Q619" s="163">
        <f t="shared" si="188"/>
        <v>420</v>
      </c>
      <c r="R619" s="150">
        <f t="shared" si="183"/>
        <v>0</v>
      </c>
      <c r="S619" s="164">
        <f t="shared" si="176"/>
        <v>9119824.2599999998</v>
      </c>
    </row>
    <row r="620" spans="1:19" x14ac:dyDescent="0.25">
      <c r="A620" s="80" t="str">
        <f t="shared" si="193"/>
        <v>Mon</v>
      </c>
      <c r="B620" s="147">
        <f>IF(SUMIFS(CashFlow!$C$16:$C$40,CashFlow!$D$16:$D$40,CashFlowCalcs!$E620)&gt;0,SUMIFS(CashFlow!$C$16:$C$40,CashFlow!$D$16:$D$40,CashFlowCalcs!$E620),B619)</f>
        <v>20</v>
      </c>
      <c r="C620" s="147" t="str">
        <f t="shared" si="184"/>
        <v>N</v>
      </c>
      <c r="D620" s="80">
        <f t="shared" si="189"/>
        <v>421</v>
      </c>
      <c r="E620" s="81">
        <f t="shared" si="194"/>
        <v>44970</v>
      </c>
      <c r="F620" s="80">
        <f t="shared" si="191"/>
        <v>-0.50887573964497035</v>
      </c>
      <c r="G620" s="119">
        <f t="shared" si="185"/>
        <v>0.35049256250508748</v>
      </c>
      <c r="H620" s="125">
        <f t="shared" si="192"/>
        <v>44970</v>
      </c>
      <c r="I620" s="82">
        <f t="shared" si="180"/>
        <v>0.87861609065217749</v>
      </c>
      <c r="J620" s="126">
        <f t="shared" si="186"/>
        <v>8012824.3387560872</v>
      </c>
      <c r="K620" s="139">
        <f t="shared" si="181"/>
        <v>0</v>
      </c>
      <c r="L620" s="83">
        <f t="shared" si="179"/>
        <v>8012824.3387560872</v>
      </c>
      <c r="M620" s="80">
        <f t="shared" si="187"/>
        <v>421</v>
      </c>
      <c r="N620" s="157">
        <f t="shared" si="195"/>
        <v>0</v>
      </c>
      <c r="O620" s="140">
        <f t="shared" si="182"/>
        <v>0</v>
      </c>
      <c r="P620" s="149">
        <v>0</v>
      </c>
      <c r="Q620" s="163">
        <f t="shared" si="188"/>
        <v>421</v>
      </c>
      <c r="R620" s="150">
        <f t="shared" si="183"/>
        <v>0</v>
      </c>
      <c r="S620" s="164">
        <f t="shared" si="176"/>
        <v>9119824.2599999998</v>
      </c>
    </row>
    <row r="621" spans="1:19" x14ac:dyDescent="0.25">
      <c r="A621" s="80" t="str">
        <f t="shared" si="193"/>
        <v>Tues</v>
      </c>
      <c r="B621" s="147">
        <f>IF(SUMIFS(CashFlow!$C$16:$C$40,CashFlow!$D$16:$D$40,CashFlowCalcs!$E621)&gt;0,SUMIFS(CashFlow!$C$16:$C$40,CashFlow!$D$16:$D$40,CashFlowCalcs!$E621),B620)</f>
        <v>20</v>
      </c>
      <c r="C621" s="147" t="str">
        <f t="shared" si="184"/>
        <v>N</v>
      </c>
      <c r="D621" s="80">
        <f t="shared" si="189"/>
        <v>422</v>
      </c>
      <c r="E621" s="81">
        <f t="shared" si="194"/>
        <v>44971</v>
      </c>
      <c r="F621" s="80">
        <f t="shared" si="191"/>
        <v>-0.50295857988165693</v>
      </c>
      <c r="G621" s="119">
        <f t="shared" si="185"/>
        <v>0.35154336652290841</v>
      </c>
      <c r="H621" s="125">
        <f t="shared" si="192"/>
        <v>44971</v>
      </c>
      <c r="I621" s="82">
        <f t="shared" si="180"/>
        <v>0.88125025016637837</v>
      </c>
      <c r="J621" s="126">
        <f t="shared" si="186"/>
        <v>8036847.4105984066</v>
      </c>
      <c r="K621" s="139">
        <f t="shared" si="181"/>
        <v>0</v>
      </c>
      <c r="L621" s="83">
        <f t="shared" si="179"/>
        <v>8036847.4105984066</v>
      </c>
      <c r="M621" s="80">
        <f t="shared" si="187"/>
        <v>422</v>
      </c>
      <c r="N621" s="157">
        <f t="shared" si="195"/>
        <v>0</v>
      </c>
      <c r="O621" s="140">
        <f t="shared" si="182"/>
        <v>0</v>
      </c>
      <c r="P621" s="149">
        <v>0</v>
      </c>
      <c r="Q621" s="163">
        <f t="shared" si="188"/>
        <v>422</v>
      </c>
      <c r="R621" s="150">
        <f t="shared" si="183"/>
        <v>0</v>
      </c>
      <c r="S621" s="164">
        <f t="shared" si="176"/>
        <v>9119824.2599999998</v>
      </c>
    </row>
    <row r="622" spans="1:19" x14ac:dyDescent="0.25">
      <c r="A622" s="80" t="str">
        <f t="shared" si="193"/>
        <v>Wed</v>
      </c>
      <c r="B622" s="147">
        <f>IF(SUMIFS(CashFlow!$C$16:$C$40,CashFlow!$D$16:$D$40,CashFlowCalcs!$E622)&gt;0,SUMIFS(CashFlow!$C$16:$C$40,CashFlow!$D$16:$D$40,CashFlowCalcs!$E622),B621)</f>
        <v>20</v>
      </c>
      <c r="C622" s="147" t="str">
        <f t="shared" si="184"/>
        <v>N</v>
      </c>
      <c r="D622" s="80">
        <f t="shared" si="189"/>
        <v>423</v>
      </c>
      <c r="E622" s="81">
        <f t="shared" si="194"/>
        <v>44972</v>
      </c>
      <c r="F622" s="80">
        <f t="shared" si="191"/>
        <v>-0.49704142011834307</v>
      </c>
      <c r="G622" s="119">
        <f t="shared" si="185"/>
        <v>0.35258497573688163</v>
      </c>
      <c r="H622" s="125">
        <f t="shared" si="192"/>
        <v>44972</v>
      </c>
      <c r="I622" s="82">
        <f t="shared" si="180"/>
        <v>0.88386136011127248</v>
      </c>
      <c r="J622" s="126">
        <f t="shared" si="186"/>
        <v>8060660.2744193785</v>
      </c>
      <c r="K622" s="139">
        <f t="shared" si="181"/>
        <v>0</v>
      </c>
      <c r="L622" s="83">
        <f t="shared" si="179"/>
        <v>8060660.2744193785</v>
      </c>
      <c r="M622" s="80">
        <f t="shared" si="187"/>
        <v>423</v>
      </c>
      <c r="N622" s="157">
        <f t="shared" si="195"/>
        <v>0</v>
      </c>
      <c r="O622" s="140">
        <f t="shared" si="182"/>
        <v>0</v>
      </c>
      <c r="P622" s="149">
        <v>0</v>
      </c>
      <c r="Q622" s="163">
        <f t="shared" si="188"/>
        <v>423</v>
      </c>
      <c r="R622" s="150">
        <f t="shared" si="183"/>
        <v>0</v>
      </c>
      <c r="S622" s="164">
        <f t="shared" si="176"/>
        <v>9119824.2599999998</v>
      </c>
    </row>
    <row r="623" spans="1:19" x14ac:dyDescent="0.25">
      <c r="A623" s="80" t="str">
        <f t="shared" si="193"/>
        <v>Thu</v>
      </c>
      <c r="B623" s="147">
        <f>IF(SUMIFS(CashFlow!$C$16:$C$40,CashFlow!$D$16:$D$40,CashFlowCalcs!$E623)&gt;0,SUMIFS(CashFlow!$C$16:$C$40,CashFlow!$D$16:$D$40,CashFlowCalcs!$E623),B622)</f>
        <v>20</v>
      </c>
      <c r="C623" s="147" t="str">
        <f t="shared" si="184"/>
        <v>N</v>
      </c>
      <c r="D623" s="80">
        <f t="shared" si="189"/>
        <v>424</v>
      </c>
      <c r="E623" s="81">
        <f t="shared" si="194"/>
        <v>44973</v>
      </c>
      <c r="F623" s="80">
        <f t="shared" si="191"/>
        <v>-0.49112426035502921</v>
      </c>
      <c r="G623" s="119">
        <f t="shared" si="185"/>
        <v>0.35361728985711649</v>
      </c>
      <c r="H623" s="125">
        <f t="shared" si="192"/>
        <v>44973</v>
      </c>
      <c r="I623" s="82">
        <f t="shared" si="180"/>
        <v>0.88644916907977978</v>
      </c>
      <c r="J623" s="126">
        <f t="shared" si="186"/>
        <v>8084260.6374306176</v>
      </c>
      <c r="K623" s="139">
        <f t="shared" si="181"/>
        <v>0</v>
      </c>
      <c r="L623" s="83">
        <f t="shared" si="179"/>
        <v>8084260.6374306176</v>
      </c>
      <c r="M623" s="80">
        <f t="shared" si="187"/>
        <v>424</v>
      </c>
      <c r="N623" s="157">
        <f t="shared" si="195"/>
        <v>0</v>
      </c>
      <c r="O623" s="140">
        <f t="shared" si="182"/>
        <v>0</v>
      </c>
      <c r="P623" s="149">
        <v>0</v>
      </c>
      <c r="Q623" s="163">
        <f t="shared" si="188"/>
        <v>424</v>
      </c>
      <c r="R623" s="150">
        <f t="shared" si="183"/>
        <v>0</v>
      </c>
      <c r="S623" s="164">
        <f t="shared" si="176"/>
        <v>9119824.2599999998</v>
      </c>
    </row>
    <row r="624" spans="1:19" x14ac:dyDescent="0.25">
      <c r="A624" s="80" t="str">
        <f t="shared" si="193"/>
        <v>Fri</v>
      </c>
      <c r="B624" s="147">
        <f>IF(SUMIFS(CashFlow!$C$16:$C$40,CashFlow!$D$16:$D$40,CashFlowCalcs!$E624)&gt;0,SUMIFS(CashFlow!$C$16:$C$40,CashFlow!$D$16:$D$40,CashFlowCalcs!$E624),B623)</f>
        <v>20</v>
      </c>
      <c r="C624" s="147" t="str">
        <f t="shared" si="184"/>
        <v>N</v>
      </c>
      <c r="D624" s="80">
        <f t="shared" si="189"/>
        <v>425</v>
      </c>
      <c r="E624" s="81">
        <f t="shared" si="194"/>
        <v>44974</v>
      </c>
      <c r="F624" s="80">
        <f t="shared" si="191"/>
        <v>-0.48520710059171623</v>
      </c>
      <c r="G624" s="119">
        <f t="shared" si="185"/>
        <v>0.35464020927608925</v>
      </c>
      <c r="H624" s="125">
        <f t="shared" si="192"/>
        <v>44974</v>
      </c>
      <c r="I624" s="82">
        <f t="shared" si="180"/>
        <v>0.88901342737538058</v>
      </c>
      <c r="J624" s="126">
        <f t="shared" si="186"/>
        <v>8107646.2224437436</v>
      </c>
      <c r="K624" s="139">
        <f t="shared" si="181"/>
        <v>0</v>
      </c>
      <c r="L624" s="83">
        <f t="shared" si="179"/>
        <v>8107646.2224437436</v>
      </c>
      <c r="M624" s="80">
        <f t="shared" si="187"/>
        <v>425</v>
      </c>
      <c r="N624" s="157">
        <f t="shared" si="195"/>
        <v>0</v>
      </c>
      <c r="O624" s="140">
        <f t="shared" si="182"/>
        <v>0</v>
      </c>
      <c r="P624" s="149">
        <v>0</v>
      </c>
      <c r="Q624" s="163">
        <f t="shared" si="188"/>
        <v>425</v>
      </c>
      <c r="R624" s="150">
        <f t="shared" si="183"/>
        <v>0</v>
      </c>
      <c r="S624" s="164">
        <f t="shared" si="176"/>
        <v>9119824.2599999998</v>
      </c>
    </row>
    <row r="625" spans="1:19" x14ac:dyDescent="0.25">
      <c r="A625" s="80" t="str">
        <f t="shared" si="193"/>
        <v>Sat</v>
      </c>
      <c r="B625" s="147">
        <f>IF(SUMIFS(CashFlow!$C$16:$C$40,CashFlow!$D$16:$D$40,CashFlowCalcs!$E625)&gt;0,SUMIFS(CashFlow!$C$16:$C$40,CashFlow!$D$16:$D$40,CashFlowCalcs!$E625),B624)</f>
        <v>20</v>
      </c>
      <c r="C625" s="147" t="str">
        <f t="shared" si="184"/>
        <v>Y</v>
      </c>
      <c r="D625" s="80">
        <f t="shared" si="189"/>
        <v>425</v>
      </c>
      <c r="E625" s="81">
        <f t="shared" si="194"/>
        <v>44975</v>
      </c>
      <c r="F625" s="80">
        <f t="shared" si="191"/>
        <v>-0.48520710059171623</v>
      </c>
      <c r="G625" s="119">
        <f t="shared" si="185"/>
        <v>0.35464020927608925</v>
      </c>
      <c r="H625" s="125">
        <f t="shared" si="192"/>
        <v>44975</v>
      </c>
      <c r="I625" s="82">
        <f t="shared" si="180"/>
        <v>0.88901342737538058</v>
      </c>
      <c r="J625" s="126">
        <f t="shared" si="186"/>
        <v>8107646.2224437436</v>
      </c>
      <c r="K625" s="139">
        <f t="shared" si="181"/>
        <v>0</v>
      </c>
      <c r="L625" s="83">
        <f t="shared" si="179"/>
        <v>8107646.2224437436</v>
      </c>
      <c r="M625" s="80">
        <f t="shared" si="187"/>
        <v>425</v>
      </c>
      <c r="N625" s="157">
        <f t="shared" si="195"/>
        <v>0</v>
      </c>
      <c r="O625" s="140">
        <f t="shared" si="182"/>
        <v>0</v>
      </c>
      <c r="P625" s="149">
        <v>0</v>
      </c>
      <c r="Q625" s="163">
        <f t="shared" si="188"/>
        <v>425</v>
      </c>
      <c r="R625" s="150">
        <f t="shared" si="183"/>
        <v>0</v>
      </c>
      <c r="S625" s="164">
        <f t="shared" si="176"/>
        <v>9119824.2599999998</v>
      </c>
    </row>
    <row r="626" spans="1:19" x14ac:dyDescent="0.25">
      <c r="A626" s="80" t="str">
        <f t="shared" si="193"/>
        <v>Sun</v>
      </c>
      <c r="B626" s="147">
        <f>IF(SUMIFS(CashFlow!$C$16:$C$40,CashFlow!$D$16:$D$40,CashFlowCalcs!$E626)&gt;0,SUMIFS(CashFlow!$C$16:$C$40,CashFlow!$D$16:$D$40,CashFlowCalcs!$E626),B625)</f>
        <v>20</v>
      </c>
      <c r="C626" s="147" t="str">
        <f t="shared" si="184"/>
        <v>Y</v>
      </c>
      <c r="D626" s="80">
        <f t="shared" si="189"/>
        <v>425</v>
      </c>
      <c r="E626" s="81">
        <f t="shared" si="194"/>
        <v>44976</v>
      </c>
      <c r="F626" s="80">
        <f t="shared" si="191"/>
        <v>-0.48520710059171623</v>
      </c>
      <c r="G626" s="119">
        <f t="shared" si="185"/>
        <v>0.35464020927608925</v>
      </c>
      <c r="H626" s="125">
        <f t="shared" si="192"/>
        <v>44976</v>
      </c>
      <c r="I626" s="82">
        <f t="shared" si="180"/>
        <v>0.88901342737538058</v>
      </c>
      <c r="J626" s="126">
        <f t="shared" si="186"/>
        <v>8107646.2224437436</v>
      </c>
      <c r="K626" s="139">
        <f t="shared" si="181"/>
        <v>0</v>
      </c>
      <c r="L626" s="83">
        <f t="shared" si="179"/>
        <v>8107646.2224437436</v>
      </c>
      <c r="M626" s="80">
        <f t="shared" si="187"/>
        <v>425</v>
      </c>
      <c r="N626" s="157">
        <f t="shared" si="195"/>
        <v>0</v>
      </c>
      <c r="O626" s="140">
        <f t="shared" si="182"/>
        <v>0</v>
      </c>
      <c r="P626" s="149">
        <v>0</v>
      </c>
      <c r="Q626" s="163">
        <f t="shared" si="188"/>
        <v>425</v>
      </c>
      <c r="R626" s="150">
        <f t="shared" si="183"/>
        <v>0</v>
      </c>
      <c r="S626" s="164">
        <f t="shared" si="176"/>
        <v>9119824.2599999998</v>
      </c>
    </row>
    <row r="627" spans="1:19" x14ac:dyDescent="0.25">
      <c r="A627" s="80" t="str">
        <f t="shared" si="193"/>
        <v>Mon</v>
      </c>
      <c r="B627" s="147">
        <f>IF(SUMIFS(CashFlow!$C$16:$C$40,CashFlow!$D$16:$D$40,CashFlowCalcs!$E627)&gt;0,SUMIFS(CashFlow!$C$16:$C$40,CashFlow!$D$16:$D$40,CashFlowCalcs!$E627),B626)</f>
        <v>20</v>
      </c>
      <c r="C627" s="147" t="str">
        <f t="shared" si="184"/>
        <v>N</v>
      </c>
      <c r="D627" s="80">
        <f t="shared" si="189"/>
        <v>426</v>
      </c>
      <c r="E627" s="81">
        <f t="shared" si="194"/>
        <v>44977</v>
      </c>
      <c r="F627" s="80">
        <f t="shared" si="191"/>
        <v>-0.47928994082840237</v>
      </c>
      <c r="G627" s="119">
        <f t="shared" si="185"/>
        <v>0.35565363508461151</v>
      </c>
      <c r="H627" s="125">
        <f t="shared" si="192"/>
        <v>44977</v>
      </c>
      <c r="I627" s="82">
        <f t="shared" si="180"/>
        <v>0.89155388705214456</v>
      </c>
      <c r="J627" s="126">
        <f t="shared" si="186"/>
        <v>8130814.7682354478</v>
      </c>
      <c r="K627" s="139">
        <f t="shared" si="181"/>
        <v>0</v>
      </c>
      <c r="L627" s="83">
        <f t="shared" si="179"/>
        <v>8130814.7682354478</v>
      </c>
      <c r="M627" s="80">
        <f t="shared" si="187"/>
        <v>426</v>
      </c>
      <c r="N627" s="157">
        <f t="shared" si="195"/>
        <v>0</v>
      </c>
      <c r="O627" s="140">
        <f t="shared" si="182"/>
        <v>0</v>
      </c>
      <c r="P627" s="149">
        <v>0</v>
      </c>
      <c r="Q627" s="163">
        <f t="shared" si="188"/>
        <v>426</v>
      </c>
      <c r="R627" s="150">
        <f t="shared" si="183"/>
        <v>0</v>
      </c>
      <c r="S627" s="164">
        <f t="shared" ref="S627:S690" si="196">(1-(IF(AND(R627=1,D626&lt;$I$2),(1-I626)/(1-VLOOKUP($K$6,$D$17:$I$750,6)),0)))*$M$8</f>
        <v>9119824.2599999998</v>
      </c>
    </row>
    <row r="628" spans="1:19" x14ac:dyDescent="0.25">
      <c r="A628" s="80" t="str">
        <f t="shared" si="193"/>
        <v>Tues</v>
      </c>
      <c r="B628" s="147">
        <f>IF(SUMIFS(CashFlow!$C$16:$C$40,CashFlow!$D$16:$D$40,CashFlowCalcs!$E628)&gt;0,SUMIFS(CashFlow!$C$16:$C$40,CashFlow!$D$16:$D$40,CashFlowCalcs!$E628),B627)</f>
        <v>20</v>
      </c>
      <c r="C628" s="147" t="str">
        <f t="shared" si="184"/>
        <v>N</v>
      </c>
      <c r="D628" s="80">
        <f t="shared" si="189"/>
        <v>427</v>
      </c>
      <c r="E628" s="81">
        <f t="shared" ref="E628:E643" si="197">E627+1</f>
        <v>44978</v>
      </c>
      <c r="F628" s="80">
        <f t="shared" si="191"/>
        <v>-0.47337278106508895</v>
      </c>
      <c r="G628" s="119">
        <f t="shared" si="185"/>
        <v>0.35665746908772117</v>
      </c>
      <c r="H628" s="125">
        <f t="shared" si="192"/>
        <v>44978</v>
      </c>
      <c r="I628" s="82">
        <f t="shared" si="180"/>
        <v>0.89407030195456672</v>
      </c>
      <c r="J628" s="126">
        <f t="shared" si="186"/>
        <v>8153764.0299107824</v>
      </c>
      <c r="K628" s="139">
        <f t="shared" si="181"/>
        <v>0</v>
      </c>
      <c r="L628" s="83">
        <f t="shared" si="179"/>
        <v>8153764.0299107824</v>
      </c>
      <c r="M628" s="80">
        <f t="shared" si="187"/>
        <v>427</v>
      </c>
      <c r="N628" s="157">
        <f t="shared" si="195"/>
        <v>0</v>
      </c>
      <c r="O628" s="140">
        <f t="shared" si="182"/>
        <v>0</v>
      </c>
      <c r="P628" s="149">
        <v>0</v>
      </c>
      <c r="Q628" s="163">
        <f t="shared" si="188"/>
        <v>427</v>
      </c>
      <c r="R628" s="150">
        <f t="shared" si="183"/>
        <v>0</v>
      </c>
      <c r="S628" s="164">
        <f t="shared" si="196"/>
        <v>9119824.2599999998</v>
      </c>
    </row>
    <row r="629" spans="1:19" x14ac:dyDescent="0.25">
      <c r="A629" s="80" t="str">
        <f t="shared" si="193"/>
        <v>Wed</v>
      </c>
      <c r="B629" s="147">
        <f>IF(SUMIFS(CashFlow!$C$16:$C$40,CashFlow!$D$16:$D$40,CashFlowCalcs!$E629)&gt;0,SUMIFS(CashFlow!$C$16:$C$40,CashFlow!$D$16:$D$40,CashFlowCalcs!$E629),B628)</f>
        <v>20</v>
      </c>
      <c r="C629" s="147" t="str">
        <f t="shared" si="184"/>
        <v>N</v>
      </c>
      <c r="D629" s="80">
        <f t="shared" si="189"/>
        <v>428</v>
      </c>
      <c r="E629" s="81">
        <f t="shared" si="197"/>
        <v>44979</v>
      </c>
      <c r="F629" s="80">
        <f t="shared" si="191"/>
        <v>-0.46745562130177509</v>
      </c>
      <c r="G629" s="119">
        <f t="shared" si="185"/>
        <v>0.35765161382049621</v>
      </c>
      <c r="H629" s="125">
        <f t="shared" si="192"/>
        <v>44979</v>
      </c>
      <c r="I629" s="82">
        <f t="shared" si="180"/>
        <v>0.8965624277572094</v>
      </c>
      <c r="J629" s="126">
        <f t="shared" si="186"/>
        <v>8176491.7792646959</v>
      </c>
      <c r="K629" s="139">
        <f t="shared" si="181"/>
        <v>0</v>
      </c>
      <c r="L629" s="83">
        <f t="shared" si="179"/>
        <v>8176491.7792646959</v>
      </c>
      <c r="M629" s="80">
        <f t="shared" si="187"/>
        <v>428</v>
      </c>
      <c r="N629" s="157">
        <f t="shared" si="195"/>
        <v>0</v>
      </c>
      <c r="O629" s="140">
        <f t="shared" si="182"/>
        <v>0</v>
      </c>
      <c r="P629" s="149">
        <v>0</v>
      </c>
      <c r="Q629" s="163">
        <f t="shared" si="188"/>
        <v>428</v>
      </c>
      <c r="R629" s="150">
        <f t="shared" si="183"/>
        <v>0</v>
      </c>
      <c r="S629" s="164">
        <f t="shared" si="196"/>
        <v>9119824.2599999998</v>
      </c>
    </row>
    <row r="630" spans="1:19" x14ac:dyDescent="0.25">
      <c r="A630" s="80" t="str">
        <f t="shared" si="193"/>
        <v>Thu</v>
      </c>
      <c r="B630" s="147">
        <f>IF(SUMIFS(CashFlow!$C$16:$C$40,CashFlow!$D$16:$D$40,CashFlowCalcs!$E630)&gt;0,SUMIFS(CashFlow!$C$16:$C$40,CashFlow!$D$16:$D$40,CashFlowCalcs!$E630),B629)</f>
        <v>20</v>
      </c>
      <c r="C630" s="147" t="str">
        <f t="shared" si="184"/>
        <v>N</v>
      </c>
      <c r="D630" s="80">
        <f t="shared" si="189"/>
        <v>429</v>
      </c>
      <c r="E630" s="81">
        <f t="shared" si="197"/>
        <v>44980</v>
      </c>
      <c r="F630" s="80">
        <f t="shared" si="191"/>
        <v>-0.46153846153846168</v>
      </c>
      <c r="G630" s="119">
        <f t="shared" si="185"/>
        <v>0.35863597256378316</v>
      </c>
      <c r="H630" s="125">
        <f t="shared" si="192"/>
        <v>44980</v>
      </c>
      <c r="I630" s="82">
        <f t="shared" si="180"/>
        <v>0.89903002200413007</v>
      </c>
      <c r="J630" s="126">
        <f t="shared" si="186"/>
        <v>8198995.8051415989</v>
      </c>
      <c r="K630" s="139">
        <f t="shared" si="181"/>
        <v>0</v>
      </c>
      <c r="L630" s="83">
        <f t="shared" si="179"/>
        <v>8198995.8051415989</v>
      </c>
      <c r="M630" s="80">
        <f t="shared" si="187"/>
        <v>429</v>
      </c>
      <c r="N630" s="157">
        <f t="shared" si="195"/>
        <v>0</v>
      </c>
      <c r="O630" s="140">
        <f t="shared" si="182"/>
        <v>0</v>
      </c>
      <c r="P630" s="149">
        <v>0</v>
      </c>
      <c r="Q630" s="163">
        <f t="shared" si="188"/>
        <v>429</v>
      </c>
      <c r="R630" s="150">
        <f t="shared" si="183"/>
        <v>0</v>
      </c>
      <c r="S630" s="164">
        <f t="shared" si="196"/>
        <v>9119824.2599999998</v>
      </c>
    </row>
    <row r="631" spans="1:19" x14ac:dyDescent="0.25">
      <c r="A631" s="80" t="str">
        <f t="shared" si="193"/>
        <v>Fri</v>
      </c>
      <c r="B631" s="147">
        <f>IF(SUMIFS(CashFlow!$C$16:$C$40,CashFlow!$D$16:$D$40,CashFlowCalcs!$E631)&gt;0,SUMIFS(CashFlow!$C$16:$C$40,CashFlow!$D$16:$D$40,CashFlowCalcs!$E631),B630)</f>
        <v>20</v>
      </c>
      <c r="C631" s="147" t="str">
        <f t="shared" si="184"/>
        <v>N</v>
      </c>
      <c r="D631" s="80">
        <f t="shared" si="189"/>
        <v>430</v>
      </c>
      <c r="E631" s="81">
        <f t="shared" si="197"/>
        <v>44981</v>
      </c>
      <c r="F631" s="80">
        <f t="shared" si="191"/>
        <v>-0.45562130177514781</v>
      </c>
      <c r="G631" s="119">
        <f t="shared" si="185"/>
        <v>0.35961044935984082</v>
      </c>
      <c r="H631" s="125">
        <f t="shared" si="192"/>
        <v>44981</v>
      </c>
      <c r="I631" s="82">
        <f t="shared" si="180"/>
        <v>0.90147284414809792</v>
      </c>
      <c r="J631" s="126">
        <f t="shared" si="186"/>
        <v>8221273.9137930218</v>
      </c>
      <c r="K631" s="139">
        <f t="shared" si="181"/>
        <v>0</v>
      </c>
      <c r="L631" s="83">
        <f t="shared" si="179"/>
        <v>8221273.9137930218</v>
      </c>
      <c r="M631" s="80">
        <f t="shared" si="187"/>
        <v>430</v>
      </c>
      <c r="N631" s="157">
        <f t="shared" si="195"/>
        <v>0</v>
      </c>
      <c r="O631" s="140">
        <f t="shared" si="182"/>
        <v>0</v>
      </c>
      <c r="P631" s="149">
        <v>0</v>
      </c>
      <c r="Q631" s="163">
        <f t="shared" si="188"/>
        <v>430</v>
      </c>
      <c r="R631" s="150">
        <f t="shared" si="183"/>
        <v>0</v>
      </c>
      <c r="S631" s="164">
        <f t="shared" si="196"/>
        <v>9119824.2599999998</v>
      </c>
    </row>
    <row r="632" spans="1:19" x14ac:dyDescent="0.25">
      <c r="A632" s="80" t="str">
        <f t="shared" si="193"/>
        <v>Sat</v>
      </c>
      <c r="B632" s="147">
        <f>IF(SUMIFS(CashFlow!$C$16:$C$40,CashFlow!$D$16:$D$40,CashFlowCalcs!$E632)&gt;0,SUMIFS(CashFlow!$C$16:$C$40,CashFlow!$D$16:$D$40,CashFlowCalcs!$E632),B631)</f>
        <v>20</v>
      </c>
      <c r="C632" s="147" t="str">
        <f t="shared" si="184"/>
        <v>Y</v>
      </c>
      <c r="D632" s="80">
        <f t="shared" si="189"/>
        <v>430</v>
      </c>
      <c r="E632" s="81">
        <f t="shared" si="197"/>
        <v>44982</v>
      </c>
      <c r="F632" s="80">
        <f t="shared" si="191"/>
        <v>-0.45562130177514781</v>
      </c>
      <c r="G632" s="119">
        <f t="shared" si="185"/>
        <v>0.35961044935984082</v>
      </c>
      <c r="H632" s="125">
        <f t="shared" si="192"/>
        <v>44982</v>
      </c>
      <c r="I632" s="82">
        <f t="shared" si="180"/>
        <v>0.90147284414809792</v>
      </c>
      <c r="J632" s="126">
        <f t="shared" si="186"/>
        <v>8221273.9137930218</v>
      </c>
      <c r="K632" s="139">
        <f t="shared" si="181"/>
        <v>0</v>
      </c>
      <c r="L632" s="83">
        <f t="shared" si="179"/>
        <v>8221273.9137930218</v>
      </c>
      <c r="M632" s="80">
        <f t="shared" si="187"/>
        <v>430</v>
      </c>
      <c r="N632" s="157">
        <f t="shared" si="195"/>
        <v>0</v>
      </c>
      <c r="O632" s="140">
        <f t="shared" si="182"/>
        <v>0</v>
      </c>
      <c r="P632" s="149">
        <v>0</v>
      </c>
      <c r="Q632" s="163">
        <f t="shared" si="188"/>
        <v>430</v>
      </c>
      <c r="R632" s="150">
        <f t="shared" si="183"/>
        <v>0</v>
      </c>
      <c r="S632" s="164">
        <f t="shared" si="196"/>
        <v>9119824.2599999998</v>
      </c>
    </row>
    <row r="633" spans="1:19" x14ac:dyDescent="0.25">
      <c r="A633" s="80" t="str">
        <f t="shared" si="193"/>
        <v>Sun</v>
      </c>
      <c r="B633" s="147">
        <f>IF(SUMIFS(CashFlow!$C$16:$C$40,CashFlow!$D$16:$D$40,CashFlowCalcs!$E633)&gt;0,SUMIFS(CashFlow!$C$16:$C$40,CashFlow!$D$16:$D$40,CashFlowCalcs!$E633),B632)</f>
        <v>20</v>
      </c>
      <c r="C633" s="147" t="str">
        <f t="shared" si="184"/>
        <v>Y</v>
      </c>
      <c r="D633" s="80">
        <f t="shared" si="189"/>
        <v>430</v>
      </c>
      <c r="E633" s="81">
        <f t="shared" si="197"/>
        <v>44983</v>
      </c>
      <c r="F633" s="80">
        <f t="shared" si="191"/>
        <v>-0.45562130177514781</v>
      </c>
      <c r="G633" s="119">
        <f t="shared" si="185"/>
        <v>0.35961044935984082</v>
      </c>
      <c r="H633" s="125">
        <f t="shared" si="192"/>
        <v>44983</v>
      </c>
      <c r="I633" s="82">
        <f t="shared" si="180"/>
        <v>0.90147284414809792</v>
      </c>
      <c r="J633" s="126">
        <f t="shared" si="186"/>
        <v>8221273.9137930218</v>
      </c>
      <c r="K633" s="139">
        <f t="shared" si="181"/>
        <v>0</v>
      </c>
      <c r="L633" s="83">
        <f t="shared" si="179"/>
        <v>8221273.9137930218</v>
      </c>
      <c r="M633" s="80">
        <f t="shared" si="187"/>
        <v>430</v>
      </c>
      <c r="N633" s="157">
        <f t="shared" si="195"/>
        <v>0</v>
      </c>
      <c r="O633" s="140">
        <f t="shared" si="182"/>
        <v>0</v>
      </c>
      <c r="P633" s="149">
        <v>0</v>
      </c>
      <c r="Q633" s="163">
        <f t="shared" si="188"/>
        <v>430</v>
      </c>
      <c r="R633" s="150">
        <f t="shared" si="183"/>
        <v>0</v>
      </c>
      <c r="S633" s="164">
        <f t="shared" si="196"/>
        <v>9119824.2599999998</v>
      </c>
    </row>
    <row r="634" spans="1:19" x14ac:dyDescent="0.25">
      <c r="A634" s="80" t="str">
        <f t="shared" si="193"/>
        <v>Mon</v>
      </c>
      <c r="B634" s="147">
        <f>IF(SUMIFS(CashFlow!$C$16:$C$40,CashFlow!$D$16:$D$40,CashFlowCalcs!$E634)&gt;0,SUMIFS(CashFlow!$C$16:$C$40,CashFlow!$D$16:$D$40,CashFlowCalcs!$E634),B633)</f>
        <v>20</v>
      </c>
      <c r="C634" s="147" t="str">
        <f t="shared" si="184"/>
        <v>N</v>
      </c>
      <c r="D634" s="80">
        <f t="shared" si="189"/>
        <v>431</v>
      </c>
      <c r="E634" s="81">
        <f t="shared" si="197"/>
        <v>44984</v>
      </c>
      <c r="F634" s="80">
        <f t="shared" si="191"/>
        <v>-0.4497041420118344</v>
      </c>
      <c r="G634" s="119">
        <f t="shared" si="185"/>
        <v>0.36057494902789217</v>
      </c>
      <c r="H634" s="125">
        <f t="shared" si="192"/>
        <v>44984</v>
      </c>
      <c r="I634" s="82">
        <f t="shared" si="180"/>
        <v>0.90389065558957837</v>
      </c>
      <c r="J634" s="126">
        <f t="shared" si="186"/>
        <v>8243323.9292331412</v>
      </c>
      <c r="K634" s="139">
        <f t="shared" si="181"/>
        <v>0</v>
      </c>
      <c r="L634" s="83">
        <f t="shared" si="179"/>
        <v>8243323.9292331412</v>
      </c>
      <c r="M634" s="80">
        <f t="shared" si="187"/>
        <v>431</v>
      </c>
      <c r="N634" s="157">
        <f t="shared" si="195"/>
        <v>0</v>
      </c>
      <c r="O634" s="140">
        <f t="shared" si="182"/>
        <v>0</v>
      </c>
      <c r="P634" s="149">
        <v>0</v>
      </c>
      <c r="Q634" s="163">
        <f t="shared" si="188"/>
        <v>431</v>
      </c>
      <c r="R634" s="150">
        <f t="shared" si="183"/>
        <v>0</v>
      </c>
      <c r="S634" s="164">
        <f t="shared" si="196"/>
        <v>9119824.2599999998</v>
      </c>
    </row>
    <row r="635" spans="1:19" x14ac:dyDescent="0.25">
      <c r="A635" s="80" t="str">
        <f t="shared" si="193"/>
        <v>Tues</v>
      </c>
      <c r="B635" s="147">
        <f>IF(SUMIFS(CashFlow!$C$16:$C$40,CashFlow!$D$16:$D$40,CashFlowCalcs!$E635)&gt;0,SUMIFS(CashFlow!$C$16:$C$40,CashFlow!$D$16:$D$40,CashFlowCalcs!$E635),B634)</f>
        <v>20</v>
      </c>
      <c r="C635" s="147" t="str">
        <f t="shared" si="184"/>
        <v>N</v>
      </c>
      <c r="D635" s="80">
        <f t="shared" si="189"/>
        <v>432</v>
      </c>
      <c r="E635" s="81">
        <f t="shared" si="197"/>
        <v>44985</v>
      </c>
      <c r="F635" s="80">
        <f t="shared" si="191"/>
        <v>-0.44378698224852053</v>
      </c>
      <c r="G635" s="119">
        <f t="shared" si="185"/>
        <v>0.36152937717958428</v>
      </c>
      <c r="H635" s="125">
        <f t="shared" si="192"/>
        <v>44985</v>
      </c>
      <c r="I635" s="82">
        <f t="shared" si="180"/>
        <v>0.90628321971548886</v>
      </c>
      <c r="J635" s="126">
        <f t="shared" si="186"/>
        <v>8265143.6935922252</v>
      </c>
      <c r="K635" s="139">
        <f t="shared" si="181"/>
        <v>0</v>
      </c>
      <c r="L635" s="83">
        <f t="shared" si="179"/>
        <v>8265143.6935922252</v>
      </c>
      <c r="M635" s="80">
        <f t="shared" si="187"/>
        <v>432</v>
      </c>
      <c r="N635" s="157">
        <f t="shared" si="195"/>
        <v>0</v>
      </c>
      <c r="O635" s="140">
        <f t="shared" si="182"/>
        <v>0</v>
      </c>
      <c r="P635" s="149">
        <v>0</v>
      </c>
      <c r="Q635" s="163">
        <f t="shared" si="188"/>
        <v>432</v>
      </c>
      <c r="R635" s="150">
        <f t="shared" si="183"/>
        <v>0</v>
      </c>
      <c r="S635" s="164">
        <f t="shared" si="196"/>
        <v>9119824.2599999998</v>
      </c>
    </row>
    <row r="636" spans="1:19" x14ac:dyDescent="0.25">
      <c r="A636" s="80" t="str">
        <f t="shared" si="193"/>
        <v>Wed</v>
      </c>
      <c r="B636" s="147">
        <f>IF(SUMIFS(CashFlow!$C$16:$C$40,CashFlow!$D$16:$D$40,CashFlowCalcs!$E636)&gt;0,SUMIFS(CashFlow!$C$16:$C$40,CashFlow!$D$16:$D$40,CashFlowCalcs!$E636),B635)</f>
        <v>20</v>
      </c>
      <c r="C636" s="147" t="str">
        <f t="shared" si="184"/>
        <v>N</v>
      </c>
      <c r="D636" s="80">
        <f t="shared" si="189"/>
        <v>433</v>
      </c>
      <c r="E636" s="81">
        <f t="shared" si="197"/>
        <v>44986</v>
      </c>
      <c r="F636" s="80">
        <f t="shared" si="191"/>
        <v>-0.43786982248520712</v>
      </c>
      <c r="G636" s="119">
        <f t="shared" si="185"/>
        <v>0.36247364023434919</v>
      </c>
      <c r="H636" s="125">
        <f t="shared" si="192"/>
        <v>44986</v>
      </c>
      <c r="I636" s="82">
        <f t="shared" si="180"/>
        <v>0.90865030193770513</v>
      </c>
      <c r="J636" s="126">
        <f t="shared" si="186"/>
        <v>8286731.0674678078</v>
      </c>
      <c r="K636" s="139">
        <f t="shared" si="181"/>
        <v>0</v>
      </c>
      <c r="L636" s="83">
        <f t="shared" si="179"/>
        <v>8286731.0674678078</v>
      </c>
      <c r="M636" s="80">
        <f t="shared" si="187"/>
        <v>433</v>
      </c>
      <c r="N636" s="157">
        <f t="shared" si="195"/>
        <v>0</v>
      </c>
      <c r="O636" s="140">
        <f t="shared" si="182"/>
        <v>0</v>
      </c>
      <c r="P636" s="149">
        <v>0</v>
      </c>
      <c r="Q636" s="163">
        <f t="shared" si="188"/>
        <v>433</v>
      </c>
      <c r="R636" s="150">
        <f t="shared" si="183"/>
        <v>0</v>
      </c>
      <c r="S636" s="164">
        <f t="shared" si="196"/>
        <v>9119824.2599999998</v>
      </c>
    </row>
    <row r="637" spans="1:19" x14ac:dyDescent="0.25">
      <c r="A637" s="80" t="str">
        <f t="shared" si="193"/>
        <v>Thu</v>
      </c>
      <c r="B637" s="147">
        <f>IF(SUMIFS(CashFlow!$C$16:$C$40,CashFlow!$D$16:$D$40,CashFlowCalcs!$E637)&gt;0,SUMIFS(CashFlow!$C$16:$C$40,CashFlow!$D$16:$D$40,CashFlowCalcs!$E637),B636)</f>
        <v>20</v>
      </c>
      <c r="C637" s="147" t="str">
        <f t="shared" si="184"/>
        <v>N</v>
      </c>
      <c r="D637" s="80">
        <f t="shared" si="189"/>
        <v>434</v>
      </c>
      <c r="E637" s="81">
        <f t="shared" si="197"/>
        <v>44987</v>
      </c>
      <c r="F637" s="80">
        <f t="shared" si="191"/>
        <v>-0.43195266272189325</v>
      </c>
      <c r="G637" s="119">
        <f t="shared" si="185"/>
        <v>0.36340764543466625</v>
      </c>
      <c r="H637" s="125">
        <f t="shared" si="192"/>
        <v>44987</v>
      </c>
      <c r="I637" s="82">
        <f t="shared" si="180"/>
        <v>0.91099166973132117</v>
      </c>
      <c r="J637" s="126">
        <f t="shared" si="186"/>
        <v>8308083.9302736102</v>
      </c>
      <c r="K637" s="139">
        <f t="shared" si="181"/>
        <v>0</v>
      </c>
      <c r="L637" s="83">
        <f t="shared" si="179"/>
        <v>8308083.9302736102</v>
      </c>
      <c r="M637" s="80">
        <f t="shared" si="187"/>
        <v>434</v>
      </c>
      <c r="N637" s="157">
        <f t="shared" si="195"/>
        <v>0</v>
      </c>
      <c r="O637" s="140">
        <f t="shared" si="182"/>
        <v>0</v>
      </c>
      <c r="P637" s="149">
        <v>0</v>
      </c>
      <c r="Q637" s="163">
        <f t="shared" si="188"/>
        <v>434</v>
      </c>
      <c r="R637" s="150">
        <f t="shared" si="183"/>
        <v>0</v>
      </c>
      <c r="S637" s="164">
        <f t="shared" si="196"/>
        <v>9119824.2599999998</v>
      </c>
    </row>
    <row r="638" spans="1:19" x14ac:dyDescent="0.25">
      <c r="A638" s="80" t="str">
        <f t="shared" si="193"/>
        <v>Fri</v>
      </c>
      <c r="B638" s="147">
        <f>IF(SUMIFS(CashFlow!$C$16:$C$40,CashFlow!$D$16:$D$40,CashFlowCalcs!$E638)&gt;0,SUMIFS(CashFlow!$C$16:$C$40,CashFlow!$D$16:$D$40,CashFlowCalcs!$E638),B637)</f>
        <v>20</v>
      </c>
      <c r="C638" s="147" t="str">
        <f t="shared" si="184"/>
        <v>N</v>
      </c>
      <c r="D638" s="80">
        <f t="shared" si="189"/>
        <v>435</v>
      </c>
      <c r="E638" s="81">
        <f t="shared" si="197"/>
        <v>44988</v>
      </c>
      <c r="F638" s="80">
        <f t="shared" si="191"/>
        <v>-0.42603550295857984</v>
      </c>
      <c r="G638" s="119">
        <f t="shared" si="185"/>
        <v>0.36433130086121801</v>
      </c>
      <c r="H638" s="125">
        <f t="shared" si="192"/>
        <v>44988</v>
      </c>
      <c r="I638" s="82">
        <f t="shared" si="180"/>
        <v>0.91330709267264198</v>
      </c>
      <c r="J638" s="126">
        <f t="shared" si="186"/>
        <v>8329200.1805860288</v>
      </c>
      <c r="K638" s="139">
        <f t="shared" si="181"/>
        <v>0</v>
      </c>
      <c r="L638" s="83">
        <f t="shared" si="179"/>
        <v>8329200.1805860288</v>
      </c>
      <c r="M638" s="80">
        <f t="shared" si="187"/>
        <v>435</v>
      </c>
      <c r="N638" s="157">
        <f t="shared" si="195"/>
        <v>0</v>
      </c>
      <c r="O638" s="140">
        <f t="shared" si="182"/>
        <v>0</v>
      </c>
      <c r="P638" s="149">
        <v>0</v>
      </c>
      <c r="Q638" s="163">
        <f t="shared" si="188"/>
        <v>435</v>
      </c>
      <c r="R638" s="150">
        <f t="shared" si="183"/>
        <v>0</v>
      </c>
      <c r="S638" s="164">
        <f t="shared" si="196"/>
        <v>9119824.2599999998</v>
      </c>
    </row>
    <row r="639" spans="1:19" x14ac:dyDescent="0.25">
      <c r="A639" s="80" t="str">
        <f t="shared" si="193"/>
        <v>Sat</v>
      </c>
      <c r="B639" s="147">
        <f>IF(SUMIFS(CashFlow!$C$16:$C$40,CashFlow!$D$16:$D$40,CashFlowCalcs!$E639)&gt;0,SUMIFS(CashFlow!$C$16:$C$40,CashFlow!$D$16:$D$40,CashFlowCalcs!$E639),B638)</f>
        <v>20</v>
      </c>
      <c r="C639" s="147" t="str">
        <f t="shared" si="184"/>
        <v>Y</v>
      </c>
      <c r="D639" s="80">
        <f t="shared" si="189"/>
        <v>435</v>
      </c>
      <c r="E639" s="81">
        <f t="shared" si="197"/>
        <v>44989</v>
      </c>
      <c r="F639" s="80">
        <f t="shared" si="191"/>
        <v>-0.42603550295857984</v>
      </c>
      <c r="G639" s="119">
        <f t="shared" si="185"/>
        <v>0.36433130086121801</v>
      </c>
      <c r="H639" s="125">
        <f t="shared" si="192"/>
        <v>44989</v>
      </c>
      <c r="I639" s="82">
        <f t="shared" si="180"/>
        <v>0.91330709267264198</v>
      </c>
      <c r="J639" s="126">
        <f t="shared" si="186"/>
        <v>8329200.1805860288</v>
      </c>
      <c r="K639" s="139">
        <f t="shared" si="181"/>
        <v>0</v>
      </c>
      <c r="L639" s="83">
        <f t="shared" si="179"/>
        <v>8329200.1805860288</v>
      </c>
      <c r="M639" s="80">
        <f t="shared" si="187"/>
        <v>435</v>
      </c>
      <c r="N639" s="157">
        <f t="shared" si="195"/>
        <v>0</v>
      </c>
      <c r="O639" s="140">
        <f t="shared" si="182"/>
        <v>0</v>
      </c>
      <c r="P639" s="149">
        <v>0</v>
      </c>
      <c r="Q639" s="163">
        <f t="shared" si="188"/>
        <v>435</v>
      </c>
      <c r="R639" s="150">
        <f t="shared" si="183"/>
        <v>0</v>
      </c>
      <c r="S639" s="164">
        <f t="shared" si="196"/>
        <v>9119824.2599999998</v>
      </c>
    </row>
    <row r="640" spans="1:19" x14ac:dyDescent="0.25">
      <c r="A640" s="80" t="str">
        <f t="shared" si="193"/>
        <v>Sun</v>
      </c>
      <c r="B640" s="147">
        <f>IF(SUMIFS(CashFlow!$C$16:$C$40,CashFlow!$D$16:$D$40,CashFlowCalcs!$E640)&gt;0,SUMIFS(CashFlow!$C$16:$C$40,CashFlow!$D$16:$D$40,CashFlowCalcs!$E640),B639)</f>
        <v>20</v>
      </c>
      <c r="C640" s="147" t="str">
        <f t="shared" si="184"/>
        <v>Y</v>
      </c>
      <c r="D640" s="80">
        <f t="shared" si="189"/>
        <v>435</v>
      </c>
      <c r="E640" s="81">
        <f t="shared" si="197"/>
        <v>44990</v>
      </c>
      <c r="F640" s="80">
        <f t="shared" si="191"/>
        <v>-0.42603550295857984</v>
      </c>
      <c r="G640" s="119">
        <f t="shared" si="185"/>
        <v>0.36433130086121801</v>
      </c>
      <c r="H640" s="125">
        <f t="shared" si="192"/>
        <v>44990</v>
      </c>
      <c r="I640" s="82">
        <f t="shared" si="180"/>
        <v>0.91330709267264198</v>
      </c>
      <c r="J640" s="126">
        <f t="shared" si="186"/>
        <v>8329200.1805860288</v>
      </c>
      <c r="K640" s="139">
        <f t="shared" si="181"/>
        <v>0</v>
      </c>
      <c r="L640" s="83">
        <f t="shared" si="179"/>
        <v>8329200.1805860288</v>
      </c>
      <c r="M640" s="80">
        <f t="shared" si="187"/>
        <v>435</v>
      </c>
      <c r="N640" s="157">
        <f t="shared" si="195"/>
        <v>0</v>
      </c>
      <c r="O640" s="140">
        <f t="shared" si="182"/>
        <v>0</v>
      </c>
      <c r="P640" s="149">
        <v>0</v>
      </c>
      <c r="Q640" s="163">
        <f t="shared" si="188"/>
        <v>435</v>
      </c>
      <c r="R640" s="150">
        <f t="shared" si="183"/>
        <v>0</v>
      </c>
      <c r="S640" s="164">
        <f t="shared" si="196"/>
        <v>9119824.2599999998</v>
      </c>
    </row>
    <row r="641" spans="1:19" x14ac:dyDescent="0.25">
      <c r="A641" s="80" t="str">
        <f t="shared" si="193"/>
        <v>Mon</v>
      </c>
      <c r="B641" s="147">
        <f>IF(SUMIFS(CashFlow!$C$16:$C$40,CashFlow!$D$16:$D$40,CashFlowCalcs!$E641)&gt;0,SUMIFS(CashFlow!$C$16:$C$40,CashFlow!$D$16:$D$40,CashFlowCalcs!$E641),B640)</f>
        <v>20</v>
      </c>
      <c r="C641" s="147" t="str">
        <f t="shared" si="184"/>
        <v>N</v>
      </c>
      <c r="D641" s="80">
        <f t="shared" si="189"/>
        <v>436</v>
      </c>
      <c r="E641" s="81">
        <f t="shared" si="197"/>
        <v>44991</v>
      </c>
      <c r="F641" s="80">
        <f t="shared" si="191"/>
        <v>-0.42011834319526642</v>
      </c>
      <c r="G641" s="119">
        <f t="shared" si="185"/>
        <v>0.36524451544794068</v>
      </c>
      <c r="H641" s="125">
        <f t="shared" si="192"/>
        <v>44991</v>
      </c>
      <c r="I641" s="82">
        <f t="shared" si="180"/>
        <v>0.9155963424769118</v>
      </c>
      <c r="J641" s="126">
        <f t="shared" si="186"/>
        <v>8350077.7364882082</v>
      </c>
      <c r="K641" s="139">
        <f t="shared" si="181"/>
        <v>0</v>
      </c>
      <c r="L641" s="83">
        <f t="shared" si="179"/>
        <v>8350077.7364882082</v>
      </c>
      <c r="M641" s="80">
        <f t="shared" si="187"/>
        <v>436</v>
      </c>
      <c r="N641" s="157">
        <f t="shared" si="195"/>
        <v>0</v>
      </c>
      <c r="O641" s="140">
        <f t="shared" si="182"/>
        <v>0</v>
      </c>
      <c r="P641" s="149">
        <v>0</v>
      </c>
      <c r="Q641" s="163">
        <f t="shared" si="188"/>
        <v>436</v>
      </c>
      <c r="R641" s="150">
        <f t="shared" si="183"/>
        <v>0</v>
      </c>
      <c r="S641" s="164">
        <f t="shared" si="196"/>
        <v>9119824.2599999998</v>
      </c>
    </row>
    <row r="642" spans="1:19" x14ac:dyDescent="0.25">
      <c r="A642" s="80" t="str">
        <f t="shared" si="193"/>
        <v>Tues</v>
      </c>
      <c r="B642" s="147">
        <f>IF(SUMIFS(CashFlow!$C$16:$C$40,CashFlow!$D$16:$D$40,CashFlowCalcs!$E642)&gt;0,SUMIFS(CashFlow!$C$16:$C$40,CashFlow!$D$16:$D$40,CashFlowCalcs!$E642),B641)</f>
        <v>20</v>
      </c>
      <c r="C642" s="147" t="str">
        <f t="shared" si="184"/>
        <v>N</v>
      </c>
      <c r="D642" s="80">
        <f t="shared" si="189"/>
        <v>437</v>
      </c>
      <c r="E642" s="81">
        <f t="shared" si="197"/>
        <v>44992</v>
      </c>
      <c r="F642" s="80">
        <f t="shared" si="191"/>
        <v>-0.41420118343195256</v>
      </c>
      <c r="G642" s="119">
        <f t="shared" si="185"/>
        <v>0.36614719899696196</v>
      </c>
      <c r="H642" s="125">
        <f t="shared" si="192"/>
        <v>44992</v>
      </c>
      <c r="I642" s="82">
        <f t="shared" si="180"/>
        <v>0.91785919303576102</v>
      </c>
      <c r="J642" s="126">
        <f t="shared" si="186"/>
        <v>8370714.5359115563</v>
      </c>
      <c r="K642" s="139">
        <f t="shared" si="181"/>
        <v>0</v>
      </c>
      <c r="L642" s="83">
        <f t="shared" si="179"/>
        <v>8370714.5359115563</v>
      </c>
      <c r="M642" s="80">
        <f t="shared" si="187"/>
        <v>437</v>
      </c>
      <c r="N642" s="157">
        <f t="shared" si="195"/>
        <v>0</v>
      </c>
      <c r="O642" s="140">
        <f t="shared" si="182"/>
        <v>0</v>
      </c>
      <c r="P642" s="149">
        <v>0</v>
      </c>
      <c r="Q642" s="163">
        <f t="shared" si="188"/>
        <v>437</v>
      </c>
      <c r="R642" s="150">
        <f t="shared" si="183"/>
        <v>0</v>
      </c>
      <c r="S642" s="164">
        <f t="shared" si="196"/>
        <v>9119824.2599999998</v>
      </c>
    </row>
    <row r="643" spans="1:19" x14ac:dyDescent="0.25">
      <c r="A643" s="80" t="str">
        <f t="shared" si="193"/>
        <v>Wed</v>
      </c>
      <c r="B643" s="147">
        <f>IF(SUMIFS(CashFlow!$C$16:$C$40,CashFlow!$D$16:$D$40,CashFlowCalcs!$E643)&gt;0,SUMIFS(CashFlow!$C$16:$C$40,CashFlow!$D$16:$D$40,CashFlowCalcs!$E643),B642)</f>
        <v>20</v>
      </c>
      <c r="C643" s="147" t="str">
        <f t="shared" si="184"/>
        <v>N</v>
      </c>
      <c r="D643" s="80">
        <f t="shared" si="189"/>
        <v>438</v>
      </c>
      <c r="E643" s="81">
        <f t="shared" si="197"/>
        <v>44993</v>
      </c>
      <c r="F643" s="80">
        <f t="shared" si="191"/>
        <v>-0.40828402366863914</v>
      </c>
      <c r="G643" s="119">
        <f t="shared" si="185"/>
        <v>0.36703926219342525</v>
      </c>
      <c r="H643" s="125">
        <f t="shared" si="192"/>
        <v>44993</v>
      </c>
      <c r="I643" s="82">
        <f t="shared" si="180"/>
        <v>0.92009542045436676</v>
      </c>
      <c r="J643" s="126">
        <f t="shared" si="186"/>
        <v>8391108.5369746331</v>
      </c>
      <c r="K643" s="139">
        <f t="shared" si="181"/>
        <v>0</v>
      </c>
      <c r="L643" s="83">
        <f t="shared" si="179"/>
        <v>8391108.5369746331</v>
      </c>
      <c r="M643" s="80">
        <f t="shared" si="187"/>
        <v>438</v>
      </c>
      <c r="N643" s="157">
        <f t="shared" si="195"/>
        <v>0</v>
      </c>
      <c r="O643" s="140">
        <f t="shared" si="182"/>
        <v>0</v>
      </c>
      <c r="P643" s="149">
        <v>0</v>
      </c>
      <c r="Q643" s="163">
        <f t="shared" si="188"/>
        <v>438</v>
      </c>
      <c r="R643" s="150">
        <f t="shared" si="183"/>
        <v>0</v>
      </c>
      <c r="S643" s="164">
        <f t="shared" si="196"/>
        <v>9119824.2599999998</v>
      </c>
    </row>
    <row r="644" spans="1:19" x14ac:dyDescent="0.25">
      <c r="A644" s="80" t="str">
        <f t="shared" si="193"/>
        <v>Thu</v>
      </c>
      <c r="B644" s="147">
        <f>IF(SUMIFS(CashFlow!$C$16:$C$40,CashFlow!$D$16:$D$40,CashFlowCalcs!$E644)&gt;0,SUMIFS(CashFlow!$C$16:$C$40,CashFlow!$D$16:$D$40,CashFlowCalcs!$E644),B643)</f>
        <v>20</v>
      </c>
      <c r="C644" s="147" t="str">
        <f t="shared" si="184"/>
        <v>N</v>
      </c>
      <c r="D644" s="80">
        <f t="shared" si="189"/>
        <v>439</v>
      </c>
      <c r="E644" s="81">
        <f t="shared" ref="E644:E659" si="198">E643+1</f>
        <v>44994</v>
      </c>
      <c r="F644" s="80">
        <f t="shared" si="191"/>
        <v>-0.40236686390532572</v>
      </c>
      <c r="G644" s="119">
        <f t="shared" si="185"/>
        <v>0.36792061662019548</v>
      </c>
      <c r="H644" s="125">
        <f t="shared" si="192"/>
        <v>44994</v>
      </c>
      <c r="I644" s="82">
        <f t="shared" si="180"/>
        <v>0.92230480308831808</v>
      </c>
      <c r="J644" s="126">
        <f t="shared" si="186"/>
        <v>8411257.7183193658</v>
      </c>
      <c r="K644" s="139">
        <f t="shared" si="181"/>
        <v>0</v>
      </c>
      <c r="L644" s="83">
        <f t="shared" si="179"/>
        <v>8411257.7183193658</v>
      </c>
      <c r="M644" s="80">
        <f t="shared" si="187"/>
        <v>439</v>
      </c>
      <c r="N644" s="157">
        <f t="shared" si="195"/>
        <v>0</v>
      </c>
      <c r="O644" s="140">
        <f t="shared" si="182"/>
        <v>0</v>
      </c>
      <c r="P644" s="149">
        <v>0</v>
      </c>
      <c r="Q644" s="163">
        <f t="shared" si="188"/>
        <v>439</v>
      </c>
      <c r="R644" s="150">
        <f t="shared" si="183"/>
        <v>0</v>
      </c>
      <c r="S644" s="164">
        <f t="shared" si="196"/>
        <v>9119824.2599999998</v>
      </c>
    </row>
    <row r="645" spans="1:19" x14ac:dyDescent="0.25">
      <c r="A645" s="80" t="str">
        <f t="shared" si="193"/>
        <v>Fri</v>
      </c>
      <c r="B645" s="147">
        <f>IF(SUMIFS(CashFlow!$C$16:$C$40,CashFlow!$D$16:$D$40,CashFlowCalcs!$E645)&gt;0,SUMIFS(CashFlow!$C$16:$C$40,CashFlow!$D$16:$D$40,CashFlowCalcs!$E645),B644)</f>
        <v>20</v>
      </c>
      <c r="C645" s="147" t="str">
        <f t="shared" si="184"/>
        <v>N</v>
      </c>
      <c r="D645" s="80">
        <f t="shared" si="189"/>
        <v>440</v>
      </c>
      <c r="E645" s="81">
        <f t="shared" si="198"/>
        <v>44995</v>
      </c>
      <c r="F645" s="80">
        <f t="shared" si="191"/>
        <v>-0.39644970414201186</v>
      </c>
      <c r="G645" s="119">
        <f t="shared" si="185"/>
        <v>0.36879117477244427</v>
      </c>
      <c r="H645" s="125">
        <f t="shared" si="192"/>
        <v>44995</v>
      </c>
      <c r="I645" s="82">
        <f t="shared" si="180"/>
        <v>0.92448712158017798</v>
      </c>
      <c r="J645" s="126">
        <f t="shared" si="186"/>
        <v>8431160.0794444773</v>
      </c>
      <c r="K645" s="139">
        <f t="shared" si="181"/>
        <v>0</v>
      </c>
      <c r="L645" s="83">
        <f t="shared" si="179"/>
        <v>8431160.0794444773</v>
      </c>
      <c r="M645" s="80">
        <f t="shared" si="187"/>
        <v>440</v>
      </c>
      <c r="N645" s="157">
        <f t="shared" si="195"/>
        <v>0</v>
      </c>
      <c r="O645" s="140">
        <f t="shared" si="182"/>
        <v>0</v>
      </c>
      <c r="P645" s="149">
        <v>0</v>
      </c>
      <c r="Q645" s="163">
        <f t="shared" si="188"/>
        <v>440</v>
      </c>
      <c r="R645" s="150">
        <f t="shared" si="183"/>
        <v>0</v>
      </c>
      <c r="S645" s="164">
        <f t="shared" si="196"/>
        <v>9119824.2599999998</v>
      </c>
    </row>
    <row r="646" spans="1:19" x14ac:dyDescent="0.25">
      <c r="A646" s="80" t="str">
        <f t="shared" si="193"/>
        <v>Sat</v>
      </c>
      <c r="B646" s="147">
        <f>IF(SUMIFS(CashFlow!$C$16:$C$40,CashFlow!$D$16:$D$40,CashFlowCalcs!$E646)&gt;0,SUMIFS(CashFlow!$C$16:$C$40,CashFlow!$D$16:$D$40,CashFlowCalcs!$E646),B645)</f>
        <v>20</v>
      </c>
      <c r="C646" s="147" t="str">
        <f t="shared" si="184"/>
        <v>Y</v>
      </c>
      <c r="D646" s="80">
        <f t="shared" si="189"/>
        <v>440</v>
      </c>
      <c r="E646" s="81">
        <f t="shared" si="198"/>
        <v>44996</v>
      </c>
      <c r="F646" s="80">
        <f t="shared" si="191"/>
        <v>-0.39644970414201186</v>
      </c>
      <c r="G646" s="119">
        <f t="shared" si="185"/>
        <v>0.36879117477244427</v>
      </c>
      <c r="H646" s="125">
        <f t="shared" si="192"/>
        <v>44996</v>
      </c>
      <c r="I646" s="82">
        <f t="shared" si="180"/>
        <v>0.92448712158017798</v>
      </c>
      <c r="J646" s="126">
        <f t="shared" si="186"/>
        <v>8431160.0794444773</v>
      </c>
      <c r="K646" s="139">
        <f t="shared" si="181"/>
        <v>0</v>
      </c>
      <c r="L646" s="83">
        <f t="shared" si="179"/>
        <v>8431160.0794444773</v>
      </c>
      <c r="M646" s="80">
        <f t="shared" si="187"/>
        <v>440</v>
      </c>
      <c r="N646" s="157">
        <f t="shared" si="195"/>
        <v>0</v>
      </c>
      <c r="O646" s="140">
        <f t="shared" si="182"/>
        <v>0</v>
      </c>
      <c r="P646" s="149">
        <v>0</v>
      </c>
      <c r="Q646" s="163">
        <f t="shared" si="188"/>
        <v>440</v>
      </c>
      <c r="R646" s="150">
        <f t="shared" si="183"/>
        <v>0</v>
      </c>
      <c r="S646" s="164">
        <f t="shared" si="196"/>
        <v>9119824.2599999998</v>
      </c>
    </row>
    <row r="647" spans="1:19" x14ac:dyDescent="0.25">
      <c r="A647" s="80" t="str">
        <f t="shared" si="193"/>
        <v>Sun</v>
      </c>
      <c r="B647" s="147">
        <f>IF(SUMIFS(CashFlow!$C$16:$C$40,CashFlow!$D$16:$D$40,CashFlowCalcs!$E647)&gt;0,SUMIFS(CashFlow!$C$16:$C$40,CashFlow!$D$16:$D$40,CashFlowCalcs!$E647),B646)</f>
        <v>20</v>
      </c>
      <c r="C647" s="147" t="str">
        <f t="shared" si="184"/>
        <v>Y</v>
      </c>
      <c r="D647" s="80">
        <f t="shared" si="189"/>
        <v>440</v>
      </c>
      <c r="E647" s="81">
        <f t="shared" si="198"/>
        <v>44997</v>
      </c>
      <c r="F647" s="80">
        <f t="shared" si="191"/>
        <v>-0.39644970414201186</v>
      </c>
      <c r="G647" s="119">
        <f t="shared" si="185"/>
        <v>0.36879117477244427</v>
      </c>
      <c r="H647" s="125">
        <f t="shared" si="192"/>
        <v>44997</v>
      </c>
      <c r="I647" s="82">
        <f t="shared" si="180"/>
        <v>0.92448712158017798</v>
      </c>
      <c r="J647" s="126">
        <f t="shared" si="186"/>
        <v>8431160.0794444773</v>
      </c>
      <c r="K647" s="139">
        <f t="shared" si="181"/>
        <v>0</v>
      </c>
      <c r="L647" s="83">
        <f t="shared" si="179"/>
        <v>8431160.0794444773</v>
      </c>
      <c r="M647" s="80">
        <f t="shared" si="187"/>
        <v>440</v>
      </c>
      <c r="N647" s="157">
        <f t="shared" si="195"/>
        <v>0</v>
      </c>
      <c r="O647" s="140">
        <f t="shared" si="182"/>
        <v>0</v>
      </c>
      <c r="P647" s="149">
        <v>0</v>
      </c>
      <c r="Q647" s="163">
        <f t="shared" si="188"/>
        <v>440</v>
      </c>
      <c r="R647" s="150">
        <f t="shared" si="183"/>
        <v>0</v>
      </c>
      <c r="S647" s="164">
        <f t="shared" si="196"/>
        <v>9119824.2599999998</v>
      </c>
    </row>
    <row r="648" spans="1:19" x14ac:dyDescent="0.25">
      <c r="A648" s="80" t="str">
        <f t="shared" si="193"/>
        <v>Mon</v>
      </c>
      <c r="B648" s="147">
        <f>IF(SUMIFS(CashFlow!$C$16:$C$40,CashFlow!$D$16:$D$40,CashFlowCalcs!$E648)&gt;0,SUMIFS(CashFlow!$C$16:$C$40,CashFlow!$D$16:$D$40,CashFlowCalcs!$E648),B647)</f>
        <v>20</v>
      </c>
      <c r="C648" s="147" t="s">
        <v>39</v>
      </c>
      <c r="D648" s="80">
        <f t="shared" si="189"/>
        <v>440</v>
      </c>
      <c r="E648" s="81">
        <f t="shared" si="198"/>
        <v>44998</v>
      </c>
      <c r="F648" s="80">
        <f t="shared" si="191"/>
        <v>-0.39644970414201186</v>
      </c>
      <c r="G648" s="119">
        <f t="shared" si="185"/>
        <v>0.36879117477244427</v>
      </c>
      <c r="H648" s="125">
        <f t="shared" si="192"/>
        <v>44998</v>
      </c>
      <c r="I648" s="82">
        <f t="shared" si="180"/>
        <v>0.92448712158017798</v>
      </c>
      <c r="J648" s="126">
        <f t="shared" si="186"/>
        <v>8431160.0794444773</v>
      </c>
      <c r="K648" s="139">
        <f t="shared" si="181"/>
        <v>0</v>
      </c>
      <c r="L648" s="83">
        <f t="shared" si="179"/>
        <v>8431160.0794444773</v>
      </c>
      <c r="M648" s="80">
        <f t="shared" si="187"/>
        <v>440</v>
      </c>
      <c r="N648" s="157">
        <f t="shared" si="195"/>
        <v>0</v>
      </c>
      <c r="O648" s="140">
        <f t="shared" si="182"/>
        <v>0</v>
      </c>
      <c r="P648" s="149">
        <v>0</v>
      </c>
      <c r="Q648" s="163">
        <f t="shared" si="188"/>
        <v>440</v>
      </c>
      <c r="R648" s="150">
        <f t="shared" si="183"/>
        <v>0</v>
      </c>
      <c r="S648" s="164">
        <f t="shared" si="196"/>
        <v>9119824.2599999998</v>
      </c>
    </row>
    <row r="649" spans="1:19" x14ac:dyDescent="0.25">
      <c r="A649" s="80" t="str">
        <f t="shared" si="193"/>
        <v>Tues</v>
      </c>
      <c r="B649" s="147">
        <f>IF(SUMIFS(CashFlow!$C$16:$C$40,CashFlow!$D$16:$D$40,CashFlowCalcs!$E649)&gt;0,SUMIFS(CashFlow!$C$16:$C$40,CashFlow!$D$16:$D$40,CashFlowCalcs!$E649),B648)</f>
        <v>20</v>
      </c>
      <c r="C649" s="147" t="s">
        <v>39</v>
      </c>
      <c r="D649" s="80">
        <f t="shared" si="189"/>
        <v>440</v>
      </c>
      <c r="E649" s="81">
        <f t="shared" si="198"/>
        <v>44999</v>
      </c>
      <c r="F649" s="80">
        <f t="shared" si="191"/>
        <v>-0.39644970414201186</v>
      </c>
      <c r="G649" s="119">
        <f t="shared" si="185"/>
        <v>0.36879117477244427</v>
      </c>
      <c r="H649" s="125">
        <f t="shared" si="192"/>
        <v>44999</v>
      </c>
      <c r="I649" s="82">
        <f t="shared" si="180"/>
        <v>0.92448712158017798</v>
      </c>
      <c r="J649" s="126">
        <f t="shared" si="186"/>
        <v>8431160.0794444773</v>
      </c>
      <c r="K649" s="139">
        <f t="shared" si="181"/>
        <v>0</v>
      </c>
      <c r="L649" s="83">
        <f t="shared" si="179"/>
        <v>8431160.0794444773</v>
      </c>
      <c r="M649" s="80">
        <f t="shared" si="187"/>
        <v>440</v>
      </c>
      <c r="N649" s="157">
        <f t="shared" si="195"/>
        <v>0</v>
      </c>
      <c r="O649" s="140">
        <f t="shared" si="182"/>
        <v>0</v>
      </c>
      <c r="P649" s="149">
        <v>0</v>
      </c>
      <c r="Q649" s="163">
        <f t="shared" si="188"/>
        <v>440</v>
      </c>
      <c r="R649" s="150">
        <f t="shared" si="183"/>
        <v>0</v>
      </c>
      <c r="S649" s="164">
        <f t="shared" si="196"/>
        <v>9119824.2599999998</v>
      </c>
    </row>
    <row r="650" spans="1:19" x14ac:dyDescent="0.25">
      <c r="A650" s="80" t="str">
        <f t="shared" si="193"/>
        <v>Wed</v>
      </c>
      <c r="B650" s="147">
        <f>IF(SUMIFS(CashFlow!$C$16:$C$40,CashFlow!$D$16:$D$40,CashFlowCalcs!$E650)&gt;0,SUMIFS(CashFlow!$C$16:$C$40,CashFlow!$D$16:$D$40,CashFlowCalcs!$E650),B649)</f>
        <v>20</v>
      </c>
      <c r="C650" s="147" t="s">
        <v>39</v>
      </c>
      <c r="D650" s="80">
        <f t="shared" si="189"/>
        <v>440</v>
      </c>
      <c r="E650" s="81">
        <f t="shared" si="198"/>
        <v>45000</v>
      </c>
      <c r="F650" s="80">
        <f t="shared" si="191"/>
        <v>-0.39644970414201186</v>
      </c>
      <c r="G650" s="119">
        <f t="shared" si="185"/>
        <v>0.36879117477244427</v>
      </c>
      <c r="H650" s="125">
        <f t="shared" si="192"/>
        <v>45000</v>
      </c>
      <c r="I650" s="82">
        <f t="shared" si="180"/>
        <v>0.92448712158017798</v>
      </c>
      <c r="J650" s="126">
        <f t="shared" si="186"/>
        <v>8431160.0794444773</v>
      </c>
      <c r="K650" s="139">
        <f t="shared" si="181"/>
        <v>0</v>
      </c>
      <c r="L650" s="83">
        <f t="shared" si="179"/>
        <v>8431160.0794444773</v>
      </c>
      <c r="M650" s="80">
        <f t="shared" si="187"/>
        <v>440</v>
      </c>
      <c r="N650" s="157">
        <f t="shared" si="195"/>
        <v>0</v>
      </c>
      <c r="O650" s="140">
        <f t="shared" si="182"/>
        <v>0</v>
      </c>
      <c r="P650" s="149">
        <v>0</v>
      </c>
      <c r="Q650" s="163">
        <f t="shared" si="188"/>
        <v>440</v>
      </c>
      <c r="R650" s="150">
        <f t="shared" si="183"/>
        <v>0</v>
      </c>
      <c r="S650" s="164">
        <f t="shared" si="196"/>
        <v>9119824.2599999998</v>
      </c>
    </row>
    <row r="651" spans="1:19" x14ac:dyDescent="0.25">
      <c r="A651" s="80" t="str">
        <f t="shared" si="193"/>
        <v>Thu</v>
      </c>
      <c r="B651" s="147">
        <f>IF(SUMIFS(CashFlow!$C$16:$C$40,CashFlow!$D$16:$D$40,CashFlowCalcs!$E651)&gt;0,SUMIFS(CashFlow!$C$16:$C$40,CashFlow!$D$16:$D$40,CashFlowCalcs!$E651),B650)</f>
        <v>20</v>
      </c>
      <c r="C651" s="147" t="s">
        <v>39</v>
      </c>
      <c r="D651" s="80">
        <f t="shared" si="189"/>
        <v>440</v>
      </c>
      <c r="E651" s="81">
        <f t="shared" si="198"/>
        <v>45001</v>
      </c>
      <c r="F651" s="80">
        <f t="shared" si="191"/>
        <v>-0.39644970414201186</v>
      </c>
      <c r="G651" s="119">
        <f t="shared" si="185"/>
        <v>0.36879117477244427</v>
      </c>
      <c r="H651" s="125">
        <f t="shared" si="192"/>
        <v>45001</v>
      </c>
      <c r="I651" s="82">
        <f t="shared" si="180"/>
        <v>0.92448712158017798</v>
      </c>
      <c r="J651" s="126">
        <f t="shared" si="186"/>
        <v>8431160.0794444773</v>
      </c>
      <c r="K651" s="139">
        <f t="shared" si="181"/>
        <v>0</v>
      </c>
      <c r="L651" s="83">
        <f t="shared" si="179"/>
        <v>8431160.0794444773</v>
      </c>
      <c r="M651" s="80">
        <f t="shared" si="187"/>
        <v>440</v>
      </c>
      <c r="N651" s="157">
        <f t="shared" si="195"/>
        <v>0</v>
      </c>
      <c r="O651" s="140">
        <f t="shared" si="182"/>
        <v>0</v>
      </c>
      <c r="P651" s="149">
        <v>0</v>
      </c>
      <c r="Q651" s="163">
        <f t="shared" si="188"/>
        <v>440</v>
      </c>
      <c r="R651" s="150">
        <f t="shared" si="183"/>
        <v>0</v>
      </c>
      <c r="S651" s="164">
        <f t="shared" si="196"/>
        <v>9119824.2599999998</v>
      </c>
    </row>
    <row r="652" spans="1:19" x14ac:dyDescent="0.25">
      <c r="A652" s="80" t="str">
        <f t="shared" si="193"/>
        <v>Fri</v>
      </c>
      <c r="B652" s="147">
        <f>IF(SUMIFS(CashFlow!$C$16:$C$40,CashFlow!$D$16:$D$40,CashFlowCalcs!$E652)&gt;0,SUMIFS(CashFlow!$C$16:$C$40,CashFlow!$D$16:$D$40,CashFlowCalcs!$E652),B651)</f>
        <v>20</v>
      </c>
      <c r="C652" s="147" t="s">
        <v>39</v>
      </c>
      <c r="D652" s="80">
        <f t="shared" si="189"/>
        <v>440</v>
      </c>
      <c r="E652" s="81">
        <f t="shared" si="198"/>
        <v>45002</v>
      </c>
      <c r="F652" s="80">
        <f t="shared" si="191"/>
        <v>-0.39644970414201186</v>
      </c>
      <c r="G652" s="119">
        <f t="shared" si="185"/>
        <v>0.36879117477244427</v>
      </c>
      <c r="H652" s="125">
        <f t="shared" si="192"/>
        <v>45002</v>
      </c>
      <c r="I652" s="82">
        <f t="shared" si="180"/>
        <v>0.92448712158017798</v>
      </c>
      <c r="J652" s="126">
        <f t="shared" si="186"/>
        <v>8431160.0794444773</v>
      </c>
      <c r="K652" s="139">
        <f t="shared" si="181"/>
        <v>0</v>
      </c>
      <c r="L652" s="83">
        <f t="shared" ref="L652:L715" si="199">IF(AND(E652&gt;=$H$3,P652=0,E652&lt;=$I$1),J652+K652,0)</f>
        <v>8431160.0794444773</v>
      </c>
      <c r="M652" s="80">
        <f t="shared" si="187"/>
        <v>440</v>
      </c>
      <c r="N652" s="157">
        <f t="shared" si="195"/>
        <v>0</v>
      </c>
      <c r="O652" s="140">
        <f t="shared" si="182"/>
        <v>0</v>
      </c>
      <c r="P652" s="149">
        <v>0</v>
      </c>
      <c r="Q652" s="163">
        <f t="shared" si="188"/>
        <v>440</v>
      </c>
      <c r="R652" s="150">
        <f t="shared" si="183"/>
        <v>0</v>
      </c>
      <c r="S652" s="164">
        <f t="shared" si="196"/>
        <v>9119824.2599999998</v>
      </c>
    </row>
    <row r="653" spans="1:19" x14ac:dyDescent="0.25">
      <c r="A653" s="80" t="str">
        <f t="shared" si="193"/>
        <v>Sat</v>
      </c>
      <c r="B653" s="147">
        <f>IF(SUMIFS(CashFlow!$C$16:$C$40,CashFlow!$D$16:$D$40,CashFlowCalcs!$E653)&gt;0,SUMIFS(CashFlow!$C$16:$C$40,CashFlow!$D$16:$D$40,CashFlowCalcs!$E653),B652)</f>
        <v>20</v>
      </c>
      <c r="C653" s="147" t="str">
        <f t="shared" si="184"/>
        <v>Y</v>
      </c>
      <c r="D653" s="80">
        <f t="shared" si="189"/>
        <v>440</v>
      </c>
      <c r="E653" s="81">
        <f t="shared" si="198"/>
        <v>45003</v>
      </c>
      <c r="F653" s="80">
        <f t="shared" si="191"/>
        <v>-0.39644970414201186</v>
      </c>
      <c r="G653" s="119">
        <f t="shared" si="185"/>
        <v>0.36879117477244427</v>
      </c>
      <c r="H653" s="125">
        <f t="shared" si="192"/>
        <v>45003</v>
      </c>
      <c r="I653" s="82">
        <f t="shared" si="180"/>
        <v>0.92448712158017798</v>
      </c>
      <c r="J653" s="126">
        <f t="shared" si="186"/>
        <v>8431160.0794444773</v>
      </c>
      <c r="K653" s="139">
        <f t="shared" si="181"/>
        <v>0</v>
      </c>
      <c r="L653" s="83">
        <f t="shared" si="199"/>
        <v>8431160.0794444773</v>
      </c>
      <c r="M653" s="80">
        <f t="shared" si="187"/>
        <v>440</v>
      </c>
      <c r="N653" s="157">
        <f t="shared" si="195"/>
        <v>0</v>
      </c>
      <c r="O653" s="140">
        <f t="shared" si="182"/>
        <v>0</v>
      </c>
      <c r="P653" s="149">
        <v>0</v>
      </c>
      <c r="Q653" s="163">
        <f t="shared" si="188"/>
        <v>440</v>
      </c>
      <c r="R653" s="150">
        <f t="shared" si="183"/>
        <v>0</v>
      </c>
      <c r="S653" s="164">
        <f t="shared" si="196"/>
        <v>9119824.2599999998</v>
      </c>
    </row>
    <row r="654" spans="1:19" x14ac:dyDescent="0.25">
      <c r="A654" s="80" t="str">
        <f t="shared" si="193"/>
        <v>Sun</v>
      </c>
      <c r="B654" s="147">
        <f>IF(SUMIFS(CashFlow!$C$16:$C$40,CashFlow!$D$16:$D$40,CashFlowCalcs!$E654)&gt;0,SUMIFS(CashFlow!$C$16:$C$40,CashFlow!$D$16:$D$40,CashFlowCalcs!$E654),B653)</f>
        <v>20</v>
      </c>
      <c r="C654" s="147" t="str">
        <f t="shared" si="184"/>
        <v>Y</v>
      </c>
      <c r="D654" s="80">
        <f t="shared" si="189"/>
        <v>440</v>
      </c>
      <c r="E654" s="81">
        <f t="shared" si="198"/>
        <v>45004</v>
      </c>
      <c r="F654" s="80">
        <f t="shared" si="191"/>
        <v>-0.39644970414201186</v>
      </c>
      <c r="G654" s="119">
        <f t="shared" si="185"/>
        <v>0.36879117477244427</v>
      </c>
      <c r="H654" s="125">
        <f t="shared" si="192"/>
        <v>45004</v>
      </c>
      <c r="I654" s="82">
        <f t="shared" si="180"/>
        <v>0.92448712158017798</v>
      </c>
      <c r="J654" s="126">
        <f t="shared" si="186"/>
        <v>8431160.0794444773</v>
      </c>
      <c r="K654" s="139">
        <f t="shared" si="181"/>
        <v>0</v>
      </c>
      <c r="L654" s="83">
        <f t="shared" si="199"/>
        <v>8431160.0794444773</v>
      </c>
      <c r="M654" s="80">
        <f t="shared" si="187"/>
        <v>440</v>
      </c>
      <c r="N654" s="157">
        <f t="shared" si="195"/>
        <v>0</v>
      </c>
      <c r="O654" s="140">
        <f t="shared" si="182"/>
        <v>0</v>
      </c>
      <c r="P654" s="149">
        <v>0</v>
      </c>
      <c r="Q654" s="163">
        <f t="shared" si="188"/>
        <v>440</v>
      </c>
      <c r="R654" s="150">
        <f t="shared" si="183"/>
        <v>0</v>
      </c>
      <c r="S654" s="164">
        <f t="shared" si="196"/>
        <v>9119824.2599999998</v>
      </c>
    </row>
    <row r="655" spans="1:19" x14ac:dyDescent="0.25">
      <c r="A655" s="80" t="str">
        <f t="shared" si="193"/>
        <v>Mon</v>
      </c>
      <c r="B655" s="147">
        <f>IF(SUMIFS(CashFlow!$C$16:$C$40,CashFlow!$D$16:$D$40,CashFlowCalcs!$E655)&gt;0,SUMIFS(CashFlow!$C$16:$C$40,CashFlow!$D$16:$D$40,CashFlowCalcs!$E655),B654)</f>
        <v>20</v>
      </c>
      <c r="C655" s="147" t="s">
        <v>39</v>
      </c>
      <c r="D655" s="80">
        <f t="shared" si="189"/>
        <v>440</v>
      </c>
      <c r="E655" s="81">
        <f t="shared" si="198"/>
        <v>45005</v>
      </c>
      <c r="F655" s="80">
        <f t="shared" si="191"/>
        <v>-0.39644970414201186</v>
      </c>
      <c r="G655" s="119">
        <f t="shared" si="185"/>
        <v>0.36879117477244427</v>
      </c>
      <c r="H655" s="125">
        <f t="shared" si="192"/>
        <v>45005</v>
      </c>
      <c r="I655" s="82">
        <f t="shared" si="180"/>
        <v>0.92448712158017798</v>
      </c>
      <c r="J655" s="126">
        <f t="shared" si="186"/>
        <v>8431160.0794444773</v>
      </c>
      <c r="K655" s="139">
        <f t="shared" si="181"/>
        <v>0</v>
      </c>
      <c r="L655" s="83">
        <f t="shared" si="199"/>
        <v>8431160.0794444773</v>
      </c>
      <c r="M655" s="80">
        <f t="shared" si="187"/>
        <v>440</v>
      </c>
      <c r="N655" s="157">
        <f t="shared" si="195"/>
        <v>0</v>
      </c>
      <c r="O655" s="140">
        <f t="shared" si="182"/>
        <v>0</v>
      </c>
      <c r="P655" s="149">
        <v>0</v>
      </c>
      <c r="Q655" s="163">
        <f t="shared" si="188"/>
        <v>440</v>
      </c>
      <c r="R655" s="150">
        <f t="shared" si="183"/>
        <v>0</v>
      </c>
      <c r="S655" s="164">
        <f t="shared" si="196"/>
        <v>9119824.2599999998</v>
      </c>
    </row>
    <row r="656" spans="1:19" x14ac:dyDescent="0.25">
      <c r="A656" s="80" t="str">
        <f t="shared" si="193"/>
        <v>Tues</v>
      </c>
      <c r="B656" s="147">
        <f>IF(SUMIFS(CashFlow!$C$16:$C$40,CashFlow!$D$16:$D$40,CashFlowCalcs!$E656)&gt;0,SUMIFS(CashFlow!$C$16:$C$40,CashFlow!$D$16:$D$40,CashFlowCalcs!$E656),B655)</f>
        <v>20</v>
      </c>
      <c r="C656" s="147" t="s">
        <v>39</v>
      </c>
      <c r="D656" s="80">
        <f t="shared" si="189"/>
        <v>440</v>
      </c>
      <c r="E656" s="81">
        <f t="shared" si="198"/>
        <v>45006</v>
      </c>
      <c r="F656" s="80">
        <f t="shared" si="191"/>
        <v>-0.39644970414201186</v>
      </c>
      <c r="G656" s="119">
        <f t="shared" si="185"/>
        <v>0.36879117477244427</v>
      </c>
      <c r="H656" s="125">
        <f t="shared" si="192"/>
        <v>45006</v>
      </c>
      <c r="I656" s="82">
        <f t="shared" si="180"/>
        <v>0.92448712158017798</v>
      </c>
      <c r="J656" s="126">
        <f t="shared" si="186"/>
        <v>8431160.0794444773</v>
      </c>
      <c r="K656" s="139">
        <f t="shared" si="181"/>
        <v>0</v>
      </c>
      <c r="L656" s="83">
        <f t="shared" si="199"/>
        <v>8431160.0794444773</v>
      </c>
      <c r="M656" s="80">
        <f t="shared" si="187"/>
        <v>440</v>
      </c>
      <c r="N656" s="157">
        <f t="shared" si="195"/>
        <v>0</v>
      </c>
      <c r="O656" s="140">
        <f t="shared" si="182"/>
        <v>0</v>
      </c>
      <c r="P656" s="149">
        <v>0</v>
      </c>
      <c r="Q656" s="163">
        <f t="shared" si="188"/>
        <v>440</v>
      </c>
      <c r="R656" s="150">
        <f t="shared" si="183"/>
        <v>0</v>
      </c>
      <c r="S656" s="164">
        <f t="shared" si="196"/>
        <v>9119824.2599999998</v>
      </c>
    </row>
    <row r="657" spans="1:19" x14ac:dyDescent="0.25">
      <c r="A657" s="80" t="str">
        <f t="shared" si="193"/>
        <v>Wed</v>
      </c>
      <c r="B657" s="147">
        <f>IF(SUMIFS(CashFlow!$C$16:$C$40,CashFlow!$D$16:$D$40,CashFlowCalcs!$E657)&gt;0,SUMIFS(CashFlow!$C$16:$C$40,CashFlow!$D$16:$D$40,CashFlowCalcs!$E657),B656)</f>
        <v>20</v>
      </c>
      <c r="C657" s="147" t="s">
        <v>39</v>
      </c>
      <c r="D657" s="80">
        <f t="shared" si="189"/>
        <v>440</v>
      </c>
      <c r="E657" s="81">
        <f t="shared" si="198"/>
        <v>45007</v>
      </c>
      <c r="F657" s="80">
        <f t="shared" si="191"/>
        <v>-0.39644970414201186</v>
      </c>
      <c r="G657" s="119">
        <f t="shared" si="185"/>
        <v>0.36879117477244427</v>
      </c>
      <c r="H657" s="125">
        <f t="shared" si="192"/>
        <v>45007</v>
      </c>
      <c r="I657" s="82">
        <f t="shared" si="180"/>
        <v>0.92448712158017798</v>
      </c>
      <c r="J657" s="126">
        <f t="shared" si="186"/>
        <v>8431160.0794444773</v>
      </c>
      <c r="K657" s="139">
        <f t="shared" si="181"/>
        <v>0</v>
      </c>
      <c r="L657" s="83">
        <f t="shared" si="199"/>
        <v>8431160.0794444773</v>
      </c>
      <c r="M657" s="80">
        <f t="shared" si="187"/>
        <v>440</v>
      </c>
      <c r="N657" s="157">
        <f t="shared" si="195"/>
        <v>0</v>
      </c>
      <c r="O657" s="140">
        <f t="shared" si="182"/>
        <v>0</v>
      </c>
      <c r="P657" s="149">
        <v>0</v>
      </c>
      <c r="Q657" s="163">
        <f t="shared" si="188"/>
        <v>440</v>
      </c>
      <c r="R657" s="150">
        <f t="shared" si="183"/>
        <v>0</v>
      </c>
      <c r="S657" s="164">
        <f t="shared" si="196"/>
        <v>9119824.2599999998</v>
      </c>
    </row>
    <row r="658" spans="1:19" x14ac:dyDescent="0.25">
      <c r="A658" s="80" t="str">
        <f t="shared" si="193"/>
        <v>Thu</v>
      </c>
      <c r="B658" s="147">
        <f>IF(SUMIFS(CashFlow!$C$16:$C$40,CashFlow!$D$16:$D$40,CashFlowCalcs!$E658)&gt;0,SUMIFS(CashFlow!$C$16:$C$40,CashFlow!$D$16:$D$40,CashFlowCalcs!$E658),B657)</f>
        <v>20</v>
      </c>
      <c r="C658" s="147" t="s">
        <v>39</v>
      </c>
      <c r="D658" s="80">
        <f t="shared" si="189"/>
        <v>440</v>
      </c>
      <c r="E658" s="81">
        <f t="shared" si="198"/>
        <v>45008</v>
      </c>
      <c r="F658" s="80">
        <f t="shared" si="191"/>
        <v>-0.39644970414201186</v>
      </c>
      <c r="G658" s="119">
        <f t="shared" si="185"/>
        <v>0.36879117477244427</v>
      </c>
      <c r="H658" s="125">
        <f t="shared" si="192"/>
        <v>45008</v>
      </c>
      <c r="I658" s="82">
        <f t="shared" ref="I658:I721" si="200">G658/VLOOKUP($J$5,$D$18:$G$750,4)</f>
        <v>0.92448712158017798</v>
      </c>
      <c r="J658" s="126">
        <f t="shared" si="186"/>
        <v>8431160.0794444773</v>
      </c>
      <c r="K658" s="139">
        <f t="shared" ref="K658:K721" si="201">N658*O658</f>
        <v>0</v>
      </c>
      <c r="L658" s="83">
        <f t="shared" si="199"/>
        <v>8431160.0794444773</v>
      </c>
      <c r="M658" s="80">
        <f t="shared" si="187"/>
        <v>440</v>
      </c>
      <c r="N658" s="157">
        <f t="shared" si="195"/>
        <v>0</v>
      </c>
      <c r="O658" s="140">
        <f t="shared" ref="O658:O721" si="202">IF(E658&lt;$J$6,0,IF(E658&gt;=$I$1,0,($J$5-D658)/($J$5-VLOOKUP($J$6,$H$17:$M$750,6))))</f>
        <v>0</v>
      </c>
      <c r="P658" s="149">
        <v>0</v>
      </c>
      <c r="Q658" s="163">
        <f t="shared" si="188"/>
        <v>440</v>
      </c>
      <c r="R658" s="150">
        <f t="shared" ref="R658:R721" si="203">IF(OR(E658&lt;$J$6+1,E658&gt;$I$1),0,1)</f>
        <v>0</v>
      </c>
      <c r="S658" s="164">
        <f t="shared" si="196"/>
        <v>9119824.2599999998</v>
      </c>
    </row>
    <row r="659" spans="1:19" x14ac:dyDescent="0.25">
      <c r="A659" s="80" t="str">
        <f t="shared" si="193"/>
        <v>Fri</v>
      </c>
      <c r="B659" s="147">
        <f>IF(SUMIFS(CashFlow!$C$16:$C$40,CashFlow!$D$16:$D$40,CashFlowCalcs!$E659)&gt;0,SUMIFS(CashFlow!$C$16:$C$40,CashFlow!$D$16:$D$40,CashFlowCalcs!$E659),B658)</f>
        <v>20</v>
      </c>
      <c r="C659" s="147" t="s">
        <v>39</v>
      </c>
      <c r="D659" s="80">
        <f t="shared" si="189"/>
        <v>440</v>
      </c>
      <c r="E659" s="81">
        <f t="shared" si="198"/>
        <v>45009</v>
      </c>
      <c r="F659" s="80">
        <f t="shared" si="191"/>
        <v>-0.39644970414201186</v>
      </c>
      <c r="G659" s="119">
        <f t="shared" ref="G659:G722" si="204">NORMDIST(F659,0,1,0)</f>
        <v>0.36879117477244427</v>
      </c>
      <c r="H659" s="125">
        <f t="shared" si="192"/>
        <v>45009</v>
      </c>
      <c r="I659" s="82">
        <f t="shared" si="200"/>
        <v>0.92448712158017798</v>
      </c>
      <c r="J659" s="126">
        <f t="shared" ref="J659:J722" si="205">(I659*$G$8)+$G$7</f>
        <v>8431160.0794444773</v>
      </c>
      <c r="K659" s="139">
        <f t="shared" si="201"/>
        <v>0</v>
      </c>
      <c r="L659" s="83">
        <f t="shared" si="199"/>
        <v>8431160.0794444773</v>
      </c>
      <c r="M659" s="80">
        <f t="shared" ref="M659:M722" si="206">D659</f>
        <v>440</v>
      </c>
      <c r="N659" s="157">
        <f t="shared" si="195"/>
        <v>0</v>
      </c>
      <c r="O659" s="140">
        <f t="shared" si="202"/>
        <v>0</v>
      </c>
      <c r="P659" s="149">
        <v>0</v>
      </c>
      <c r="Q659" s="163">
        <f t="shared" ref="Q659:Q722" si="207">D659</f>
        <v>440</v>
      </c>
      <c r="R659" s="150">
        <f t="shared" si="203"/>
        <v>0</v>
      </c>
      <c r="S659" s="164">
        <f t="shared" si="196"/>
        <v>9119824.2599999998</v>
      </c>
    </row>
    <row r="660" spans="1:19" x14ac:dyDescent="0.25">
      <c r="A660" s="80" t="str">
        <f t="shared" si="193"/>
        <v>Sat</v>
      </c>
      <c r="B660" s="147">
        <f>IF(SUMIFS(CashFlow!$C$16:$C$40,CashFlow!$D$16:$D$40,CashFlowCalcs!$E660)&gt;0,SUMIFS(CashFlow!$C$16:$C$40,CashFlow!$D$16:$D$40,CashFlowCalcs!$E660),B659)</f>
        <v>20</v>
      </c>
      <c r="C660" s="147" t="str">
        <f t="shared" ref="C660:C722" si="208">IF(LEFT(A660,1)="S","Y","N")</f>
        <v>Y</v>
      </c>
      <c r="D660" s="80">
        <f t="shared" ref="D660:D723" si="209">IF($C660="N",$D659+1,$D659)</f>
        <v>440</v>
      </c>
      <c r="E660" s="81">
        <f t="shared" ref="E660:E675" si="210">E659+1</f>
        <v>45010</v>
      </c>
      <c r="F660" s="80">
        <f t="shared" ref="F660:F723" si="211">$F$18+((((D660)/($J$5+2)*3)))</f>
        <v>-0.39644970414201186</v>
      </c>
      <c r="G660" s="119">
        <f t="shared" si="204"/>
        <v>0.36879117477244427</v>
      </c>
      <c r="H660" s="125">
        <f t="shared" ref="H660:H723" si="212">H659+1</f>
        <v>45010</v>
      </c>
      <c r="I660" s="82">
        <f t="shared" si="200"/>
        <v>0.92448712158017798</v>
      </c>
      <c r="J660" s="126">
        <f t="shared" si="205"/>
        <v>8431160.0794444773</v>
      </c>
      <c r="K660" s="139">
        <f t="shared" si="201"/>
        <v>0</v>
      </c>
      <c r="L660" s="83">
        <f t="shared" si="199"/>
        <v>8431160.0794444773</v>
      </c>
      <c r="M660" s="80">
        <f t="shared" si="206"/>
        <v>440</v>
      </c>
      <c r="N660" s="157">
        <f t="shared" si="195"/>
        <v>0</v>
      </c>
      <c r="O660" s="140">
        <f t="shared" si="202"/>
        <v>0</v>
      </c>
      <c r="P660" s="149">
        <v>0</v>
      </c>
      <c r="Q660" s="163">
        <f t="shared" si="207"/>
        <v>440</v>
      </c>
      <c r="R660" s="150">
        <f t="shared" si="203"/>
        <v>0</v>
      </c>
      <c r="S660" s="164">
        <f t="shared" si="196"/>
        <v>9119824.2599999998</v>
      </c>
    </row>
    <row r="661" spans="1:19" x14ac:dyDescent="0.25">
      <c r="A661" s="80" t="str">
        <f t="shared" si="193"/>
        <v>Sun</v>
      </c>
      <c r="B661" s="147">
        <f>IF(SUMIFS(CashFlow!$C$16:$C$40,CashFlow!$D$16:$D$40,CashFlowCalcs!$E661)&gt;0,SUMIFS(CashFlow!$C$16:$C$40,CashFlow!$D$16:$D$40,CashFlowCalcs!$E661),B660)</f>
        <v>20</v>
      </c>
      <c r="C661" s="147" t="str">
        <f t="shared" si="208"/>
        <v>Y</v>
      </c>
      <c r="D661" s="80">
        <f t="shared" si="209"/>
        <v>440</v>
      </c>
      <c r="E661" s="81">
        <f t="shared" si="210"/>
        <v>45011</v>
      </c>
      <c r="F661" s="80">
        <f t="shared" si="211"/>
        <v>-0.39644970414201186</v>
      </c>
      <c r="G661" s="119">
        <f t="shared" si="204"/>
        <v>0.36879117477244427</v>
      </c>
      <c r="H661" s="125">
        <f t="shared" si="212"/>
        <v>45011</v>
      </c>
      <c r="I661" s="82">
        <f t="shared" si="200"/>
        <v>0.92448712158017798</v>
      </c>
      <c r="J661" s="126">
        <f t="shared" si="205"/>
        <v>8431160.0794444773</v>
      </c>
      <c r="K661" s="139">
        <f t="shared" si="201"/>
        <v>0</v>
      </c>
      <c r="L661" s="83">
        <f t="shared" si="199"/>
        <v>8431160.0794444773</v>
      </c>
      <c r="M661" s="80">
        <f t="shared" si="206"/>
        <v>440</v>
      </c>
      <c r="N661" s="157">
        <f t="shared" si="195"/>
        <v>0</v>
      </c>
      <c r="O661" s="140">
        <f t="shared" si="202"/>
        <v>0</v>
      </c>
      <c r="P661" s="149">
        <v>0</v>
      </c>
      <c r="Q661" s="163">
        <f t="shared" si="207"/>
        <v>440</v>
      </c>
      <c r="R661" s="150">
        <f t="shared" si="203"/>
        <v>0</v>
      </c>
      <c r="S661" s="164">
        <f t="shared" si="196"/>
        <v>9119824.2599999998</v>
      </c>
    </row>
    <row r="662" spans="1:19" x14ac:dyDescent="0.25">
      <c r="A662" s="80" t="str">
        <f t="shared" si="193"/>
        <v>Mon</v>
      </c>
      <c r="B662" s="147">
        <f>IF(SUMIFS(CashFlow!$C$16:$C$40,CashFlow!$D$16:$D$40,CashFlowCalcs!$E662)&gt;0,SUMIFS(CashFlow!$C$16:$C$40,CashFlow!$D$16:$D$40,CashFlowCalcs!$E662),B661)</f>
        <v>20</v>
      </c>
      <c r="C662" s="147" t="str">
        <f t="shared" si="208"/>
        <v>N</v>
      </c>
      <c r="D662" s="80">
        <f t="shared" si="209"/>
        <v>441</v>
      </c>
      <c r="E662" s="81">
        <f t="shared" si="210"/>
        <v>45012</v>
      </c>
      <c r="F662" s="80">
        <f t="shared" si="211"/>
        <v>-0.390532544378698</v>
      </c>
      <c r="G662" s="119">
        <f t="shared" si="204"/>
        <v>0.36965085007210974</v>
      </c>
      <c r="H662" s="125">
        <f t="shared" si="212"/>
        <v>45012</v>
      </c>
      <c r="I662" s="82">
        <f t="shared" si="200"/>
        <v>0.92664215889573109</v>
      </c>
      <c r="J662" s="126">
        <f t="shared" si="205"/>
        <v>8450813.6410360634</v>
      </c>
      <c r="K662" s="139">
        <f t="shared" si="201"/>
        <v>0</v>
      </c>
      <c r="L662" s="83">
        <f t="shared" si="199"/>
        <v>8450813.6410360634</v>
      </c>
      <c r="M662" s="80">
        <f t="shared" si="206"/>
        <v>441</v>
      </c>
      <c r="N662" s="157">
        <f t="shared" si="195"/>
        <v>0</v>
      </c>
      <c r="O662" s="140">
        <f t="shared" si="202"/>
        <v>0</v>
      </c>
      <c r="P662" s="149">
        <v>0</v>
      </c>
      <c r="Q662" s="163">
        <f t="shared" si="207"/>
        <v>441</v>
      </c>
      <c r="R662" s="150">
        <f t="shared" si="203"/>
        <v>0</v>
      </c>
      <c r="S662" s="164">
        <f t="shared" si="196"/>
        <v>9119824.2599999998</v>
      </c>
    </row>
    <row r="663" spans="1:19" x14ac:dyDescent="0.25">
      <c r="A663" s="80" t="str">
        <f t="shared" si="193"/>
        <v>Tues</v>
      </c>
      <c r="B663" s="147">
        <f>IF(SUMIFS(CashFlow!$C$16:$C$40,CashFlow!$D$16:$D$40,CashFlowCalcs!$E663)&gt;0,SUMIFS(CashFlow!$C$16:$C$40,CashFlow!$D$16:$D$40,CashFlowCalcs!$E663),B662)</f>
        <v>20</v>
      </c>
      <c r="C663" s="147" t="str">
        <f t="shared" si="208"/>
        <v>N</v>
      </c>
      <c r="D663" s="80">
        <f t="shared" si="209"/>
        <v>442</v>
      </c>
      <c r="E663" s="81">
        <f t="shared" si="210"/>
        <v>45013</v>
      </c>
      <c r="F663" s="80">
        <f t="shared" si="211"/>
        <v>-0.38461538461538458</v>
      </c>
      <c r="G663" s="119">
        <f t="shared" si="204"/>
        <v>0.37049955688222891</v>
      </c>
      <c r="H663" s="125">
        <f t="shared" si="212"/>
        <v>45013</v>
      </c>
      <c r="I663" s="82">
        <f t="shared" si="200"/>
        <v>0.92876970035991258</v>
      </c>
      <c r="J663" s="126">
        <f t="shared" si="205"/>
        <v>8470216.4452952612</v>
      </c>
      <c r="K663" s="139">
        <f t="shared" si="201"/>
        <v>0</v>
      </c>
      <c r="L663" s="83">
        <f t="shared" si="199"/>
        <v>8470216.4452952612</v>
      </c>
      <c r="M663" s="80">
        <f t="shared" si="206"/>
        <v>442</v>
      </c>
      <c r="N663" s="157">
        <f t="shared" si="195"/>
        <v>0</v>
      </c>
      <c r="O663" s="140">
        <f t="shared" si="202"/>
        <v>0</v>
      </c>
      <c r="P663" s="149">
        <v>0</v>
      </c>
      <c r="Q663" s="163">
        <f t="shared" si="207"/>
        <v>442</v>
      </c>
      <c r="R663" s="150">
        <f t="shared" si="203"/>
        <v>0</v>
      </c>
      <c r="S663" s="164">
        <f t="shared" si="196"/>
        <v>9119824.2599999998</v>
      </c>
    </row>
    <row r="664" spans="1:19" x14ac:dyDescent="0.25">
      <c r="A664" s="80" t="str">
        <f t="shared" si="193"/>
        <v>Wed</v>
      </c>
      <c r="B664" s="147">
        <f>IF(SUMIFS(CashFlow!$C$16:$C$40,CashFlow!$D$16:$D$40,CashFlowCalcs!$E664)&gt;0,SUMIFS(CashFlow!$C$16:$C$40,CashFlow!$D$16:$D$40,CashFlowCalcs!$E664),B663)</f>
        <v>20</v>
      </c>
      <c r="C664" s="147" t="str">
        <f t="shared" si="208"/>
        <v>N</v>
      </c>
      <c r="D664" s="80">
        <f t="shared" si="209"/>
        <v>443</v>
      </c>
      <c r="E664" s="81">
        <f t="shared" si="210"/>
        <v>45014</v>
      </c>
      <c r="F664" s="80">
        <f t="shared" si="211"/>
        <v>-0.37869822485207116</v>
      </c>
      <c r="G664" s="119">
        <f t="shared" si="204"/>
        <v>0.37133721052113883</v>
      </c>
      <c r="H664" s="125">
        <f t="shared" si="212"/>
        <v>45014</v>
      </c>
      <c r="I664" s="82">
        <f t="shared" si="200"/>
        <v>0.9308695336924071</v>
      </c>
      <c r="J664" s="126">
        <f t="shared" si="205"/>
        <v>8489366.5562629011</v>
      </c>
      <c r="K664" s="139">
        <f t="shared" si="201"/>
        <v>0</v>
      </c>
      <c r="L664" s="83">
        <f t="shared" si="199"/>
        <v>8489366.5562629011</v>
      </c>
      <c r="M664" s="80">
        <f t="shared" si="206"/>
        <v>443</v>
      </c>
      <c r="N664" s="157">
        <f t="shared" si="195"/>
        <v>0</v>
      </c>
      <c r="O664" s="140">
        <f t="shared" si="202"/>
        <v>0</v>
      </c>
      <c r="P664" s="149">
        <v>0</v>
      </c>
      <c r="Q664" s="163">
        <f t="shared" si="207"/>
        <v>443</v>
      </c>
      <c r="R664" s="150">
        <f t="shared" si="203"/>
        <v>0</v>
      </c>
      <c r="S664" s="164">
        <f t="shared" si="196"/>
        <v>9119824.2599999998</v>
      </c>
    </row>
    <row r="665" spans="1:19" x14ac:dyDescent="0.25">
      <c r="A665" s="80" t="str">
        <f t="shared" si="193"/>
        <v>Thu</v>
      </c>
      <c r="B665" s="147">
        <f>IF(SUMIFS(CashFlow!$C$16:$C$40,CashFlow!$D$16:$D$40,CashFlowCalcs!$E665)&gt;0,SUMIFS(CashFlow!$C$16:$C$40,CashFlow!$D$16:$D$40,CashFlowCalcs!$E665),B664)</f>
        <v>22</v>
      </c>
      <c r="C665" s="147" t="str">
        <f t="shared" si="208"/>
        <v>N</v>
      </c>
      <c r="D665" s="80">
        <f t="shared" si="209"/>
        <v>444</v>
      </c>
      <c r="E665" s="81">
        <f t="shared" si="210"/>
        <v>45015</v>
      </c>
      <c r="F665" s="80">
        <f t="shared" si="211"/>
        <v>-0.3727810650887573</v>
      </c>
      <c r="G665" s="119">
        <f t="shared" si="204"/>
        <v>0.37216372727654268</v>
      </c>
      <c r="H665" s="125">
        <f t="shared" si="212"/>
        <v>45015</v>
      </c>
      <c r="I665" s="82">
        <f t="shared" si="200"/>
        <v>0.93294144904291021</v>
      </c>
      <c r="J665" s="126">
        <f t="shared" si="205"/>
        <v>8508262.0601410866</v>
      </c>
      <c r="K665" s="139">
        <f t="shared" si="201"/>
        <v>0</v>
      </c>
      <c r="L665" s="83">
        <f t="shared" si="199"/>
        <v>8508262.0601410866</v>
      </c>
      <c r="M665" s="80">
        <f t="shared" si="206"/>
        <v>444</v>
      </c>
      <c r="N665" s="157">
        <f t="shared" si="195"/>
        <v>0</v>
      </c>
      <c r="O665" s="140">
        <f t="shared" si="202"/>
        <v>0</v>
      </c>
      <c r="P665" s="149">
        <v>0</v>
      </c>
      <c r="Q665" s="163">
        <f t="shared" si="207"/>
        <v>444</v>
      </c>
      <c r="R665" s="150">
        <f t="shared" si="203"/>
        <v>0</v>
      </c>
      <c r="S665" s="164">
        <f t="shared" si="196"/>
        <v>9119824.2599999998</v>
      </c>
    </row>
    <row r="666" spans="1:19" x14ac:dyDescent="0.25">
      <c r="A666" s="80" t="str">
        <f t="shared" ref="A666:A729" si="213">A659</f>
        <v>Fri</v>
      </c>
      <c r="B666" s="147">
        <f>IF(SUMIFS(CashFlow!$C$16:$C$40,CashFlow!$D$16:$D$40,CashFlowCalcs!$E666)&gt;0,SUMIFS(CashFlow!$C$16:$C$40,CashFlow!$D$16:$D$40,CashFlowCalcs!$E666),B665)</f>
        <v>22</v>
      </c>
      <c r="C666" s="147" t="str">
        <f t="shared" si="208"/>
        <v>N</v>
      </c>
      <c r="D666" s="80">
        <f t="shared" si="209"/>
        <v>445</v>
      </c>
      <c r="E666" s="81">
        <f t="shared" si="210"/>
        <v>45016</v>
      </c>
      <c r="F666" s="80">
        <f t="shared" si="211"/>
        <v>-0.36686390532544344</v>
      </c>
      <c r="G666" s="119">
        <f t="shared" si="204"/>
        <v>0.37297902441943831</v>
      </c>
      <c r="H666" s="125">
        <f t="shared" si="212"/>
        <v>45016</v>
      </c>
      <c r="I666" s="82">
        <f t="shared" si="200"/>
        <v>0.93498523902604413</v>
      </c>
      <c r="J666" s="126">
        <f t="shared" si="205"/>
        <v>8526901.0656116158</v>
      </c>
      <c r="K666" s="139">
        <f t="shared" si="201"/>
        <v>0</v>
      </c>
      <c r="L666" s="83">
        <f t="shared" si="199"/>
        <v>8526901.0656116158</v>
      </c>
      <c r="M666" s="80">
        <f t="shared" si="206"/>
        <v>445</v>
      </c>
      <c r="N666" s="157">
        <f t="shared" si="195"/>
        <v>0</v>
      </c>
      <c r="O666" s="140">
        <f t="shared" si="202"/>
        <v>0</v>
      </c>
      <c r="P666" s="149">
        <v>0</v>
      </c>
      <c r="Q666" s="163">
        <f t="shared" si="207"/>
        <v>445</v>
      </c>
      <c r="R666" s="150">
        <f t="shared" si="203"/>
        <v>0</v>
      </c>
      <c r="S666" s="164">
        <f t="shared" si="196"/>
        <v>9119824.2599999998</v>
      </c>
    </row>
    <row r="667" spans="1:19" x14ac:dyDescent="0.25">
      <c r="A667" s="80" t="str">
        <f t="shared" si="213"/>
        <v>Sat</v>
      </c>
      <c r="B667" s="147">
        <f>IF(SUMIFS(CashFlow!$C$16:$C$40,CashFlow!$D$16:$D$40,CashFlowCalcs!$E667)&gt;0,SUMIFS(CashFlow!$C$16:$C$40,CashFlow!$D$16:$D$40,CashFlowCalcs!$E667),B666)</f>
        <v>22</v>
      </c>
      <c r="C667" s="147" t="str">
        <f t="shared" si="208"/>
        <v>Y</v>
      </c>
      <c r="D667" s="80">
        <f t="shared" si="209"/>
        <v>445</v>
      </c>
      <c r="E667" s="81">
        <f t="shared" si="210"/>
        <v>45017</v>
      </c>
      <c r="F667" s="80">
        <f t="shared" si="211"/>
        <v>-0.36686390532544344</v>
      </c>
      <c r="G667" s="119">
        <f t="shared" si="204"/>
        <v>0.37297902441943831</v>
      </c>
      <c r="H667" s="125">
        <f t="shared" si="212"/>
        <v>45017</v>
      </c>
      <c r="I667" s="82">
        <f t="shared" si="200"/>
        <v>0.93498523902604413</v>
      </c>
      <c r="J667" s="126">
        <f t="shared" si="205"/>
        <v>8526901.0656116158</v>
      </c>
      <c r="K667" s="139">
        <f t="shared" si="201"/>
        <v>0</v>
      </c>
      <c r="L667" s="83">
        <f t="shared" si="199"/>
        <v>8526901.0656116158</v>
      </c>
      <c r="M667" s="80">
        <f t="shared" si="206"/>
        <v>445</v>
      </c>
      <c r="N667" s="157">
        <f t="shared" si="195"/>
        <v>0</v>
      </c>
      <c r="O667" s="140">
        <f t="shared" si="202"/>
        <v>0</v>
      </c>
      <c r="P667" s="149">
        <v>0</v>
      </c>
      <c r="Q667" s="163">
        <f t="shared" si="207"/>
        <v>445</v>
      </c>
      <c r="R667" s="150">
        <f t="shared" si="203"/>
        <v>0</v>
      </c>
      <c r="S667" s="164">
        <f t="shared" si="196"/>
        <v>9119824.2599999998</v>
      </c>
    </row>
    <row r="668" spans="1:19" x14ac:dyDescent="0.25">
      <c r="A668" s="80" t="str">
        <f t="shared" si="213"/>
        <v>Sun</v>
      </c>
      <c r="B668" s="147">
        <f>IF(SUMIFS(CashFlow!$C$16:$C$40,CashFlow!$D$16:$D$40,CashFlowCalcs!$E668)&gt;0,SUMIFS(CashFlow!$C$16:$C$40,CashFlow!$D$16:$D$40,CashFlowCalcs!$E668),B667)</f>
        <v>22</v>
      </c>
      <c r="C668" s="147" t="str">
        <f t="shared" si="208"/>
        <v>Y</v>
      </c>
      <c r="D668" s="80">
        <f t="shared" si="209"/>
        <v>445</v>
      </c>
      <c r="E668" s="81">
        <f t="shared" si="210"/>
        <v>45018</v>
      </c>
      <c r="F668" s="80">
        <f t="shared" si="211"/>
        <v>-0.36686390532544344</v>
      </c>
      <c r="G668" s="119">
        <f t="shared" si="204"/>
        <v>0.37297902441943831</v>
      </c>
      <c r="H668" s="125">
        <f t="shared" si="212"/>
        <v>45018</v>
      </c>
      <c r="I668" s="82">
        <f t="shared" si="200"/>
        <v>0.93498523902604413</v>
      </c>
      <c r="J668" s="126">
        <f t="shared" si="205"/>
        <v>8526901.0656116158</v>
      </c>
      <c r="K668" s="139">
        <f t="shared" si="201"/>
        <v>0</v>
      </c>
      <c r="L668" s="83">
        <f t="shared" si="199"/>
        <v>8526901.0656116158</v>
      </c>
      <c r="M668" s="80">
        <f t="shared" si="206"/>
        <v>445</v>
      </c>
      <c r="N668" s="157">
        <f t="shared" si="195"/>
        <v>0</v>
      </c>
      <c r="O668" s="140">
        <f t="shared" si="202"/>
        <v>0</v>
      </c>
      <c r="P668" s="149">
        <v>0</v>
      </c>
      <c r="Q668" s="163">
        <f t="shared" si="207"/>
        <v>445</v>
      </c>
      <c r="R668" s="150">
        <f t="shared" si="203"/>
        <v>0</v>
      </c>
      <c r="S668" s="164">
        <f t="shared" si="196"/>
        <v>9119824.2599999998</v>
      </c>
    </row>
    <row r="669" spans="1:19" x14ac:dyDescent="0.25">
      <c r="A669" s="80" t="str">
        <f t="shared" si="213"/>
        <v>Mon</v>
      </c>
      <c r="B669" s="147">
        <f>IF(SUMIFS(CashFlow!$C$16:$C$40,CashFlow!$D$16:$D$40,CashFlowCalcs!$E669)&gt;0,SUMIFS(CashFlow!$C$16:$C$40,CashFlow!$D$16:$D$40,CashFlowCalcs!$E669),B668)</f>
        <v>22</v>
      </c>
      <c r="C669" s="147" t="str">
        <f t="shared" si="208"/>
        <v>N</v>
      </c>
      <c r="D669" s="80">
        <f t="shared" si="209"/>
        <v>446</v>
      </c>
      <c r="E669" s="81">
        <f t="shared" si="210"/>
        <v>45019</v>
      </c>
      <c r="F669" s="80">
        <f t="shared" si="211"/>
        <v>-0.36094674556213002</v>
      </c>
      <c r="G669" s="119">
        <f t="shared" si="204"/>
        <v>0.37378302021790583</v>
      </c>
      <c r="H669" s="125">
        <f t="shared" si="212"/>
        <v>45019</v>
      </c>
      <c r="I669" s="82">
        <f t="shared" si="200"/>
        <v>0.93700069875592085</v>
      </c>
      <c r="J669" s="126">
        <f t="shared" si="205"/>
        <v>8545281.7041511983</v>
      </c>
      <c r="K669" s="139">
        <f t="shared" si="201"/>
        <v>0</v>
      </c>
      <c r="L669" s="83">
        <f t="shared" si="199"/>
        <v>8545281.7041511983</v>
      </c>
      <c r="M669" s="80">
        <f t="shared" si="206"/>
        <v>446</v>
      </c>
      <c r="N669" s="157">
        <f t="shared" si="195"/>
        <v>0</v>
      </c>
      <c r="O669" s="140">
        <f t="shared" si="202"/>
        <v>0</v>
      </c>
      <c r="P669" s="149">
        <v>0</v>
      </c>
      <c r="Q669" s="163">
        <f t="shared" si="207"/>
        <v>446</v>
      </c>
      <c r="R669" s="150">
        <f t="shared" si="203"/>
        <v>0</v>
      </c>
      <c r="S669" s="164">
        <f t="shared" si="196"/>
        <v>9119824.2599999998</v>
      </c>
    </row>
    <row r="670" spans="1:19" x14ac:dyDescent="0.25">
      <c r="A670" s="80" t="str">
        <f t="shared" si="213"/>
        <v>Tues</v>
      </c>
      <c r="B670" s="147">
        <f>IF(SUMIFS(CashFlow!$C$16:$C$40,CashFlow!$D$16:$D$40,CashFlowCalcs!$E670)&gt;0,SUMIFS(CashFlow!$C$16:$C$40,CashFlow!$D$16:$D$40,CashFlowCalcs!$E670),B669)</f>
        <v>22</v>
      </c>
      <c r="C670" s="147" t="str">
        <f t="shared" si="208"/>
        <v>N</v>
      </c>
      <c r="D670" s="80">
        <f t="shared" si="209"/>
        <v>447</v>
      </c>
      <c r="E670" s="81">
        <f t="shared" si="210"/>
        <v>45020</v>
      </c>
      <c r="F670" s="80">
        <f t="shared" si="211"/>
        <v>-0.3550295857988166</v>
      </c>
      <c r="G670" s="119">
        <f t="shared" si="204"/>
        <v>0.37457563395075066</v>
      </c>
      <c r="H670" s="125">
        <f t="shared" si="212"/>
        <v>45020</v>
      </c>
      <c r="I670" s="82">
        <f t="shared" si="200"/>
        <v>0.93898762588034235</v>
      </c>
      <c r="J670" s="126">
        <f t="shared" si="205"/>
        <v>8563402.1303433497</v>
      </c>
      <c r="K670" s="139">
        <f t="shared" si="201"/>
        <v>0</v>
      </c>
      <c r="L670" s="83">
        <f t="shared" si="199"/>
        <v>8563402.1303433497</v>
      </c>
      <c r="M670" s="80">
        <f t="shared" si="206"/>
        <v>447</v>
      </c>
      <c r="N670" s="157">
        <f t="shared" si="195"/>
        <v>0</v>
      </c>
      <c r="O670" s="140">
        <f t="shared" si="202"/>
        <v>0</v>
      </c>
      <c r="P670" s="149">
        <v>0</v>
      </c>
      <c r="Q670" s="163">
        <f t="shared" si="207"/>
        <v>447</v>
      </c>
      <c r="R670" s="150">
        <f t="shared" si="203"/>
        <v>0</v>
      </c>
      <c r="S670" s="164">
        <f t="shared" si="196"/>
        <v>9119824.2599999998</v>
      </c>
    </row>
    <row r="671" spans="1:19" x14ac:dyDescent="0.25">
      <c r="A671" s="80" t="str">
        <f t="shared" si="213"/>
        <v>Wed</v>
      </c>
      <c r="B671" s="147">
        <f>IF(SUMIFS(CashFlow!$C$16:$C$40,CashFlow!$D$16:$D$40,CashFlowCalcs!$E671)&gt;0,SUMIFS(CashFlow!$C$16:$C$40,CashFlow!$D$16:$D$40,CashFlowCalcs!$E671),B670)</f>
        <v>22</v>
      </c>
      <c r="C671" s="147" t="str">
        <f t="shared" si="208"/>
        <v>N</v>
      </c>
      <c r="D671" s="80">
        <f t="shared" si="209"/>
        <v>448</v>
      </c>
      <c r="E671" s="81">
        <f t="shared" si="210"/>
        <v>45021</v>
      </c>
      <c r="F671" s="80">
        <f t="shared" si="211"/>
        <v>-0.34911242603550319</v>
      </c>
      <c r="G671" s="119">
        <f t="shared" si="204"/>
        <v>0.37535678592099947</v>
      </c>
      <c r="H671" s="125">
        <f t="shared" si="212"/>
        <v>45021</v>
      </c>
      <c r="I671" s="82">
        <f t="shared" si="200"/>
        <v>0.94094582061463239</v>
      </c>
      <c r="J671" s="126">
        <f t="shared" si="205"/>
        <v>8581260.5221869331</v>
      </c>
      <c r="K671" s="139">
        <f t="shared" si="201"/>
        <v>0</v>
      </c>
      <c r="L671" s="83">
        <f t="shared" si="199"/>
        <v>8581260.5221869331</v>
      </c>
      <c r="M671" s="80">
        <f t="shared" si="206"/>
        <v>448</v>
      </c>
      <c r="N671" s="157">
        <f t="shared" si="195"/>
        <v>0</v>
      </c>
      <c r="O671" s="140">
        <f t="shared" si="202"/>
        <v>0</v>
      </c>
      <c r="P671" s="149">
        <v>0</v>
      </c>
      <c r="Q671" s="163">
        <f t="shared" si="207"/>
        <v>448</v>
      </c>
      <c r="R671" s="150">
        <f t="shared" si="203"/>
        <v>0</v>
      </c>
      <c r="S671" s="164">
        <f t="shared" si="196"/>
        <v>9119824.2599999998</v>
      </c>
    </row>
    <row r="672" spans="1:19" x14ac:dyDescent="0.25">
      <c r="A672" s="80" t="str">
        <f t="shared" si="213"/>
        <v>Thu</v>
      </c>
      <c r="B672" s="147">
        <f>IF(SUMIFS(CashFlow!$C$16:$C$40,CashFlow!$D$16:$D$40,CashFlowCalcs!$E672)&gt;0,SUMIFS(CashFlow!$C$16:$C$40,CashFlow!$D$16:$D$40,CashFlowCalcs!$E672),B671)</f>
        <v>22</v>
      </c>
      <c r="C672" s="147" t="str">
        <f t="shared" si="208"/>
        <v>N</v>
      </c>
      <c r="D672" s="80">
        <f t="shared" si="209"/>
        <v>449</v>
      </c>
      <c r="E672" s="81">
        <f t="shared" si="210"/>
        <v>45022</v>
      </c>
      <c r="F672" s="80">
        <f t="shared" si="211"/>
        <v>-0.34319526627218933</v>
      </c>
      <c r="G672" s="119">
        <f t="shared" si="204"/>
        <v>0.37612639746924481</v>
      </c>
      <c r="H672" s="125">
        <f t="shared" si="212"/>
        <v>45022</v>
      </c>
      <c r="I672" s="82">
        <f t="shared" si="200"/>
        <v>0.94287508577508861</v>
      </c>
      <c r="J672" s="126">
        <f t="shared" si="205"/>
        <v>8598855.0814012345</v>
      </c>
      <c r="K672" s="139">
        <f t="shared" si="201"/>
        <v>0</v>
      </c>
      <c r="L672" s="83">
        <f t="shared" si="199"/>
        <v>8598855.0814012345</v>
      </c>
      <c r="M672" s="80">
        <f t="shared" si="206"/>
        <v>449</v>
      </c>
      <c r="N672" s="157">
        <f t="shared" si="195"/>
        <v>0</v>
      </c>
      <c r="O672" s="140">
        <f t="shared" si="202"/>
        <v>0</v>
      </c>
      <c r="P672" s="149">
        <v>0</v>
      </c>
      <c r="Q672" s="163">
        <f t="shared" si="207"/>
        <v>449</v>
      </c>
      <c r="R672" s="150">
        <f t="shared" si="203"/>
        <v>0</v>
      </c>
      <c r="S672" s="164">
        <f t="shared" si="196"/>
        <v>9119824.2599999998</v>
      </c>
    </row>
    <row r="673" spans="1:19" x14ac:dyDescent="0.25">
      <c r="A673" s="80" t="str">
        <f t="shared" si="213"/>
        <v>Fri</v>
      </c>
      <c r="B673" s="147">
        <f>IF(SUMIFS(CashFlow!$C$16:$C$40,CashFlow!$D$16:$D$40,CashFlowCalcs!$E673)&gt;0,SUMIFS(CashFlow!$C$16:$C$40,CashFlow!$D$16:$D$40,CashFlowCalcs!$E673),B672)</f>
        <v>22</v>
      </c>
      <c r="C673" s="147" t="str">
        <f t="shared" si="208"/>
        <v>N</v>
      </c>
      <c r="D673" s="80">
        <f t="shared" si="209"/>
        <v>450</v>
      </c>
      <c r="E673" s="81">
        <f t="shared" si="210"/>
        <v>45023</v>
      </c>
      <c r="F673" s="80">
        <f t="shared" si="211"/>
        <v>-0.33727810650887591</v>
      </c>
      <c r="G673" s="119">
        <f t="shared" si="204"/>
        <v>0.37688439098683657</v>
      </c>
      <c r="H673" s="125">
        <f t="shared" si="212"/>
        <v>45023</v>
      </c>
      <c r="I673" s="82">
        <f t="shared" si="200"/>
        <v>0.94477522681205139</v>
      </c>
      <c r="J673" s="126">
        <f t="shared" si="205"/>
        <v>8616184.033727549</v>
      </c>
      <c r="K673" s="139">
        <f t="shared" si="201"/>
        <v>0</v>
      </c>
      <c r="L673" s="83">
        <f t="shared" si="199"/>
        <v>8616184.033727549</v>
      </c>
      <c r="M673" s="80">
        <f t="shared" si="206"/>
        <v>450</v>
      </c>
      <c r="N673" s="157">
        <f t="shared" si="195"/>
        <v>0</v>
      </c>
      <c r="O673" s="140">
        <f t="shared" si="202"/>
        <v>0</v>
      </c>
      <c r="P673" s="149">
        <v>0</v>
      </c>
      <c r="Q673" s="163">
        <f t="shared" si="207"/>
        <v>450</v>
      </c>
      <c r="R673" s="150">
        <f t="shared" si="203"/>
        <v>0</v>
      </c>
      <c r="S673" s="164">
        <f t="shared" si="196"/>
        <v>9119824.2599999998</v>
      </c>
    </row>
    <row r="674" spans="1:19" x14ac:dyDescent="0.25">
      <c r="A674" s="80" t="str">
        <f t="shared" si="213"/>
        <v>Sat</v>
      </c>
      <c r="B674" s="147">
        <f>IF(SUMIFS(CashFlow!$C$16:$C$40,CashFlow!$D$16:$D$40,CashFlowCalcs!$E674)&gt;0,SUMIFS(CashFlow!$C$16:$C$40,CashFlow!$D$16:$D$40,CashFlowCalcs!$E674),B673)</f>
        <v>22</v>
      </c>
      <c r="C674" s="147" t="str">
        <f t="shared" si="208"/>
        <v>Y</v>
      </c>
      <c r="D674" s="80">
        <f t="shared" si="209"/>
        <v>450</v>
      </c>
      <c r="E674" s="81">
        <f t="shared" si="210"/>
        <v>45024</v>
      </c>
      <c r="F674" s="80">
        <f t="shared" si="211"/>
        <v>-0.33727810650887591</v>
      </c>
      <c r="G674" s="119">
        <f t="shared" si="204"/>
        <v>0.37688439098683657</v>
      </c>
      <c r="H674" s="125">
        <f t="shared" si="212"/>
        <v>45024</v>
      </c>
      <c r="I674" s="82">
        <f t="shared" si="200"/>
        <v>0.94477522681205139</v>
      </c>
      <c r="J674" s="126">
        <f t="shared" si="205"/>
        <v>8616184.033727549</v>
      </c>
      <c r="K674" s="139">
        <f t="shared" si="201"/>
        <v>0</v>
      </c>
      <c r="L674" s="83">
        <f t="shared" si="199"/>
        <v>8616184.033727549</v>
      </c>
      <c r="M674" s="80">
        <f t="shared" si="206"/>
        <v>450</v>
      </c>
      <c r="N674" s="157">
        <f t="shared" si="195"/>
        <v>0</v>
      </c>
      <c r="O674" s="140">
        <f t="shared" si="202"/>
        <v>0</v>
      </c>
      <c r="P674" s="149">
        <v>0</v>
      </c>
      <c r="Q674" s="163">
        <f t="shared" si="207"/>
        <v>450</v>
      </c>
      <c r="R674" s="150">
        <f t="shared" si="203"/>
        <v>0</v>
      </c>
      <c r="S674" s="164">
        <f t="shared" si="196"/>
        <v>9119824.2599999998</v>
      </c>
    </row>
    <row r="675" spans="1:19" x14ac:dyDescent="0.25">
      <c r="A675" s="80" t="str">
        <f t="shared" si="213"/>
        <v>Sun</v>
      </c>
      <c r="B675" s="147">
        <f>IF(SUMIFS(CashFlow!$C$16:$C$40,CashFlow!$D$16:$D$40,CashFlowCalcs!$E675)&gt;0,SUMIFS(CashFlow!$C$16:$C$40,CashFlow!$D$16:$D$40,CashFlowCalcs!$E675),B674)</f>
        <v>22</v>
      </c>
      <c r="C675" s="147" t="str">
        <f t="shared" si="208"/>
        <v>Y</v>
      </c>
      <c r="D675" s="80">
        <f t="shared" si="209"/>
        <v>450</v>
      </c>
      <c r="E675" s="81">
        <f t="shared" si="210"/>
        <v>45025</v>
      </c>
      <c r="F675" s="80">
        <f t="shared" si="211"/>
        <v>-0.33727810650887591</v>
      </c>
      <c r="G675" s="119">
        <f t="shared" si="204"/>
        <v>0.37688439098683657</v>
      </c>
      <c r="H675" s="125">
        <f t="shared" si="212"/>
        <v>45025</v>
      </c>
      <c r="I675" s="82">
        <f t="shared" si="200"/>
        <v>0.94477522681205139</v>
      </c>
      <c r="J675" s="126">
        <f t="shared" si="205"/>
        <v>8616184.033727549</v>
      </c>
      <c r="K675" s="139">
        <f t="shared" si="201"/>
        <v>0</v>
      </c>
      <c r="L675" s="83">
        <f t="shared" si="199"/>
        <v>8616184.033727549</v>
      </c>
      <c r="M675" s="80">
        <f t="shared" si="206"/>
        <v>450</v>
      </c>
      <c r="N675" s="157">
        <f t="shared" si="195"/>
        <v>0</v>
      </c>
      <c r="O675" s="140">
        <f t="shared" si="202"/>
        <v>0</v>
      </c>
      <c r="P675" s="149">
        <v>0</v>
      </c>
      <c r="Q675" s="163">
        <f t="shared" si="207"/>
        <v>450</v>
      </c>
      <c r="R675" s="150">
        <f t="shared" si="203"/>
        <v>0</v>
      </c>
      <c r="S675" s="164">
        <f t="shared" si="196"/>
        <v>9119824.2599999998</v>
      </c>
    </row>
    <row r="676" spans="1:19" x14ac:dyDescent="0.25">
      <c r="A676" s="80" t="str">
        <f t="shared" si="213"/>
        <v>Mon</v>
      </c>
      <c r="B676" s="147">
        <f>IF(SUMIFS(CashFlow!$C$16:$C$40,CashFlow!$D$16:$D$40,CashFlowCalcs!$E676)&gt;0,SUMIFS(CashFlow!$C$16:$C$40,CashFlow!$D$16:$D$40,CashFlowCalcs!$E676),B675)</f>
        <v>22</v>
      </c>
      <c r="C676" s="147" t="str">
        <f t="shared" si="208"/>
        <v>N</v>
      </c>
      <c r="D676" s="80">
        <f t="shared" si="209"/>
        <v>451</v>
      </c>
      <c r="E676" s="81">
        <f t="shared" ref="E676:E691" si="214">E675+1</f>
        <v>45026</v>
      </c>
      <c r="F676" s="80">
        <f t="shared" si="211"/>
        <v>-0.33136094674556205</v>
      </c>
      <c r="G676" s="119">
        <f t="shared" si="204"/>
        <v>0.37763068992891657</v>
      </c>
      <c r="H676" s="125">
        <f t="shared" si="212"/>
        <v>45026</v>
      </c>
      <c r="I676" s="82">
        <f t="shared" si="200"/>
        <v>0.94664605184257866</v>
      </c>
      <c r="J676" s="126">
        <f t="shared" si="205"/>
        <v>8633245.629227167</v>
      </c>
      <c r="K676" s="139">
        <f t="shared" si="201"/>
        <v>0</v>
      </c>
      <c r="L676" s="83">
        <f t="shared" si="199"/>
        <v>8633245.629227167</v>
      </c>
      <c r="M676" s="80">
        <f t="shared" si="206"/>
        <v>451</v>
      </c>
      <c r="N676" s="157">
        <f t="shared" ref="N676:N739" si="215">IF(E676&lt;$J$6,0,IF(E676&gt;=$I$1,0,1))*$I$10</f>
        <v>0</v>
      </c>
      <c r="O676" s="140">
        <f t="shared" si="202"/>
        <v>0</v>
      </c>
      <c r="P676" s="149">
        <v>0</v>
      </c>
      <c r="Q676" s="163">
        <f t="shared" si="207"/>
        <v>451</v>
      </c>
      <c r="R676" s="150">
        <f t="shared" si="203"/>
        <v>0</v>
      </c>
      <c r="S676" s="164">
        <f t="shared" si="196"/>
        <v>9119824.2599999998</v>
      </c>
    </row>
    <row r="677" spans="1:19" x14ac:dyDescent="0.25">
      <c r="A677" s="80" t="str">
        <f t="shared" si="213"/>
        <v>Tues</v>
      </c>
      <c r="B677" s="147">
        <f>IF(SUMIFS(CashFlow!$C$16:$C$40,CashFlow!$D$16:$D$40,CashFlowCalcs!$E677)&gt;0,SUMIFS(CashFlow!$C$16:$C$40,CashFlow!$D$16:$D$40,CashFlowCalcs!$E677),B676)</f>
        <v>22</v>
      </c>
      <c r="C677" s="147" t="str">
        <f t="shared" si="208"/>
        <v>N</v>
      </c>
      <c r="D677" s="80">
        <f t="shared" si="209"/>
        <v>452</v>
      </c>
      <c r="E677" s="81">
        <f t="shared" si="214"/>
        <v>45027</v>
      </c>
      <c r="F677" s="80">
        <f t="shared" si="211"/>
        <v>-0.32544378698224863</v>
      </c>
      <c r="G677" s="119">
        <f t="shared" si="204"/>
        <v>0.37836521882729274</v>
      </c>
      <c r="H677" s="125">
        <f t="shared" si="212"/>
        <v>45027</v>
      </c>
      <c r="I677" s="82">
        <f t="shared" si="200"/>
        <v>0.94848737168271924</v>
      </c>
      <c r="J677" s="126">
        <f t="shared" si="205"/>
        <v>8650038.1425756998</v>
      </c>
      <c r="K677" s="139">
        <f t="shared" si="201"/>
        <v>0</v>
      </c>
      <c r="L677" s="83">
        <f t="shared" si="199"/>
        <v>8650038.1425756998</v>
      </c>
      <c r="M677" s="80">
        <f t="shared" si="206"/>
        <v>452</v>
      </c>
      <c r="N677" s="157">
        <f t="shared" si="215"/>
        <v>0</v>
      </c>
      <c r="O677" s="140">
        <f t="shared" si="202"/>
        <v>0</v>
      </c>
      <c r="P677" s="149">
        <v>0</v>
      </c>
      <c r="Q677" s="163">
        <f t="shared" si="207"/>
        <v>452</v>
      </c>
      <c r="R677" s="150">
        <f t="shared" si="203"/>
        <v>0</v>
      </c>
      <c r="S677" s="164">
        <f t="shared" si="196"/>
        <v>9119824.2599999998</v>
      </c>
    </row>
    <row r="678" spans="1:19" x14ac:dyDescent="0.25">
      <c r="A678" s="80" t="str">
        <f t="shared" si="213"/>
        <v>Wed</v>
      </c>
      <c r="B678" s="147">
        <f>IF(SUMIFS(CashFlow!$C$16:$C$40,CashFlow!$D$16:$D$40,CashFlowCalcs!$E678)&gt;0,SUMIFS(CashFlow!$C$16:$C$40,CashFlow!$D$16:$D$40,CashFlowCalcs!$E678),B677)</f>
        <v>22</v>
      </c>
      <c r="C678" s="147" t="str">
        <f t="shared" si="208"/>
        <v>N</v>
      </c>
      <c r="D678" s="80">
        <f t="shared" si="209"/>
        <v>453</v>
      </c>
      <c r="E678" s="81">
        <f t="shared" si="214"/>
        <v>45028</v>
      </c>
      <c r="F678" s="80">
        <f t="shared" si="211"/>
        <v>-0.31952662721893477</v>
      </c>
      <c r="G678" s="119">
        <f t="shared" si="204"/>
        <v>0.37908790330315101</v>
      </c>
      <c r="H678" s="125">
        <f t="shared" si="212"/>
        <v>45028</v>
      </c>
      <c r="I678" s="82">
        <f t="shared" si="200"/>
        <v>0.9502989998793786</v>
      </c>
      <c r="J678" s="126">
        <f t="shared" si="205"/>
        <v>8666559.8733536936</v>
      </c>
      <c r="K678" s="139">
        <f t="shared" si="201"/>
        <v>0</v>
      </c>
      <c r="L678" s="83">
        <f t="shared" si="199"/>
        <v>8666559.8733536936</v>
      </c>
      <c r="M678" s="80">
        <f t="shared" si="206"/>
        <v>453</v>
      </c>
      <c r="N678" s="157">
        <f t="shared" si="215"/>
        <v>0</v>
      </c>
      <c r="O678" s="140">
        <f t="shared" si="202"/>
        <v>0</v>
      </c>
      <c r="P678" s="149">
        <v>0</v>
      </c>
      <c r="Q678" s="163">
        <f t="shared" si="207"/>
        <v>453</v>
      </c>
      <c r="R678" s="150">
        <f t="shared" si="203"/>
        <v>0</v>
      </c>
      <c r="S678" s="164">
        <f t="shared" si="196"/>
        <v>9119824.2599999998</v>
      </c>
    </row>
    <row r="679" spans="1:19" x14ac:dyDescent="0.25">
      <c r="A679" s="80" t="str">
        <f t="shared" si="213"/>
        <v>Thu</v>
      </c>
      <c r="B679" s="147">
        <f>IF(SUMIFS(CashFlow!$C$16:$C$40,CashFlow!$D$16:$D$40,CashFlowCalcs!$E679)&gt;0,SUMIFS(CashFlow!$C$16:$C$40,CashFlow!$D$16:$D$40,CashFlowCalcs!$E679),B678)</f>
        <v>22</v>
      </c>
      <c r="C679" s="147" t="str">
        <f t="shared" si="208"/>
        <v>N</v>
      </c>
      <c r="D679" s="80">
        <f t="shared" si="209"/>
        <v>454</v>
      </c>
      <c r="E679" s="81">
        <f t="shared" si="214"/>
        <v>45029</v>
      </c>
      <c r="F679" s="80">
        <f t="shared" si="211"/>
        <v>-0.31360946745562135</v>
      </c>
      <c r="G679" s="119">
        <f t="shared" si="204"/>
        <v>0.37979867007960066</v>
      </c>
      <c r="H679" s="125">
        <f t="shared" si="212"/>
        <v>45029</v>
      </c>
      <c r="I679" s="82">
        <f t="shared" si="200"/>
        <v>0.95208075274176807</v>
      </c>
      <c r="J679" s="126">
        <f t="shared" si="205"/>
        <v>8682809.1463334374</v>
      </c>
      <c r="K679" s="139">
        <f t="shared" si="201"/>
        <v>0</v>
      </c>
      <c r="L679" s="83">
        <f t="shared" si="199"/>
        <v>8682809.1463334374</v>
      </c>
      <c r="M679" s="80">
        <f t="shared" si="206"/>
        <v>454</v>
      </c>
      <c r="N679" s="157">
        <f t="shared" si="215"/>
        <v>0</v>
      </c>
      <c r="O679" s="140">
        <f t="shared" si="202"/>
        <v>0</v>
      </c>
      <c r="P679" s="149">
        <v>0</v>
      </c>
      <c r="Q679" s="163">
        <f t="shared" si="207"/>
        <v>454</v>
      </c>
      <c r="R679" s="150">
        <f t="shared" si="203"/>
        <v>0</v>
      </c>
      <c r="S679" s="164">
        <f t="shared" si="196"/>
        <v>9119824.2599999998</v>
      </c>
    </row>
    <row r="680" spans="1:19" x14ac:dyDescent="0.25">
      <c r="A680" s="80" t="str">
        <f t="shared" si="213"/>
        <v>Fri</v>
      </c>
      <c r="B680" s="147">
        <f>IF(SUMIFS(CashFlow!$C$16:$C$40,CashFlow!$D$16:$D$40,CashFlowCalcs!$E680)&gt;0,SUMIFS(CashFlow!$C$16:$C$40,CashFlow!$D$16:$D$40,CashFlowCalcs!$E680),B679)</f>
        <v>22</v>
      </c>
      <c r="C680" s="147" t="str">
        <f t="shared" si="208"/>
        <v>N</v>
      </c>
      <c r="D680" s="80">
        <f t="shared" si="209"/>
        <v>455</v>
      </c>
      <c r="E680" s="81">
        <f t="shared" si="214"/>
        <v>45030</v>
      </c>
      <c r="F680" s="80">
        <f t="shared" si="211"/>
        <v>-0.30769230769230749</v>
      </c>
      <c r="G680" s="119">
        <f t="shared" si="204"/>
        <v>0.38049744699405119</v>
      </c>
      <c r="H680" s="125">
        <f t="shared" si="212"/>
        <v>45030</v>
      </c>
      <c r="I680" s="82">
        <f t="shared" si="200"/>
        <v>0.95383244937243084</v>
      </c>
      <c r="J680" s="126">
        <f t="shared" si="205"/>
        <v>8698784.3117619157</v>
      </c>
      <c r="K680" s="139">
        <f t="shared" si="201"/>
        <v>0</v>
      </c>
      <c r="L680" s="83">
        <f t="shared" si="199"/>
        <v>8698784.3117619157</v>
      </c>
      <c r="M680" s="80">
        <f t="shared" si="206"/>
        <v>455</v>
      </c>
      <c r="N680" s="157">
        <f t="shared" si="215"/>
        <v>0</v>
      </c>
      <c r="O680" s="140">
        <f t="shared" si="202"/>
        <v>0</v>
      </c>
      <c r="P680" s="149">
        <v>0</v>
      </c>
      <c r="Q680" s="163">
        <f t="shared" si="207"/>
        <v>455</v>
      </c>
      <c r="R680" s="150">
        <f t="shared" si="203"/>
        <v>0</v>
      </c>
      <c r="S680" s="164">
        <f t="shared" si="196"/>
        <v>9119824.2599999998</v>
      </c>
    </row>
    <row r="681" spans="1:19" x14ac:dyDescent="0.25">
      <c r="A681" s="80" t="str">
        <f t="shared" si="213"/>
        <v>Sat</v>
      </c>
      <c r="B681" s="147">
        <f>IF(SUMIFS(CashFlow!$C$16:$C$40,CashFlow!$D$16:$D$40,CashFlowCalcs!$E681)&gt;0,SUMIFS(CashFlow!$C$16:$C$40,CashFlow!$D$16:$D$40,CashFlowCalcs!$E681),B680)</f>
        <v>22</v>
      </c>
      <c r="C681" s="147" t="str">
        <f t="shared" si="208"/>
        <v>Y</v>
      </c>
      <c r="D681" s="80">
        <f t="shared" si="209"/>
        <v>455</v>
      </c>
      <c r="E681" s="81">
        <f t="shared" si="214"/>
        <v>45031</v>
      </c>
      <c r="F681" s="80">
        <f t="shared" si="211"/>
        <v>-0.30769230769230749</v>
      </c>
      <c r="G681" s="119">
        <f t="shared" si="204"/>
        <v>0.38049744699405119</v>
      </c>
      <c r="H681" s="125">
        <f t="shared" si="212"/>
        <v>45031</v>
      </c>
      <c r="I681" s="82">
        <f t="shared" si="200"/>
        <v>0.95383244937243084</v>
      </c>
      <c r="J681" s="126">
        <f t="shared" si="205"/>
        <v>8698784.3117619157</v>
      </c>
      <c r="K681" s="139">
        <f t="shared" si="201"/>
        <v>0</v>
      </c>
      <c r="L681" s="83">
        <f t="shared" si="199"/>
        <v>8698784.3117619157</v>
      </c>
      <c r="M681" s="80">
        <f t="shared" si="206"/>
        <v>455</v>
      </c>
      <c r="N681" s="157">
        <f t="shared" si="215"/>
        <v>0</v>
      </c>
      <c r="O681" s="140">
        <f t="shared" si="202"/>
        <v>0</v>
      </c>
      <c r="P681" s="149">
        <v>0</v>
      </c>
      <c r="Q681" s="163">
        <f t="shared" si="207"/>
        <v>455</v>
      </c>
      <c r="R681" s="150">
        <f t="shared" si="203"/>
        <v>0</v>
      </c>
      <c r="S681" s="164">
        <f t="shared" si="196"/>
        <v>9119824.2599999998</v>
      </c>
    </row>
    <row r="682" spans="1:19" x14ac:dyDescent="0.25">
      <c r="A682" s="80" t="str">
        <f t="shared" si="213"/>
        <v>Sun</v>
      </c>
      <c r="B682" s="147">
        <f>IF(SUMIFS(CashFlow!$C$16:$C$40,CashFlow!$D$16:$D$40,CashFlowCalcs!$E682)&gt;0,SUMIFS(CashFlow!$C$16:$C$40,CashFlow!$D$16:$D$40,CashFlowCalcs!$E682),B681)</f>
        <v>22</v>
      </c>
      <c r="C682" s="147" t="str">
        <f t="shared" si="208"/>
        <v>Y</v>
      </c>
      <c r="D682" s="80">
        <f t="shared" si="209"/>
        <v>455</v>
      </c>
      <c r="E682" s="81">
        <f t="shared" si="214"/>
        <v>45032</v>
      </c>
      <c r="F682" s="80">
        <f t="shared" si="211"/>
        <v>-0.30769230769230749</v>
      </c>
      <c r="G682" s="119">
        <f t="shared" si="204"/>
        <v>0.38049744699405119</v>
      </c>
      <c r="H682" s="125">
        <f t="shared" si="212"/>
        <v>45032</v>
      </c>
      <c r="I682" s="82">
        <f t="shared" si="200"/>
        <v>0.95383244937243084</v>
      </c>
      <c r="J682" s="126">
        <f t="shared" si="205"/>
        <v>8698784.3117619157</v>
      </c>
      <c r="K682" s="139">
        <f t="shared" si="201"/>
        <v>0</v>
      </c>
      <c r="L682" s="83">
        <f t="shared" si="199"/>
        <v>8698784.3117619157</v>
      </c>
      <c r="M682" s="80">
        <f t="shared" si="206"/>
        <v>455</v>
      </c>
      <c r="N682" s="157">
        <f t="shared" si="215"/>
        <v>0</v>
      </c>
      <c r="O682" s="140">
        <f t="shared" si="202"/>
        <v>0</v>
      </c>
      <c r="P682" s="149">
        <v>0</v>
      </c>
      <c r="Q682" s="163">
        <f t="shared" si="207"/>
        <v>455</v>
      </c>
      <c r="R682" s="150">
        <f t="shared" si="203"/>
        <v>0</v>
      </c>
      <c r="S682" s="164">
        <f t="shared" si="196"/>
        <v>9119824.2599999998</v>
      </c>
    </row>
    <row r="683" spans="1:19" x14ac:dyDescent="0.25">
      <c r="A683" s="80" t="str">
        <f t="shared" si="213"/>
        <v>Mon</v>
      </c>
      <c r="B683" s="147">
        <f>IF(SUMIFS(CashFlow!$C$16:$C$40,CashFlow!$D$16:$D$40,CashFlowCalcs!$E683)&gt;0,SUMIFS(CashFlow!$C$16:$C$40,CashFlow!$D$16:$D$40,CashFlowCalcs!$E683),B682)</f>
        <v>22</v>
      </c>
      <c r="C683" s="147" t="str">
        <f t="shared" si="208"/>
        <v>N</v>
      </c>
      <c r="D683" s="80">
        <f t="shared" si="209"/>
        <v>456</v>
      </c>
      <c r="E683" s="81">
        <f t="shared" si="214"/>
        <v>45033</v>
      </c>
      <c r="F683" s="80">
        <f t="shared" si="211"/>
        <v>-0.30177514792899407</v>
      </c>
      <c r="G683" s="119">
        <f t="shared" si="204"/>
        <v>0.38118416301041708</v>
      </c>
      <c r="H683" s="125">
        <f t="shared" si="212"/>
        <v>45033</v>
      </c>
      <c r="I683" s="82">
        <f t="shared" si="200"/>
        <v>0.9555539116978371</v>
      </c>
      <c r="J683" s="126">
        <f t="shared" si="205"/>
        <v>8714483.7456398327</v>
      </c>
      <c r="K683" s="139">
        <f t="shared" si="201"/>
        <v>0</v>
      </c>
      <c r="L683" s="83">
        <f t="shared" si="199"/>
        <v>8714483.7456398327</v>
      </c>
      <c r="M683" s="80">
        <f t="shared" si="206"/>
        <v>456</v>
      </c>
      <c r="N683" s="157">
        <f t="shared" si="215"/>
        <v>0</v>
      </c>
      <c r="O683" s="140">
        <f t="shared" si="202"/>
        <v>0</v>
      </c>
      <c r="P683" s="149">
        <v>0</v>
      </c>
      <c r="Q683" s="163">
        <f t="shared" si="207"/>
        <v>456</v>
      </c>
      <c r="R683" s="150">
        <f t="shared" si="203"/>
        <v>0</v>
      </c>
      <c r="S683" s="164">
        <f t="shared" si="196"/>
        <v>9119824.2599999998</v>
      </c>
    </row>
    <row r="684" spans="1:19" x14ac:dyDescent="0.25">
      <c r="A684" s="80" t="str">
        <f t="shared" si="213"/>
        <v>Tues</v>
      </c>
      <c r="B684" s="147">
        <f>IF(SUMIFS(CashFlow!$C$16:$C$40,CashFlow!$D$16:$D$40,CashFlowCalcs!$E684)&gt;0,SUMIFS(CashFlow!$C$16:$C$40,CashFlow!$D$16:$D$40,CashFlowCalcs!$E684),B683)</f>
        <v>22</v>
      </c>
      <c r="C684" s="147" t="str">
        <f t="shared" si="208"/>
        <v>N</v>
      </c>
      <c r="D684" s="80">
        <f t="shared" si="209"/>
        <v>457</v>
      </c>
      <c r="E684" s="81">
        <f t="shared" si="214"/>
        <v>45034</v>
      </c>
      <c r="F684" s="80">
        <f t="shared" si="211"/>
        <v>-0.29585798816568021</v>
      </c>
      <c r="G684" s="119">
        <f t="shared" si="204"/>
        <v>0.38185874823114813</v>
      </c>
      <c r="H684" s="125">
        <f t="shared" si="212"/>
        <v>45034</v>
      </c>
      <c r="I684" s="82">
        <f t="shared" si="200"/>
        <v>0.95724496449854202</v>
      </c>
      <c r="J684" s="126">
        <f t="shared" si="205"/>
        <v>8729905.8499966413</v>
      </c>
      <c r="K684" s="139">
        <f t="shared" si="201"/>
        <v>0</v>
      </c>
      <c r="L684" s="83">
        <f t="shared" si="199"/>
        <v>8729905.8499966413</v>
      </c>
      <c r="M684" s="80">
        <f t="shared" si="206"/>
        <v>457</v>
      </c>
      <c r="N684" s="157">
        <f t="shared" si="215"/>
        <v>0</v>
      </c>
      <c r="O684" s="140">
        <f t="shared" si="202"/>
        <v>0</v>
      </c>
      <c r="P684" s="149">
        <v>0</v>
      </c>
      <c r="Q684" s="163">
        <f t="shared" si="207"/>
        <v>457</v>
      </c>
      <c r="R684" s="150">
        <f t="shared" si="203"/>
        <v>0</v>
      </c>
      <c r="S684" s="164">
        <f t="shared" si="196"/>
        <v>9119824.2599999998</v>
      </c>
    </row>
    <row r="685" spans="1:19" x14ac:dyDescent="0.25">
      <c r="A685" s="80" t="str">
        <f t="shared" si="213"/>
        <v>Wed</v>
      </c>
      <c r="B685" s="147">
        <f>IF(SUMIFS(CashFlow!$C$16:$C$40,CashFlow!$D$16:$D$40,CashFlowCalcs!$E685)&gt;0,SUMIFS(CashFlow!$C$16:$C$40,CashFlow!$D$16:$D$40,CashFlowCalcs!$E685),B684)</f>
        <v>22</v>
      </c>
      <c r="C685" s="147" t="str">
        <f t="shared" si="208"/>
        <v>N</v>
      </c>
      <c r="D685" s="80">
        <f t="shared" si="209"/>
        <v>458</v>
      </c>
      <c r="E685" s="81">
        <f t="shared" si="214"/>
        <v>45035</v>
      </c>
      <c r="F685" s="80">
        <f t="shared" si="211"/>
        <v>-0.28994082840236679</v>
      </c>
      <c r="G685" s="119">
        <f t="shared" si="204"/>
        <v>0.38252113390908171</v>
      </c>
      <c r="H685" s="125">
        <f t="shared" si="212"/>
        <v>45035</v>
      </c>
      <c r="I685" s="82">
        <f t="shared" si="200"/>
        <v>0.95890543543889628</v>
      </c>
      <c r="J685" s="126">
        <f t="shared" si="205"/>
        <v>8745049.0531615093</v>
      </c>
      <c r="K685" s="139">
        <f t="shared" si="201"/>
        <v>0</v>
      </c>
      <c r="L685" s="83">
        <f t="shared" si="199"/>
        <v>8745049.0531615093</v>
      </c>
      <c r="M685" s="80">
        <f t="shared" si="206"/>
        <v>458</v>
      </c>
      <c r="N685" s="157">
        <f t="shared" si="215"/>
        <v>0</v>
      </c>
      <c r="O685" s="140">
        <f t="shared" si="202"/>
        <v>0</v>
      </c>
      <c r="P685" s="149">
        <v>0</v>
      </c>
      <c r="Q685" s="163">
        <f t="shared" si="207"/>
        <v>458</v>
      </c>
      <c r="R685" s="150">
        <f t="shared" si="203"/>
        <v>0</v>
      </c>
      <c r="S685" s="164">
        <f t="shared" si="196"/>
        <v>9119824.2599999998</v>
      </c>
    </row>
    <row r="686" spans="1:19" x14ac:dyDescent="0.25">
      <c r="A686" s="80" t="str">
        <f t="shared" si="213"/>
        <v>Thu</v>
      </c>
      <c r="B686" s="147">
        <f>IF(SUMIFS(CashFlow!$C$16:$C$40,CashFlow!$D$16:$D$40,CashFlowCalcs!$E686)&gt;0,SUMIFS(CashFlow!$C$16:$C$40,CashFlow!$D$16:$D$40,CashFlowCalcs!$E686),B685)</f>
        <v>22</v>
      </c>
      <c r="C686" s="147" t="str">
        <f t="shared" si="208"/>
        <v>N</v>
      </c>
      <c r="D686" s="80">
        <f t="shared" si="209"/>
        <v>459</v>
      </c>
      <c r="E686" s="81">
        <f t="shared" si="214"/>
        <v>45036</v>
      </c>
      <c r="F686" s="80">
        <f t="shared" si="211"/>
        <v>-0.28402366863905337</v>
      </c>
      <c r="G686" s="119">
        <f t="shared" si="204"/>
        <v>0.38317125245911537</v>
      </c>
      <c r="H686" s="125">
        <f t="shared" si="212"/>
        <v>45036</v>
      </c>
      <c r="I686" s="82">
        <f t="shared" si="200"/>
        <v>0.9605351550963076</v>
      </c>
      <c r="J686" s="126">
        <f t="shared" si="205"/>
        <v>8759911.8100301679</v>
      </c>
      <c r="K686" s="139">
        <f t="shared" si="201"/>
        <v>0</v>
      </c>
      <c r="L686" s="83">
        <f t="shared" si="199"/>
        <v>8759911.8100301679</v>
      </c>
      <c r="M686" s="80">
        <f t="shared" si="206"/>
        <v>459</v>
      </c>
      <c r="N686" s="157">
        <f t="shared" si="215"/>
        <v>0</v>
      </c>
      <c r="O686" s="140">
        <f t="shared" si="202"/>
        <v>0</v>
      </c>
      <c r="P686" s="149">
        <v>0</v>
      </c>
      <c r="Q686" s="163">
        <f t="shared" si="207"/>
        <v>459</v>
      </c>
      <c r="R686" s="150">
        <f t="shared" si="203"/>
        <v>0</v>
      </c>
      <c r="S686" s="164">
        <f t="shared" si="196"/>
        <v>9119824.2599999998</v>
      </c>
    </row>
    <row r="687" spans="1:19" x14ac:dyDescent="0.25">
      <c r="A687" s="80" t="str">
        <f t="shared" si="213"/>
        <v>Fri</v>
      </c>
      <c r="B687" s="147">
        <f>IF(SUMIFS(CashFlow!$C$16:$C$40,CashFlow!$D$16:$D$40,CashFlowCalcs!$E687)&gt;0,SUMIFS(CashFlow!$C$16:$C$40,CashFlow!$D$16:$D$40,CashFlowCalcs!$E687),B686)</f>
        <v>22</v>
      </c>
      <c r="C687" s="147" t="str">
        <f t="shared" si="208"/>
        <v>N</v>
      </c>
      <c r="D687" s="80">
        <f t="shared" si="209"/>
        <v>460</v>
      </c>
      <c r="E687" s="81">
        <f t="shared" si="214"/>
        <v>45037</v>
      </c>
      <c r="F687" s="80">
        <f t="shared" si="211"/>
        <v>-0.27810650887573996</v>
      </c>
      <c r="G687" s="119">
        <f t="shared" si="204"/>
        <v>0.38380903746969575</v>
      </c>
      <c r="H687" s="125">
        <f t="shared" si="212"/>
        <v>45037</v>
      </c>
      <c r="I687" s="82">
        <f t="shared" si="200"/>
        <v>0.96213395699004123</v>
      </c>
      <c r="J687" s="126">
        <f t="shared" si="205"/>
        <v>8774492.602327574</v>
      </c>
      <c r="K687" s="139">
        <f t="shared" si="201"/>
        <v>0</v>
      </c>
      <c r="L687" s="83">
        <f t="shared" si="199"/>
        <v>8774492.602327574</v>
      </c>
      <c r="M687" s="80">
        <f t="shared" si="206"/>
        <v>460</v>
      </c>
      <c r="N687" s="157">
        <f t="shared" si="215"/>
        <v>0</v>
      </c>
      <c r="O687" s="140">
        <f t="shared" si="202"/>
        <v>0</v>
      </c>
      <c r="P687" s="149">
        <v>0</v>
      </c>
      <c r="Q687" s="163">
        <f t="shared" si="207"/>
        <v>460</v>
      </c>
      <c r="R687" s="150">
        <f t="shared" si="203"/>
        <v>0</v>
      </c>
      <c r="S687" s="164">
        <f t="shared" si="196"/>
        <v>9119824.2599999998</v>
      </c>
    </row>
    <row r="688" spans="1:19" x14ac:dyDescent="0.25">
      <c r="A688" s="80" t="str">
        <f t="shared" si="213"/>
        <v>Sat</v>
      </c>
      <c r="B688" s="147">
        <f>IF(SUMIFS(CashFlow!$C$16:$C$40,CashFlow!$D$16:$D$40,CashFlowCalcs!$E688)&gt;0,SUMIFS(CashFlow!$C$16:$C$40,CashFlow!$D$16:$D$40,CashFlowCalcs!$E688),B687)</f>
        <v>22</v>
      </c>
      <c r="C688" s="147" t="str">
        <f t="shared" si="208"/>
        <v>Y</v>
      </c>
      <c r="D688" s="80">
        <f t="shared" si="209"/>
        <v>460</v>
      </c>
      <c r="E688" s="81">
        <f t="shared" si="214"/>
        <v>45038</v>
      </c>
      <c r="F688" s="80">
        <f t="shared" si="211"/>
        <v>-0.27810650887573996</v>
      </c>
      <c r="G688" s="119">
        <f t="shared" si="204"/>
        <v>0.38380903746969575</v>
      </c>
      <c r="H688" s="125">
        <f t="shared" si="212"/>
        <v>45038</v>
      </c>
      <c r="I688" s="82">
        <f t="shared" si="200"/>
        <v>0.96213395699004123</v>
      </c>
      <c r="J688" s="126">
        <f t="shared" si="205"/>
        <v>8774492.602327574</v>
      </c>
      <c r="K688" s="139">
        <f t="shared" si="201"/>
        <v>0</v>
      </c>
      <c r="L688" s="83">
        <f t="shared" si="199"/>
        <v>8774492.602327574</v>
      </c>
      <c r="M688" s="80">
        <f t="shared" si="206"/>
        <v>460</v>
      </c>
      <c r="N688" s="157">
        <f t="shared" si="215"/>
        <v>0</v>
      </c>
      <c r="O688" s="140">
        <f t="shared" si="202"/>
        <v>0</v>
      </c>
      <c r="P688" s="149">
        <v>0</v>
      </c>
      <c r="Q688" s="163">
        <f t="shared" si="207"/>
        <v>460</v>
      </c>
      <c r="R688" s="150">
        <f t="shared" si="203"/>
        <v>0</v>
      </c>
      <c r="S688" s="164">
        <f t="shared" si="196"/>
        <v>9119824.2599999998</v>
      </c>
    </row>
    <row r="689" spans="1:19" x14ac:dyDescent="0.25">
      <c r="A689" s="80" t="str">
        <f t="shared" si="213"/>
        <v>Sun</v>
      </c>
      <c r="B689" s="147">
        <f>IF(SUMIFS(CashFlow!$C$16:$C$40,CashFlow!$D$16:$D$40,CashFlowCalcs!$E689)&gt;0,SUMIFS(CashFlow!$C$16:$C$40,CashFlow!$D$16:$D$40,CashFlowCalcs!$E689),B688)</f>
        <v>22</v>
      </c>
      <c r="C689" s="147" t="str">
        <f t="shared" si="208"/>
        <v>Y</v>
      </c>
      <c r="D689" s="80">
        <f t="shared" si="209"/>
        <v>460</v>
      </c>
      <c r="E689" s="81">
        <f t="shared" si="214"/>
        <v>45039</v>
      </c>
      <c r="F689" s="80">
        <f t="shared" si="211"/>
        <v>-0.27810650887573996</v>
      </c>
      <c r="G689" s="119">
        <f t="shared" si="204"/>
        <v>0.38380903746969575</v>
      </c>
      <c r="H689" s="125">
        <f t="shared" si="212"/>
        <v>45039</v>
      </c>
      <c r="I689" s="82">
        <f t="shared" si="200"/>
        <v>0.96213395699004123</v>
      </c>
      <c r="J689" s="126">
        <f t="shared" si="205"/>
        <v>8774492.602327574</v>
      </c>
      <c r="K689" s="139">
        <f t="shared" si="201"/>
        <v>0</v>
      </c>
      <c r="L689" s="83">
        <f t="shared" si="199"/>
        <v>8774492.602327574</v>
      </c>
      <c r="M689" s="80">
        <f t="shared" si="206"/>
        <v>460</v>
      </c>
      <c r="N689" s="157">
        <f t="shared" si="215"/>
        <v>0</v>
      </c>
      <c r="O689" s="140">
        <f t="shared" si="202"/>
        <v>0</v>
      </c>
      <c r="P689" s="149">
        <v>0</v>
      </c>
      <c r="Q689" s="163">
        <f t="shared" si="207"/>
        <v>460</v>
      </c>
      <c r="R689" s="150">
        <f t="shared" si="203"/>
        <v>0</v>
      </c>
      <c r="S689" s="164">
        <f t="shared" si="196"/>
        <v>9119824.2599999998</v>
      </c>
    </row>
    <row r="690" spans="1:19" x14ac:dyDescent="0.25">
      <c r="A690" s="80" t="str">
        <f t="shared" si="213"/>
        <v>Mon</v>
      </c>
      <c r="B690" s="147">
        <f>IF(SUMIFS(CashFlow!$C$16:$C$40,CashFlow!$D$16:$D$40,CashFlowCalcs!$E690)&gt;0,SUMIFS(CashFlow!$C$16:$C$40,CashFlow!$D$16:$D$40,CashFlowCalcs!$E690),B689)</f>
        <v>22</v>
      </c>
      <c r="C690" s="147" t="str">
        <f t="shared" si="208"/>
        <v>N</v>
      </c>
      <c r="D690" s="80">
        <f t="shared" si="209"/>
        <v>461</v>
      </c>
      <c r="E690" s="81">
        <f t="shared" si="214"/>
        <v>45040</v>
      </c>
      <c r="F690" s="80">
        <f t="shared" si="211"/>
        <v>-0.27218934911242609</v>
      </c>
      <c r="G690" s="119">
        <f t="shared" si="204"/>
        <v>0.38443442371412162</v>
      </c>
      <c r="H690" s="125">
        <f t="shared" si="212"/>
        <v>45040</v>
      </c>
      <c r="I690" s="82">
        <f t="shared" si="200"/>
        <v>0.96370167760955405</v>
      </c>
      <c r="J690" s="126">
        <f t="shared" si="205"/>
        <v>8788789.9388663098</v>
      </c>
      <c r="K690" s="139">
        <f t="shared" si="201"/>
        <v>0</v>
      </c>
      <c r="L690" s="83">
        <f t="shared" si="199"/>
        <v>8788789.9388663098</v>
      </c>
      <c r="M690" s="80">
        <f t="shared" si="206"/>
        <v>461</v>
      </c>
      <c r="N690" s="157">
        <f t="shared" si="215"/>
        <v>0</v>
      </c>
      <c r="O690" s="140">
        <f t="shared" si="202"/>
        <v>0</v>
      </c>
      <c r="P690" s="149">
        <v>0</v>
      </c>
      <c r="Q690" s="163">
        <f t="shared" si="207"/>
        <v>461</v>
      </c>
      <c r="R690" s="150">
        <f t="shared" si="203"/>
        <v>0</v>
      </c>
      <c r="S690" s="164">
        <f t="shared" si="196"/>
        <v>9119824.2599999998</v>
      </c>
    </row>
    <row r="691" spans="1:19" x14ac:dyDescent="0.25">
      <c r="A691" s="80" t="str">
        <f t="shared" si="213"/>
        <v>Tues</v>
      </c>
      <c r="B691" s="147">
        <f>IF(SUMIFS(CashFlow!$C$16:$C$40,CashFlow!$D$16:$D$40,CashFlowCalcs!$E691)&gt;0,SUMIFS(CashFlow!$C$16:$C$40,CashFlow!$D$16:$D$40,CashFlowCalcs!$E691),B690)</f>
        <v>22</v>
      </c>
      <c r="C691" s="147" t="str">
        <f t="shared" si="208"/>
        <v>N</v>
      </c>
      <c r="D691" s="80">
        <f t="shared" si="209"/>
        <v>462</v>
      </c>
      <c r="E691" s="81">
        <f t="shared" si="214"/>
        <v>45041</v>
      </c>
      <c r="F691" s="80">
        <f t="shared" si="211"/>
        <v>-0.26627218934911223</v>
      </c>
      <c r="G691" s="119">
        <f t="shared" si="204"/>
        <v>0.38504734716165856</v>
      </c>
      <c r="H691" s="125">
        <f t="shared" si="212"/>
        <v>45041</v>
      </c>
      <c r="I691" s="82">
        <f t="shared" si="200"/>
        <v>0.96523815644235711</v>
      </c>
      <c r="J691" s="126">
        <f t="shared" si="205"/>
        <v>8802802.3558006827</v>
      </c>
      <c r="K691" s="139">
        <f t="shared" si="201"/>
        <v>0</v>
      </c>
      <c r="L691" s="83">
        <f t="shared" si="199"/>
        <v>8802802.3558006827</v>
      </c>
      <c r="M691" s="80">
        <f t="shared" si="206"/>
        <v>462</v>
      </c>
      <c r="N691" s="157">
        <f t="shared" si="215"/>
        <v>0</v>
      </c>
      <c r="O691" s="140">
        <f t="shared" si="202"/>
        <v>0</v>
      </c>
      <c r="P691" s="149">
        <v>0</v>
      </c>
      <c r="Q691" s="163">
        <f t="shared" si="207"/>
        <v>462</v>
      </c>
      <c r="R691" s="150">
        <f t="shared" si="203"/>
        <v>0</v>
      </c>
      <c r="S691" s="164">
        <f t="shared" ref="S691:S750" si="216">(1-(IF(AND(R691=1,D690&lt;$I$2),(1-I690)/(1-VLOOKUP($K$6,$D$17:$I$750,6)),0)))*$M$8</f>
        <v>9119824.2599999998</v>
      </c>
    </row>
    <row r="692" spans="1:19" x14ac:dyDescent="0.25">
      <c r="A692" s="80" t="str">
        <f t="shared" si="213"/>
        <v>Wed</v>
      </c>
      <c r="B692" s="147">
        <f>IF(SUMIFS(CashFlow!$C$16:$C$40,CashFlow!$D$16:$D$40,CashFlowCalcs!$E692)&gt;0,SUMIFS(CashFlow!$C$16:$C$40,CashFlow!$D$16:$D$40,CashFlowCalcs!$E692),B691)</f>
        <v>22</v>
      </c>
      <c r="C692" s="147" t="str">
        <f t="shared" si="208"/>
        <v>N</v>
      </c>
      <c r="D692" s="80">
        <f t="shared" si="209"/>
        <v>463</v>
      </c>
      <c r="E692" s="81">
        <f t="shared" ref="E692:E707" si="217">E691+1</f>
        <v>45042</v>
      </c>
      <c r="F692" s="80">
        <f t="shared" si="211"/>
        <v>-0.26035502958579881</v>
      </c>
      <c r="G692" s="119">
        <f t="shared" si="204"/>
        <v>0.38564774498846216</v>
      </c>
      <c r="H692" s="125">
        <f t="shared" si="212"/>
        <v>45042</v>
      </c>
      <c r="I692" s="82">
        <f t="shared" si="200"/>
        <v>0.96674323600139789</v>
      </c>
      <c r="J692" s="126">
        <f t="shared" si="205"/>
        <v>8816528.4168764539</v>
      </c>
      <c r="K692" s="139">
        <f t="shared" si="201"/>
        <v>0</v>
      </c>
      <c r="L692" s="83">
        <f t="shared" si="199"/>
        <v>8816528.4168764539</v>
      </c>
      <c r="M692" s="80">
        <f t="shared" si="206"/>
        <v>463</v>
      </c>
      <c r="N692" s="157">
        <f t="shared" si="215"/>
        <v>0</v>
      </c>
      <c r="O692" s="140">
        <f t="shared" si="202"/>
        <v>0</v>
      </c>
      <c r="P692" s="149">
        <v>0</v>
      </c>
      <c r="Q692" s="163">
        <f t="shared" si="207"/>
        <v>463</v>
      </c>
      <c r="R692" s="150">
        <f t="shared" si="203"/>
        <v>0</v>
      </c>
      <c r="S692" s="164">
        <f t="shared" si="216"/>
        <v>9119824.2599999998</v>
      </c>
    </row>
    <row r="693" spans="1:19" x14ac:dyDescent="0.25">
      <c r="A693" s="80" t="str">
        <f t="shared" si="213"/>
        <v>Thu</v>
      </c>
      <c r="B693" s="147">
        <f>IF(SUMIFS(CashFlow!$C$16:$C$40,CashFlow!$D$16:$D$40,CashFlowCalcs!$E693)&gt;0,SUMIFS(CashFlow!$C$16:$C$40,CashFlow!$D$16:$D$40,CashFlowCalcs!$E693),B692)</f>
        <v>22</v>
      </c>
      <c r="C693" s="147" t="str">
        <f t="shared" si="208"/>
        <v>N</v>
      </c>
      <c r="D693" s="80">
        <f t="shared" si="209"/>
        <v>464</v>
      </c>
      <c r="E693" s="81">
        <f t="shared" si="217"/>
        <v>45043</v>
      </c>
      <c r="F693" s="80">
        <f t="shared" si="211"/>
        <v>-0.2544378698224854</v>
      </c>
      <c r="G693" s="119">
        <f t="shared" si="204"/>
        <v>0.38623555558830797</v>
      </c>
      <c r="H693" s="125">
        <f t="shared" si="212"/>
        <v>45043</v>
      </c>
      <c r="I693" s="82">
        <f t="shared" si="200"/>
        <v>0.96821676185195837</v>
      </c>
      <c r="J693" s="126">
        <f t="shared" si="205"/>
        <v>8829966.7136761323</v>
      </c>
      <c r="K693" s="139">
        <f t="shared" si="201"/>
        <v>0</v>
      </c>
      <c r="L693" s="83">
        <f t="shared" si="199"/>
        <v>8829966.7136761323</v>
      </c>
      <c r="M693" s="80">
        <f t="shared" si="206"/>
        <v>464</v>
      </c>
      <c r="N693" s="157">
        <f t="shared" si="215"/>
        <v>0</v>
      </c>
      <c r="O693" s="140">
        <f t="shared" si="202"/>
        <v>0</v>
      </c>
      <c r="P693" s="149">
        <v>0</v>
      </c>
      <c r="Q693" s="163">
        <f t="shared" si="207"/>
        <v>464</v>
      </c>
      <c r="R693" s="150">
        <f t="shared" si="203"/>
        <v>0</v>
      </c>
      <c r="S693" s="164">
        <f t="shared" si="216"/>
        <v>9119824.2599999998</v>
      </c>
    </row>
    <row r="694" spans="1:19" x14ac:dyDescent="0.25">
      <c r="A694" s="80" t="str">
        <f t="shared" si="213"/>
        <v>Fri</v>
      </c>
      <c r="B694" s="147">
        <f>IF(SUMIFS(CashFlow!$C$16:$C$40,CashFlow!$D$16:$D$40,CashFlowCalcs!$E694)&gt;0,SUMIFS(CashFlow!$C$16:$C$40,CashFlow!$D$16:$D$40,CashFlowCalcs!$E694),B693)</f>
        <v>22</v>
      </c>
      <c r="C694" s="147" t="str">
        <f t="shared" si="208"/>
        <v>N</v>
      </c>
      <c r="D694" s="80">
        <f t="shared" si="209"/>
        <v>465</v>
      </c>
      <c r="E694" s="81">
        <f t="shared" si="217"/>
        <v>45044</v>
      </c>
      <c r="F694" s="80">
        <f t="shared" si="211"/>
        <v>-0.24852071005917153</v>
      </c>
      <c r="G694" s="119">
        <f t="shared" si="204"/>
        <v>0.38681071858312421</v>
      </c>
      <c r="H694" s="125">
        <f t="shared" si="212"/>
        <v>45044</v>
      </c>
      <c r="I694" s="82">
        <f t="shared" si="200"/>
        <v>0.96965858263805826</v>
      </c>
      <c r="J694" s="126">
        <f t="shared" si="205"/>
        <v>8843115.8658597786</v>
      </c>
      <c r="K694" s="139">
        <f t="shared" si="201"/>
        <v>0</v>
      </c>
      <c r="L694" s="83">
        <f t="shared" si="199"/>
        <v>8843115.8658597786</v>
      </c>
      <c r="M694" s="80">
        <f t="shared" si="206"/>
        <v>465</v>
      </c>
      <c r="N694" s="157">
        <f t="shared" si="215"/>
        <v>0</v>
      </c>
      <c r="O694" s="140">
        <f t="shared" si="202"/>
        <v>0</v>
      </c>
      <c r="P694" s="149">
        <v>0</v>
      </c>
      <c r="Q694" s="163">
        <f t="shared" si="207"/>
        <v>465</v>
      </c>
      <c r="R694" s="150">
        <f t="shared" si="203"/>
        <v>0</v>
      </c>
      <c r="S694" s="164">
        <f t="shared" si="216"/>
        <v>9119824.2599999998</v>
      </c>
    </row>
    <row r="695" spans="1:19" x14ac:dyDescent="0.25">
      <c r="A695" s="80" t="str">
        <f t="shared" si="213"/>
        <v>Sat</v>
      </c>
      <c r="B695" s="147">
        <f>IF(SUMIFS(CashFlow!$C$16:$C$40,CashFlow!$D$16:$D$40,CashFlowCalcs!$E695)&gt;0,SUMIFS(CashFlow!$C$16:$C$40,CashFlow!$D$16:$D$40,CashFlowCalcs!$E695),B694)</f>
        <v>22</v>
      </c>
      <c r="C695" s="147" t="str">
        <f t="shared" si="208"/>
        <v>Y</v>
      </c>
      <c r="D695" s="80">
        <f t="shared" si="209"/>
        <v>465</v>
      </c>
      <c r="E695" s="81">
        <f t="shared" si="217"/>
        <v>45045</v>
      </c>
      <c r="F695" s="80">
        <f t="shared" si="211"/>
        <v>-0.24852071005917153</v>
      </c>
      <c r="G695" s="119">
        <f t="shared" si="204"/>
        <v>0.38681071858312421</v>
      </c>
      <c r="H695" s="125">
        <f t="shared" si="212"/>
        <v>45045</v>
      </c>
      <c r="I695" s="82">
        <f t="shared" si="200"/>
        <v>0.96965858263805826</v>
      </c>
      <c r="J695" s="126">
        <f t="shared" si="205"/>
        <v>8843115.8658597786</v>
      </c>
      <c r="K695" s="139">
        <f t="shared" si="201"/>
        <v>0</v>
      </c>
      <c r="L695" s="83">
        <f t="shared" si="199"/>
        <v>8843115.8658597786</v>
      </c>
      <c r="M695" s="80">
        <f t="shared" si="206"/>
        <v>465</v>
      </c>
      <c r="N695" s="157">
        <f t="shared" si="215"/>
        <v>0</v>
      </c>
      <c r="O695" s="140">
        <f t="shared" si="202"/>
        <v>0</v>
      </c>
      <c r="P695" s="149">
        <v>0</v>
      </c>
      <c r="Q695" s="163">
        <f t="shared" si="207"/>
        <v>465</v>
      </c>
      <c r="R695" s="150">
        <f t="shared" si="203"/>
        <v>0</v>
      </c>
      <c r="S695" s="164">
        <f t="shared" si="216"/>
        <v>9119824.2599999998</v>
      </c>
    </row>
    <row r="696" spans="1:19" x14ac:dyDescent="0.25">
      <c r="A696" s="80" t="str">
        <f t="shared" si="213"/>
        <v>Sun</v>
      </c>
      <c r="B696" s="147">
        <f>IF(SUMIFS(CashFlow!$C$16:$C$40,CashFlow!$D$16:$D$40,CashFlowCalcs!$E696)&gt;0,SUMIFS(CashFlow!$C$16:$C$40,CashFlow!$D$16:$D$40,CashFlowCalcs!$E696),B695)</f>
        <v>22</v>
      </c>
      <c r="C696" s="147" t="str">
        <f t="shared" si="208"/>
        <v>Y</v>
      </c>
      <c r="D696" s="80">
        <f t="shared" si="209"/>
        <v>465</v>
      </c>
      <c r="E696" s="81">
        <f t="shared" si="217"/>
        <v>45046</v>
      </c>
      <c r="F696" s="80">
        <f t="shared" si="211"/>
        <v>-0.24852071005917153</v>
      </c>
      <c r="G696" s="119">
        <f t="shared" si="204"/>
        <v>0.38681071858312421</v>
      </c>
      <c r="H696" s="125">
        <f t="shared" si="212"/>
        <v>45046</v>
      </c>
      <c r="I696" s="82">
        <f t="shared" si="200"/>
        <v>0.96965858263805826</v>
      </c>
      <c r="J696" s="126">
        <f t="shared" si="205"/>
        <v>8843115.8658597786</v>
      </c>
      <c r="K696" s="139">
        <f t="shared" si="201"/>
        <v>0</v>
      </c>
      <c r="L696" s="83">
        <f t="shared" si="199"/>
        <v>8843115.8658597786</v>
      </c>
      <c r="M696" s="80">
        <f t="shared" si="206"/>
        <v>465</v>
      </c>
      <c r="N696" s="157">
        <f t="shared" si="215"/>
        <v>0</v>
      </c>
      <c r="O696" s="140">
        <f t="shared" si="202"/>
        <v>0</v>
      </c>
      <c r="P696" s="149">
        <v>0</v>
      </c>
      <c r="Q696" s="163">
        <f t="shared" si="207"/>
        <v>465</v>
      </c>
      <c r="R696" s="150">
        <f t="shared" si="203"/>
        <v>0</v>
      </c>
      <c r="S696" s="164">
        <f t="shared" si="216"/>
        <v>9119824.2599999998</v>
      </c>
    </row>
    <row r="697" spans="1:19" x14ac:dyDescent="0.25">
      <c r="A697" s="80" t="str">
        <f t="shared" si="213"/>
        <v>Mon</v>
      </c>
      <c r="B697" s="147">
        <f>IF(SUMIFS(CashFlow!$C$16:$C$40,CashFlow!$D$16:$D$40,CashFlowCalcs!$E697)&gt;0,SUMIFS(CashFlow!$C$16:$C$40,CashFlow!$D$16:$D$40,CashFlowCalcs!$E697),B696)</f>
        <v>22</v>
      </c>
      <c r="C697" s="147" t="str">
        <f t="shared" si="208"/>
        <v>N</v>
      </c>
      <c r="D697" s="80">
        <f t="shared" si="209"/>
        <v>466</v>
      </c>
      <c r="E697" s="81">
        <f t="shared" si="217"/>
        <v>45047</v>
      </c>
      <c r="F697" s="80">
        <f t="shared" si="211"/>
        <v>-0.24260355029585767</v>
      </c>
      <c r="G697" s="119">
        <f t="shared" si="204"/>
        <v>0.38737317483332606</v>
      </c>
      <c r="H697" s="125">
        <f t="shared" si="212"/>
        <v>45047</v>
      </c>
      <c r="I697" s="82">
        <f t="shared" si="200"/>
        <v>0.97106855010836113</v>
      </c>
      <c r="J697" s="126">
        <f t="shared" si="205"/>
        <v>8855974.5214012563</v>
      </c>
      <c r="K697" s="139">
        <f t="shared" si="201"/>
        <v>0</v>
      </c>
      <c r="L697" s="83">
        <f t="shared" si="199"/>
        <v>8855974.5214012563</v>
      </c>
      <c r="M697" s="80">
        <f t="shared" si="206"/>
        <v>466</v>
      </c>
      <c r="N697" s="157">
        <f t="shared" si="215"/>
        <v>0</v>
      </c>
      <c r="O697" s="140">
        <f t="shared" si="202"/>
        <v>0</v>
      </c>
      <c r="P697" s="149">
        <v>0</v>
      </c>
      <c r="Q697" s="163">
        <f t="shared" si="207"/>
        <v>466</v>
      </c>
      <c r="R697" s="150">
        <f t="shared" si="203"/>
        <v>0</v>
      </c>
      <c r="S697" s="164">
        <f t="shared" si="216"/>
        <v>9119824.2599999998</v>
      </c>
    </row>
    <row r="698" spans="1:19" x14ac:dyDescent="0.25">
      <c r="A698" s="80" t="str">
        <f t="shared" si="213"/>
        <v>Tues</v>
      </c>
      <c r="B698" s="147">
        <f>IF(SUMIFS(CashFlow!$C$16:$C$40,CashFlow!$D$16:$D$40,CashFlowCalcs!$E698)&gt;0,SUMIFS(CashFlow!$C$16:$C$40,CashFlow!$D$16:$D$40,CashFlowCalcs!$E698),B697)</f>
        <v>22</v>
      </c>
      <c r="C698" s="147" t="str">
        <f t="shared" si="208"/>
        <v>N</v>
      </c>
      <c r="D698" s="80">
        <f t="shared" si="209"/>
        <v>467</v>
      </c>
      <c r="E698" s="81">
        <f t="shared" si="217"/>
        <v>45048</v>
      </c>
      <c r="F698" s="80">
        <f t="shared" si="211"/>
        <v>-0.23668639053254426</v>
      </c>
      <c r="G698" s="119">
        <f t="shared" si="204"/>
        <v>0.38792286644794832</v>
      </c>
      <c r="H698" s="125">
        <f t="shared" si="212"/>
        <v>45048</v>
      </c>
      <c r="I698" s="82">
        <f t="shared" si="200"/>
        <v>0.97244651914157465</v>
      </c>
      <c r="J698" s="126">
        <f t="shared" si="205"/>
        <v>8868541.3568198867</v>
      </c>
      <c r="K698" s="139">
        <f t="shared" si="201"/>
        <v>0</v>
      </c>
      <c r="L698" s="83">
        <f t="shared" si="199"/>
        <v>8868541.3568198867</v>
      </c>
      <c r="M698" s="80">
        <f t="shared" si="206"/>
        <v>467</v>
      </c>
      <c r="N698" s="157">
        <f t="shared" si="215"/>
        <v>0</v>
      </c>
      <c r="O698" s="140">
        <f t="shared" si="202"/>
        <v>0</v>
      </c>
      <c r="P698" s="149">
        <v>0</v>
      </c>
      <c r="Q698" s="163">
        <f t="shared" si="207"/>
        <v>467</v>
      </c>
      <c r="R698" s="150">
        <f t="shared" si="203"/>
        <v>0</v>
      </c>
      <c r="S698" s="164">
        <f t="shared" si="216"/>
        <v>9119824.2599999998</v>
      </c>
    </row>
    <row r="699" spans="1:19" x14ac:dyDescent="0.25">
      <c r="A699" s="80" t="str">
        <f t="shared" si="213"/>
        <v>Wed</v>
      </c>
      <c r="B699" s="147">
        <f>IF(SUMIFS(CashFlow!$C$16:$C$40,CashFlow!$D$16:$D$40,CashFlowCalcs!$E699)&gt;0,SUMIFS(CashFlow!$C$16:$C$40,CashFlow!$D$16:$D$40,CashFlowCalcs!$E699),B698)</f>
        <v>22</v>
      </c>
      <c r="C699" s="147" t="str">
        <f t="shared" si="208"/>
        <v>N</v>
      </c>
      <c r="D699" s="80">
        <f t="shared" si="209"/>
        <v>468</v>
      </c>
      <c r="E699" s="81">
        <f t="shared" si="217"/>
        <v>45049</v>
      </c>
      <c r="F699" s="80">
        <f t="shared" si="211"/>
        <v>-0.23076923076923084</v>
      </c>
      <c r="G699" s="119">
        <f t="shared" si="204"/>
        <v>0.38845973679457463</v>
      </c>
      <c r="H699" s="125">
        <f t="shared" si="212"/>
        <v>45049</v>
      </c>
      <c r="I699" s="82">
        <f t="shared" si="200"/>
        <v>0.97379234777134205</v>
      </c>
      <c r="J699" s="126">
        <f t="shared" si="205"/>
        <v>8880815.077407442</v>
      </c>
      <c r="K699" s="139">
        <f t="shared" si="201"/>
        <v>0</v>
      </c>
      <c r="L699" s="83">
        <f t="shared" si="199"/>
        <v>8880815.077407442</v>
      </c>
      <c r="M699" s="80">
        <f t="shared" si="206"/>
        <v>468</v>
      </c>
      <c r="N699" s="157">
        <f t="shared" si="215"/>
        <v>0</v>
      </c>
      <c r="O699" s="140">
        <f t="shared" si="202"/>
        <v>0</v>
      </c>
      <c r="P699" s="149">
        <v>0</v>
      </c>
      <c r="Q699" s="163">
        <f t="shared" si="207"/>
        <v>468</v>
      </c>
      <c r="R699" s="150">
        <f t="shared" si="203"/>
        <v>0</v>
      </c>
      <c r="S699" s="164">
        <f t="shared" si="216"/>
        <v>9119824.2599999998</v>
      </c>
    </row>
    <row r="700" spans="1:19" x14ac:dyDescent="0.25">
      <c r="A700" s="80" t="str">
        <f t="shared" si="213"/>
        <v>Thu</v>
      </c>
      <c r="B700" s="147">
        <f>IF(SUMIFS(CashFlow!$C$16:$C$40,CashFlow!$D$16:$D$40,CashFlowCalcs!$E700)&gt;0,SUMIFS(CashFlow!$C$16:$C$40,CashFlow!$D$16:$D$40,CashFlowCalcs!$E700),B699)</f>
        <v>22</v>
      </c>
      <c r="C700" s="147" t="str">
        <f t="shared" si="208"/>
        <v>N</v>
      </c>
      <c r="D700" s="80">
        <f t="shared" si="209"/>
        <v>469</v>
      </c>
      <c r="E700" s="81">
        <f t="shared" si="217"/>
        <v>45050</v>
      </c>
      <c r="F700" s="80">
        <f t="shared" si="211"/>
        <v>-0.22485207100591742</v>
      </c>
      <c r="G700" s="119">
        <f t="shared" si="204"/>
        <v>0.38898373050906027</v>
      </c>
      <c r="H700" s="125">
        <f t="shared" si="212"/>
        <v>45050</v>
      </c>
      <c r="I700" s="82">
        <f t="shared" si="200"/>
        <v>0.97510589721061436</v>
      </c>
      <c r="J700" s="126">
        <f t="shared" si="205"/>
        <v>8892794.4174504261</v>
      </c>
      <c r="K700" s="139">
        <f t="shared" si="201"/>
        <v>0</v>
      </c>
      <c r="L700" s="83">
        <f t="shared" si="199"/>
        <v>8892794.4174504261</v>
      </c>
      <c r="M700" s="80">
        <f t="shared" si="206"/>
        <v>469</v>
      </c>
      <c r="N700" s="157">
        <f t="shared" si="215"/>
        <v>0</v>
      </c>
      <c r="O700" s="140">
        <f t="shared" si="202"/>
        <v>0</v>
      </c>
      <c r="P700" s="149">
        <v>0</v>
      </c>
      <c r="Q700" s="163">
        <f t="shared" si="207"/>
        <v>469</v>
      </c>
      <c r="R700" s="150">
        <f t="shared" si="203"/>
        <v>0</v>
      </c>
      <c r="S700" s="164">
        <f t="shared" si="216"/>
        <v>9119824.2599999998</v>
      </c>
    </row>
    <row r="701" spans="1:19" x14ac:dyDescent="0.25">
      <c r="A701" s="80" t="str">
        <f t="shared" si="213"/>
        <v>Fri</v>
      </c>
      <c r="B701" s="147">
        <f>IF(SUMIFS(CashFlow!$C$16:$C$40,CashFlow!$D$16:$D$40,CashFlowCalcs!$E701)&gt;0,SUMIFS(CashFlow!$C$16:$C$40,CashFlow!$D$16:$D$40,CashFlowCalcs!$E701),B700)</f>
        <v>22</v>
      </c>
      <c r="C701" s="147" t="str">
        <f t="shared" si="208"/>
        <v>N</v>
      </c>
      <c r="D701" s="80">
        <f t="shared" si="209"/>
        <v>470</v>
      </c>
      <c r="E701" s="81">
        <f t="shared" si="217"/>
        <v>45051</v>
      </c>
      <c r="F701" s="80">
        <f t="shared" si="211"/>
        <v>-0.21893491124260356</v>
      </c>
      <c r="G701" s="119">
        <f t="shared" si="204"/>
        <v>0.38949479350504573</v>
      </c>
      <c r="H701" s="125">
        <f t="shared" si="212"/>
        <v>45051</v>
      </c>
      <c r="I701" s="82">
        <f t="shared" si="200"/>
        <v>0.97638703187549969</v>
      </c>
      <c r="J701" s="126">
        <f t="shared" si="205"/>
        <v>8904478.1404475756</v>
      </c>
      <c r="K701" s="139">
        <f t="shared" si="201"/>
        <v>0</v>
      </c>
      <c r="L701" s="83">
        <f t="shared" si="199"/>
        <v>8904478.1404475756</v>
      </c>
      <c r="M701" s="80">
        <f t="shared" si="206"/>
        <v>470</v>
      </c>
      <c r="N701" s="157">
        <f t="shared" si="215"/>
        <v>0</v>
      </c>
      <c r="O701" s="140">
        <f t="shared" si="202"/>
        <v>0</v>
      </c>
      <c r="P701" s="149">
        <v>0</v>
      </c>
      <c r="Q701" s="163">
        <f t="shared" si="207"/>
        <v>470</v>
      </c>
      <c r="R701" s="150">
        <f t="shared" si="203"/>
        <v>0</v>
      </c>
      <c r="S701" s="164">
        <f t="shared" si="216"/>
        <v>9119824.2599999998</v>
      </c>
    </row>
    <row r="702" spans="1:19" x14ac:dyDescent="0.25">
      <c r="A702" s="80" t="str">
        <f t="shared" si="213"/>
        <v>Sat</v>
      </c>
      <c r="B702" s="147">
        <f>IF(SUMIFS(CashFlow!$C$16:$C$40,CashFlow!$D$16:$D$40,CashFlowCalcs!$E702)&gt;0,SUMIFS(CashFlow!$C$16:$C$40,CashFlow!$D$16:$D$40,CashFlowCalcs!$E702),B701)</f>
        <v>22</v>
      </c>
      <c r="C702" s="147" t="str">
        <f t="shared" si="208"/>
        <v>Y</v>
      </c>
      <c r="D702" s="80">
        <f t="shared" si="209"/>
        <v>470</v>
      </c>
      <c r="E702" s="81">
        <f t="shared" si="217"/>
        <v>45052</v>
      </c>
      <c r="F702" s="80">
        <f t="shared" si="211"/>
        <v>-0.21893491124260356</v>
      </c>
      <c r="G702" s="119">
        <f t="shared" si="204"/>
        <v>0.38949479350504573</v>
      </c>
      <c r="H702" s="125">
        <f t="shared" si="212"/>
        <v>45052</v>
      </c>
      <c r="I702" s="82">
        <f t="shared" si="200"/>
        <v>0.97638703187549969</v>
      </c>
      <c r="J702" s="126">
        <f t="shared" si="205"/>
        <v>8904478.1404475756</v>
      </c>
      <c r="K702" s="139">
        <f t="shared" si="201"/>
        <v>0</v>
      </c>
      <c r="L702" s="83">
        <f t="shared" si="199"/>
        <v>8904478.1404475756</v>
      </c>
      <c r="M702" s="80">
        <f t="shared" si="206"/>
        <v>470</v>
      </c>
      <c r="N702" s="157">
        <f t="shared" si="215"/>
        <v>0</v>
      </c>
      <c r="O702" s="140">
        <f t="shared" si="202"/>
        <v>0</v>
      </c>
      <c r="P702" s="149">
        <v>0</v>
      </c>
      <c r="Q702" s="163">
        <f t="shared" si="207"/>
        <v>470</v>
      </c>
      <c r="R702" s="150">
        <f t="shared" si="203"/>
        <v>0</v>
      </c>
      <c r="S702" s="164">
        <f t="shared" si="216"/>
        <v>9119824.2599999998</v>
      </c>
    </row>
    <row r="703" spans="1:19" x14ac:dyDescent="0.25">
      <c r="A703" s="80" t="str">
        <f t="shared" si="213"/>
        <v>Sun</v>
      </c>
      <c r="B703" s="147">
        <f>IF(SUMIFS(CashFlow!$C$16:$C$40,CashFlow!$D$16:$D$40,CashFlowCalcs!$E703)&gt;0,SUMIFS(CashFlow!$C$16:$C$40,CashFlow!$D$16:$D$40,CashFlowCalcs!$E703),B702)</f>
        <v>22</v>
      </c>
      <c r="C703" s="147" t="str">
        <f t="shared" si="208"/>
        <v>Y</v>
      </c>
      <c r="D703" s="80">
        <f t="shared" si="209"/>
        <v>470</v>
      </c>
      <c r="E703" s="81">
        <f t="shared" si="217"/>
        <v>45053</v>
      </c>
      <c r="F703" s="80">
        <f t="shared" si="211"/>
        <v>-0.21893491124260356</v>
      </c>
      <c r="G703" s="119">
        <f t="shared" si="204"/>
        <v>0.38949479350504573</v>
      </c>
      <c r="H703" s="125">
        <f t="shared" si="212"/>
        <v>45053</v>
      </c>
      <c r="I703" s="82">
        <f t="shared" si="200"/>
        <v>0.97638703187549969</v>
      </c>
      <c r="J703" s="126">
        <f t="shared" si="205"/>
        <v>8904478.1404475756</v>
      </c>
      <c r="K703" s="139">
        <f t="shared" si="201"/>
        <v>0</v>
      </c>
      <c r="L703" s="83">
        <f t="shared" si="199"/>
        <v>8904478.1404475756</v>
      </c>
      <c r="M703" s="80">
        <f t="shared" si="206"/>
        <v>470</v>
      </c>
      <c r="N703" s="157">
        <f t="shared" si="215"/>
        <v>0</v>
      </c>
      <c r="O703" s="140">
        <f t="shared" si="202"/>
        <v>0</v>
      </c>
      <c r="P703" s="149">
        <v>0</v>
      </c>
      <c r="Q703" s="163">
        <f t="shared" si="207"/>
        <v>470</v>
      </c>
      <c r="R703" s="150">
        <f t="shared" si="203"/>
        <v>0</v>
      </c>
      <c r="S703" s="164">
        <f t="shared" si="216"/>
        <v>9119824.2599999998</v>
      </c>
    </row>
    <row r="704" spans="1:19" x14ac:dyDescent="0.25">
      <c r="A704" s="80" t="str">
        <f t="shared" si="213"/>
        <v>Mon</v>
      </c>
      <c r="B704" s="147">
        <f>IF(SUMIFS(CashFlow!$C$16:$C$40,CashFlow!$D$16:$D$40,CashFlowCalcs!$E704)&gt;0,SUMIFS(CashFlow!$C$16:$C$40,CashFlow!$D$16:$D$40,CashFlowCalcs!$E704),B703)</f>
        <v>22</v>
      </c>
      <c r="C704" s="147" t="str">
        <f t="shared" si="208"/>
        <v>N</v>
      </c>
      <c r="D704" s="80">
        <f t="shared" si="209"/>
        <v>471</v>
      </c>
      <c r="E704" s="81">
        <f t="shared" si="217"/>
        <v>45054</v>
      </c>
      <c r="F704" s="80">
        <f t="shared" si="211"/>
        <v>-0.21301775147929014</v>
      </c>
      <c r="G704" s="119">
        <f t="shared" si="204"/>
        <v>0.38999287298326091</v>
      </c>
      <c r="H704" s="125">
        <f t="shared" si="212"/>
        <v>45054</v>
      </c>
      <c r="I704" s="82">
        <f t="shared" si="200"/>
        <v>0.97763561940858645</v>
      </c>
      <c r="J704" s="126">
        <f t="shared" si="205"/>
        <v>8915865.0393225532</v>
      </c>
      <c r="K704" s="139">
        <f t="shared" si="201"/>
        <v>0</v>
      </c>
      <c r="L704" s="83">
        <f t="shared" si="199"/>
        <v>8915865.0393225532</v>
      </c>
      <c r="M704" s="80">
        <f t="shared" si="206"/>
        <v>471</v>
      </c>
      <c r="N704" s="157">
        <f t="shared" si="215"/>
        <v>0</v>
      </c>
      <c r="O704" s="140">
        <f t="shared" si="202"/>
        <v>0</v>
      </c>
      <c r="P704" s="149">
        <v>0</v>
      </c>
      <c r="Q704" s="163">
        <f t="shared" si="207"/>
        <v>471</v>
      </c>
      <c r="R704" s="150">
        <f t="shared" si="203"/>
        <v>0</v>
      </c>
      <c r="S704" s="164">
        <f t="shared" si="216"/>
        <v>9119824.2599999998</v>
      </c>
    </row>
    <row r="705" spans="1:19" x14ac:dyDescent="0.25">
      <c r="A705" s="80" t="str">
        <f t="shared" si="213"/>
        <v>Tues</v>
      </c>
      <c r="B705" s="147">
        <f>IF(SUMIFS(CashFlow!$C$16:$C$40,CashFlow!$D$16:$D$40,CashFlowCalcs!$E705)&gt;0,SUMIFS(CashFlow!$C$16:$C$40,CashFlow!$D$16:$D$40,CashFlowCalcs!$E705),B704)</f>
        <v>22</v>
      </c>
      <c r="C705" s="147" t="str">
        <f t="shared" si="208"/>
        <v>N</v>
      </c>
      <c r="D705" s="80">
        <f t="shared" si="209"/>
        <v>472</v>
      </c>
      <c r="E705" s="81">
        <f t="shared" si="217"/>
        <v>45055</v>
      </c>
      <c r="F705" s="80">
        <f t="shared" si="211"/>
        <v>-0.20710059171597628</v>
      </c>
      <c r="G705" s="119">
        <f t="shared" si="204"/>
        <v>0.39047791744061466</v>
      </c>
      <c r="H705" s="125">
        <f t="shared" si="212"/>
        <v>45055</v>
      </c>
      <c r="I705" s="82">
        <f t="shared" si="200"/>
        <v>0.97885153070172981</v>
      </c>
      <c r="J705" s="126">
        <f t="shared" si="205"/>
        <v>8926953.9366317708</v>
      </c>
      <c r="K705" s="139">
        <f t="shared" si="201"/>
        <v>0</v>
      </c>
      <c r="L705" s="83">
        <f t="shared" si="199"/>
        <v>8926953.9366317708</v>
      </c>
      <c r="M705" s="80">
        <f t="shared" si="206"/>
        <v>472</v>
      </c>
      <c r="N705" s="157">
        <f t="shared" si="215"/>
        <v>0</v>
      </c>
      <c r="O705" s="140">
        <f t="shared" si="202"/>
        <v>0</v>
      </c>
      <c r="P705" s="149">
        <v>0</v>
      </c>
      <c r="Q705" s="163">
        <f t="shared" si="207"/>
        <v>472</v>
      </c>
      <c r="R705" s="150">
        <f t="shared" si="203"/>
        <v>0</v>
      </c>
      <c r="S705" s="164">
        <f t="shared" si="216"/>
        <v>9119824.2599999998</v>
      </c>
    </row>
    <row r="706" spans="1:19" x14ac:dyDescent="0.25">
      <c r="A706" s="80" t="str">
        <f t="shared" si="213"/>
        <v>Wed</v>
      </c>
      <c r="B706" s="147">
        <f>IF(SUMIFS(CashFlow!$C$16:$C$40,CashFlow!$D$16:$D$40,CashFlowCalcs!$E706)&gt;0,SUMIFS(CashFlow!$C$16:$C$40,CashFlow!$D$16:$D$40,CashFlowCalcs!$E706),B705)</f>
        <v>22</v>
      </c>
      <c r="C706" s="147" t="str">
        <f t="shared" si="208"/>
        <v>N</v>
      </c>
      <c r="D706" s="80">
        <f t="shared" si="209"/>
        <v>473</v>
      </c>
      <c r="E706" s="81">
        <f t="shared" si="217"/>
        <v>45056</v>
      </c>
      <c r="F706" s="80">
        <f t="shared" si="211"/>
        <v>-0.20118343195266286</v>
      </c>
      <c r="G706" s="119">
        <f t="shared" si="204"/>
        <v>0.39094987667907027</v>
      </c>
      <c r="H706" s="125">
        <f t="shared" si="212"/>
        <v>45056</v>
      </c>
      <c r="I706" s="82">
        <f t="shared" si="200"/>
        <v>0.98003463991829987</v>
      </c>
      <c r="J706" s="126">
        <f t="shared" si="205"/>
        <v>8937743.684767276</v>
      </c>
      <c r="K706" s="139">
        <f t="shared" si="201"/>
        <v>0</v>
      </c>
      <c r="L706" s="83">
        <f t="shared" si="199"/>
        <v>8937743.684767276</v>
      </c>
      <c r="M706" s="80">
        <f t="shared" si="206"/>
        <v>473</v>
      </c>
      <c r="N706" s="157">
        <f t="shared" si="215"/>
        <v>0</v>
      </c>
      <c r="O706" s="140">
        <f t="shared" si="202"/>
        <v>0</v>
      </c>
      <c r="P706" s="149">
        <v>0</v>
      </c>
      <c r="Q706" s="163">
        <f t="shared" si="207"/>
        <v>473</v>
      </c>
      <c r="R706" s="150">
        <f t="shared" si="203"/>
        <v>0</v>
      </c>
      <c r="S706" s="164">
        <f t="shared" si="216"/>
        <v>9119824.2599999998</v>
      </c>
    </row>
    <row r="707" spans="1:19" x14ac:dyDescent="0.25">
      <c r="A707" s="80" t="str">
        <f t="shared" si="213"/>
        <v>Thu</v>
      </c>
      <c r="B707" s="147">
        <f>IF(SUMIFS(CashFlow!$C$16:$C$40,CashFlow!$D$16:$D$40,CashFlowCalcs!$E707)&gt;0,SUMIFS(CashFlow!$C$16:$C$40,CashFlow!$D$16:$D$40,CashFlowCalcs!$E707),B706)</f>
        <v>22</v>
      </c>
      <c r="C707" s="147" t="str">
        <f t="shared" si="208"/>
        <v>N</v>
      </c>
      <c r="D707" s="80">
        <f t="shared" si="209"/>
        <v>474</v>
      </c>
      <c r="E707" s="81">
        <f t="shared" si="217"/>
        <v>45057</v>
      </c>
      <c r="F707" s="80">
        <f t="shared" si="211"/>
        <v>-0.195266272189349</v>
      </c>
      <c r="G707" s="119">
        <f t="shared" si="204"/>
        <v>0.39140870181430276</v>
      </c>
      <c r="H707" s="125">
        <f t="shared" si="212"/>
        <v>45057</v>
      </c>
      <c r="I707" s="82">
        <f t="shared" si="200"/>
        <v>0.98118482451488476</v>
      </c>
      <c r="J707" s="126">
        <f t="shared" si="205"/>
        <v>8948233.1661546882</v>
      </c>
      <c r="K707" s="139">
        <f t="shared" si="201"/>
        <v>0</v>
      </c>
      <c r="L707" s="83">
        <f t="shared" si="199"/>
        <v>8948233.1661546882</v>
      </c>
      <c r="M707" s="80">
        <f t="shared" si="206"/>
        <v>474</v>
      </c>
      <c r="N707" s="157">
        <f t="shared" si="215"/>
        <v>0</v>
      </c>
      <c r="O707" s="140">
        <f t="shared" si="202"/>
        <v>0</v>
      </c>
      <c r="P707" s="149">
        <v>0</v>
      </c>
      <c r="Q707" s="163">
        <f t="shared" si="207"/>
        <v>474</v>
      </c>
      <c r="R707" s="150">
        <f t="shared" si="203"/>
        <v>0</v>
      </c>
      <c r="S707" s="164">
        <f t="shared" si="216"/>
        <v>9119824.2599999998</v>
      </c>
    </row>
    <row r="708" spans="1:19" x14ac:dyDescent="0.25">
      <c r="A708" s="80" t="str">
        <f t="shared" si="213"/>
        <v>Fri</v>
      </c>
      <c r="B708" s="147">
        <f>IF(SUMIFS(CashFlow!$C$16:$C$40,CashFlow!$D$16:$D$40,CashFlowCalcs!$E708)&gt;0,SUMIFS(CashFlow!$C$16:$C$40,CashFlow!$D$16:$D$40,CashFlowCalcs!$E708),B707)</f>
        <v>22</v>
      </c>
      <c r="C708" s="147" t="str">
        <f t="shared" si="208"/>
        <v>N</v>
      </c>
      <c r="D708" s="80">
        <f t="shared" si="209"/>
        <v>475</v>
      </c>
      <c r="E708" s="81">
        <f t="shared" ref="E708:E723" si="218">E707+1</f>
        <v>45058</v>
      </c>
      <c r="F708" s="80">
        <f t="shared" si="211"/>
        <v>-0.18934911242603558</v>
      </c>
      <c r="G708" s="119">
        <f t="shared" si="204"/>
        <v>0.39185434528413721</v>
      </c>
      <c r="H708" s="125">
        <f t="shared" si="212"/>
        <v>45058</v>
      </c>
      <c r="I708" s="82">
        <f t="shared" si="200"/>
        <v>0.98230196526244329</v>
      </c>
      <c r="J708" s="126">
        <f t="shared" si="205"/>
        <v>8958421.2934461068</v>
      </c>
      <c r="K708" s="139">
        <f t="shared" si="201"/>
        <v>0</v>
      </c>
      <c r="L708" s="83">
        <f t="shared" si="199"/>
        <v>8958421.2934461068</v>
      </c>
      <c r="M708" s="80">
        <f t="shared" si="206"/>
        <v>475</v>
      </c>
      <c r="N708" s="157">
        <f t="shared" si="215"/>
        <v>0</v>
      </c>
      <c r="O708" s="140">
        <f t="shared" si="202"/>
        <v>0</v>
      </c>
      <c r="P708" s="149">
        <v>0</v>
      </c>
      <c r="Q708" s="163">
        <f t="shared" si="207"/>
        <v>475</v>
      </c>
      <c r="R708" s="150">
        <f t="shared" si="203"/>
        <v>0</v>
      </c>
      <c r="S708" s="164">
        <f t="shared" si="216"/>
        <v>9119824.2599999998</v>
      </c>
    </row>
    <row r="709" spans="1:19" x14ac:dyDescent="0.25">
      <c r="A709" s="80" t="str">
        <f t="shared" si="213"/>
        <v>Sat</v>
      </c>
      <c r="B709" s="147">
        <f>IF(SUMIFS(CashFlow!$C$16:$C$40,CashFlow!$D$16:$D$40,CashFlowCalcs!$E709)&gt;0,SUMIFS(CashFlow!$C$16:$C$40,CashFlow!$D$16:$D$40,CashFlowCalcs!$E709),B708)</f>
        <v>22</v>
      </c>
      <c r="C709" s="147" t="str">
        <f t="shared" si="208"/>
        <v>Y</v>
      </c>
      <c r="D709" s="80">
        <f t="shared" si="209"/>
        <v>475</v>
      </c>
      <c r="E709" s="81">
        <f t="shared" si="218"/>
        <v>45059</v>
      </c>
      <c r="F709" s="80">
        <f t="shared" si="211"/>
        <v>-0.18934911242603558</v>
      </c>
      <c r="G709" s="119">
        <f t="shared" si="204"/>
        <v>0.39185434528413721</v>
      </c>
      <c r="H709" s="125">
        <f t="shared" si="212"/>
        <v>45059</v>
      </c>
      <c r="I709" s="82">
        <f t="shared" si="200"/>
        <v>0.98230196526244329</v>
      </c>
      <c r="J709" s="126">
        <f t="shared" si="205"/>
        <v>8958421.2934461068</v>
      </c>
      <c r="K709" s="139">
        <f t="shared" si="201"/>
        <v>0</v>
      </c>
      <c r="L709" s="83">
        <f t="shared" si="199"/>
        <v>8958421.2934461068</v>
      </c>
      <c r="M709" s="80">
        <f t="shared" si="206"/>
        <v>475</v>
      </c>
      <c r="N709" s="157">
        <f t="shared" si="215"/>
        <v>0</v>
      </c>
      <c r="O709" s="140">
        <f t="shared" si="202"/>
        <v>0</v>
      </c>
      <c r="P709" s="149">
        <v>0</v>
      </c>
      <c r="Q709" s="163">
        <f t="shared" si="207"/>
        <v>475</v>
      </c>
      <c r="R709" s="150">
        <f t="shared" si="203"/>
        <v>0</v>
      </c>
      <c r="S709" s="164">
        <f t="shared" si="216"/>
        <v>9119824.2599999998</v>
      </c>
    </row>
    <row r="710" spans="1:19" x14ac:dyDescent="0.25">
      <c r="A710" s="80" t="str">
        <f t="shared" si="213"/>
        <v>Sun</v>
      </c>
      <c r="B710" s="147">
        <f>IF(SUMIFS(CashFlow!$C$16:$C$40,CashFlow!$D$16:$D$40,CashFlowCalcs!$E710)&gt;0,SUMIFS(CashFlow!$C$16:$C$40,CashFlow!$D$16:$D$40,CashFlowCalcs!$E710),B709)</f>
        <v>22</v>
      </c>
      <c r="C710" s="147" t="str">
        <f t="shared" si="208"/>
        <v>Y</v>
      </c>
      <c r="D710" s="80">
        <f t="shared" si="209"/>
        <v>475</v>
      </c>
      <c r="E710" s="81">
        <f t="shared" si="218"/>
        <v>45060</v>
      </c>
      <c r="F710" s="80">
        <f t="shared" si="211"/>
        <v>-0.18934911242603558</v>
      </c>
      <c r="G710" s="119">
        <f t="shared" si="204"/>
        <v>0.39185434528413721</v>
      </c>
      <c r="H710" s="125">
        <f t="shared" si="212"/>
        <v>45060</v>
      </c>
      <c r="I710" s="82">
        <f t="shared" si="200"/>
        <v>0.98230196526244329</v>
      </c>
      <c r="J710" s="126">
        <f t="shared" si="205"/>
        <v>8958421.2934461068</v>
      </c>
      <c r="K710" s="139">
        <f t="shared" si="201"/>
        <v>0</v>
      </c>
      <c r="L710" s="83">
        <f t="shared" si="199"/>
        <v>8958421.2934461068</v>
      </c>
      <c r="M710" s="80">
        <f t="shared" si="206"/>
        <v>475</v>
      </c>
      <c r="N710" s="157">
        <f t="shared" si="215"/>
        <v>0</v>
      </c>
      <c r="O710" s="140">
        <f t="shared" si="202"/>
        <v>0</v>
      </c>
      <c r="P710" s="149">
        <v>0</v>
      </c>
      <c r="Q710" s="163">
        <f t="shared" si="207"/>
        <v>475</v>
      </c>
      <c r="R710" s="150">
        <f t="shared" si="203"/>
        <v>0</v>
      </c>
      <c r="S710" s="164">
        <f t="shared" si="216"/>
        <v>9119824.2599999998</v>
      </c>
    </row>
    <row r="711" spans="1:19" x14ac:dyDescent="0.25">
      <c r="A711" s="80" t="str">
        <f t="shared" si="213"/>
        <v>Mon</v>
      </c>
      <c r="B711" s="147">
        <f>IF(SUMIFS(CashFlow!$C$16:$C$40,CashFlow!$D$16:$D$40,CashFlowCalcs!$E711)&gt;0,SUMIFS(CashFlow!$C$16:$C$40,CashFlow!$D$16:$D$40,CashFlowCalcs!$E711),B710)</f>
        <v>22</v>
      </c>
      <c r="C711" s="147" t="str">
        <f t="shared" si="208"/>
        <v>N</v>
      </c>
      <c r="D711" s="80">
        <f t="shared" si="209"/>
        <v>476</v>
      </c>
      <c r="E711" s="81">
        <f t="shared" si="218"/>
        <v>45061</v>
      </c>
      <c r="F711" s="80">
        <f t="shared" si="211"/>
        <v>-0.18343195266272172</v>
      </c>
      <c r="G711" s="119">
        <f t="shared" si="204"/>
        <v>0.39228676085676512</v>
      </c>
      <c r="H711" s="125">
        <f t="shared" si="212"/>
        <v>45061</v>
      </c>
      <c r="I711" s="82">
        <f t="shared" si="200"/>
        <v>0.98338594626690168</v>
      </c>
      <c r="J711" s="126">
        <f t="shared" si="205"/>
        <v>8968307.0097079463</v>
      </c>
      <c r="K711" s="139">
        <f t="shared" si="201"/>
        <v>0</v>
      </c>
      <c r="L711" s="83">
        <f t="shared" si="199"/>
        <v>8968307.0097079463</v>
      </c>
      <c r="M711" s="80">
        <f t="shared" si="206"/>
        <v>476</v>
      </c>
      <c r="N711" s="157">
        <f t="shared" si="215"/>
        <v>0</v>
      </c>
      <c r="O711" s="140">
        <f t="shared" si="202"/>
        <v>0</v>
      </c>
      <c r="P711" s="149">
        <v>0</v>
      </c>
      <c r="Q711" s="163">
        <f t="shared" si="207"/>
        <v>476</v>
      </c>
      <c r="R711" s="150">
        <f t="shared" si="203"/>
        <v>0</v>
      </c>
      <c r="S711" s="164">
        <f t="shared" si="216"/>
        <v>9119824.2599999998</v>
      </c>
    </row>
    <row r="712" spans="1:19" x14ac:dyDescent="0.25">
      <c r="A712" s="80" t="str">
        <f t="shared" si="213"/>
        <v>Tues</v>
      </c>
      <c r="B712" s="147">
        <f>IF(SUMIFS(CashFlow!$C$16:$C$40,CashFlow!$D$16:$D$40,CashFlowCalcs!$E712)&gt;0,SUMIFS(CashFlow!$C$16:$C$40,CashFlow!$D$16:$D$40,CashFlowCalcs!$E712),B711)</f>
        <v>22</v>
      </c>
      <c r="C712" s="147" t="str">
        <f t="shared" si="208"/>
        <v>N</v>
      </c>
      <c r="D712" s="80">
        <f t="shared" si="209"/>
        <v>477</v>
      </c>
      <c r="E712" s="81">
        <f t="shared" si="218"/>
        <v>45062</v>
      </c>
      <c r="F712" s="80">
        <f t="shared" si="211"/>
        <v>-0.1775147928994083</v>
      </c>
      <c r="G712" s="119">
        <f t="shared" si="204"/>
        <v>0.39270590363873742</v>
      </c>
      <c r="H712" s="125">
        <f t="shared" si="212"/>
        <v>45062</v>
      </c>
      <c r="I712" s="82">
        <f t="shared" si="200"/>
        <v>0.98443665498919086</v>
      </c>
      <c r="J712" s="126">
        <f t="shared" si="205"/>
        <v>8977889.2886036728</v>
      </c>
      <c r="K712" s="139">
        <f t="shared" si="201"/>
        <v>0</v>
      </c>
      <c r="L712" s="83">
        <f t="shared" si="199"/>
        <v>8977889.2886036728</v>
      </c>
      <c r="M712" s="80">
        <f t="shared" si="206"/>
        <v>477</v>
      </c>
      <c r="N712" s="157">
        <f t="shared" si="215"/>
        <v>0</v>
      </c>
      <c r="O712" s="140">
        <f t="shared" si="202"/>
        <v>0</v>
      </c>
      <c r="P712" s="149">
        <v>0</v>
      </c>
      <c r="Q712" s="163">
        <f t="shared" si="207"/>
        <v>477</v>
      </c>
      <c r="R712" s="150">
        <f t="shared" si="203"/>
        <v>0</v>
      </c>
      <c r="S712" s="164">
        <f t="shared" si="216"/>
        <v>9119824.2599999998</v>
      </c>
    </row>
    <row r="713" spans="1:19" x14ac:dyDescent="0.25">
      <c r="A713" s="80" t="str">
        <f t="shared" si="213"/>
        <v>Wed</v>
      </c>
      <c r="B713" s="147">
        <f>IF(SUMIFS(CashFlow!$C$16:$C$40,CashFlow!$D$16:$D$40,CashFlowCalcs!$E713)&gt;0,SUMIFS(CashFlow!$C$16:$C$40,CashFlow!$D$16:$D$40,CashFlowCalcs!$E713),B712)</f>
        <v>22</v>
      </c>
      <c r="C713" s="147" t="str">
        <f t="shared" si="208"/>
        <v>N</v>
      </c>
      <c r="D713" s="80">
        <f t="shared" si="209"/>
        <v>478</v>
      </c>
      <c r="E713" s="81">
        <f t="shared" si="218"/>
        <v>45063</v>
      </c>
      <c r="F713" s="80">
        <f t="shared" si="211"/>
        <v>-0.17159763313609444</v>
      </c>
      <c r="G713" s="119">
        <f t="shared" si="204"/>
        <v>0.3931117300827322</v>
      </c>
      <c r="H713" s="125">
        <f t="shared" si="212"/>
        <v>45063</v>
      </c>
      <c r="I713" s="82">
        <f t="shared" si="200"/>
        <v>0.98545398226471836</v>
      </c>
      <c r="J713" s="126">
        <f t="shared" si="205"/>
        <v>8987167.1345713884</v>
      </c>
      <c r="K713" s="139">
        <f t="shared" si="201"/>
        <v>0</v>
      </c>
      <c r="L713" s="83">
        <f t="shared" si="199"/>
        <v>8987167.1345713884</v>
      </c>
      <c r="M713" s="80">
        <f t="shared" si="206"/>
        <v>478</v>
      </c>
      <c r="N713" s="157">
        <f t="shared" si="215"/>
        <v>0</v>
      </c>
      <c r="O713" s="140">
        <f t="shared" si="202"/>
        <v>0</v>
      </c>
      <c r="P713" s="149">
        <v>0</v>
      </c>
      <c r="Q713" s="163">
        <f t="shared" si="207"/>
        <v>478</v>
      </c>
      <c r="R713" s="150">
        <f t="shared" si="203"/>
        <v>0</v>
      </c>
      <c r="S713" s="164">
        <f t="shared" si="216"/>
        <v>9119824.2599999998</v>
      </c>
    </row>
    <row r="714" spans="1:19" x14ac:dyDescent="0.25">
      <c r="A714" s="80" t="str">
        <f t="shared" si="213"/>
        <v>Thu</v>
      </c>
      <c r="B714" s="147">
        <f>IF(SUMIFS(CashFlow!$C$16:$C$40,CashFlow!$D$16:$D$40,CashFlowCalcs!$E714)&gt;0,SUMIFS(CashFlow!$C$16:$C$40,CashFlow!$D$16:$D$40,CashFlowCalcs!$E714),B713)</f>
        <v>22</v>
      </c>
      <c r="C714" s="147" t="str">
        <f t="shared" si="208"/>
        <v>N</v>
      </c>
      <c r="D714" s="80">
        <f t="shared" si="209"/>
        <v>479</v>
      </c>
      <c r="E714" s="81">
        <f t="shared" si="218"/>
        <v>45064</v>
      </c>
      <c r="F714" s="80">
        <f t="shared" si="211"/>
        <v>-0.16568047337278102</v>
      </c>
      <c r="G714" s="119">
        <f t="shared" si="204"/>
        <v>0.39350419799509484</v>
      </c>
      <c r="H714" s="125">
        <f t="shared" si="212"/>
        <v>45064</v>
      </c>
      <c r="I714" s="82">
        <f t="shared" si="200"/>
        <v>0.98643782232227017</v>
      </c>
      <c r="J714" s="126">
        <f t="shared" si="205"/>
        <v>8996139.5829962082</v>
      </c>
      <c r="K714" s="139">
        <f t="shared" si="201"/>
        <v>0</v>
      </c>
      <c r="L714" s="83">
        <f t="shared" si="199"/>
        <v>8996139.5829962082</v>
      </c>
      <c r="M714" s="80">
        <f t="shared" si="206"/>
        <v>479</v>
      </c>
      <c r="N714" s="157">
        <f t="shared" si="215"/>
        <v>0</v>
      </c>
      <c r="O714" s="140">
        <f t="shared" si="202"/>
        <v>0</v>
      </c>
      <c r="P714" s="149">
        <v>0</v>
      </c>
      <c r="Q714" s="163">
        <f t="shared" si="207"/>
        <v>479</v>
      </c>
      <c r="R714" s="150">
        <f t="shared" si="203"/>
        <v>0</v>
      </c>
      <c r="S714" s="164">
        <f t="shared" si="216"/>
        <v>9119824.2599999998</v>
      </c>
    </row>
    <row r="715" spans="1:19" x14ac:dyDescent="0.25">
      <c r="A715" s="80" t="str">
        <f t="shared" si="213"/>
        <v>Fri</v>
      </c>
      <c r="B715" s="147">
        <f>IF(SUMIFS(CashFlow!$C$16:$C$40,CashFlow!$D$16:$D$40,CashFlowCalcs!$E715)&gt;0,SUMIFS(CashFlow!$C$16:$C$40,CashFlow!$D$16:$D$40,CashFlowCalcs!$E715),B714)</f>
        <v>22</v>
      </c>
      <c r="C715" s="147" t="str">
        <f t="shared" si="208"/>
        <v>N</v>
      </c>
      <c r="D715" s="80">
        <f t="shared" si="209"/>
        <v>480</v>
      </c>
      <c r="E715" s="81">
        <f t="shared" si="218"/>
        <v>45065</v>
      </c>
      <c r="F715" s="80">
        <f t="shared" si="211"/>
        <v>-0.15976331360946761</v>
      </c>
      <c r="G715" s="119">
        <f t="shared" si="204"/>
        <v>0.39388326654314892</v>
      </c>
      <c r="H715" s="125">
        <f t="shared" si="212"/>
        <v>45065</v>
      </c>
      <c r="I715" s="82">
        <f t="shared" si="200"/>
        <v>0.98738807280233742</v>
      </c>
      <c r="J715" s="126">
        <f t="shared" si="205"/>
        <v>9004805.7003774028</v>
      </c>
      <c r="K715" s="139">
        <f t="shared" si="201"/>
        <v>0</v>
      </c>
      <c r="L715" s="83">
        <f t="shared" si="199"/>
        <v>9004805.7003774028</v>
      </c>
      <c r="M715" s="80">
        <f t="shared" si="206"/>
        <v>480</v>
      </c>
      <c r="N715" s="157">
        <f t="shared" si="215"/>
        <v>0</v>
      </c>
      <c r="O715" s="140">
        <f t="shared" si="202"/>
        <v>0</v>
      </c>
      <c r="P715" s="149">
        <v>0</v>
      </c>
      <c r="Q715" s="163">
        <f t="shared" si="207"/>
        <v>480</v>
      </c>
      <c r="R715" s="150">
        <f t="shared" si="203"/>
        <v>0</v>
      </c>
      <c r="S715" s="164">
        <f t="shared" si="216"/>
        <v>9119824.2599999998</v>
      </c>
    </row>
    <row r="716" spans="1:19" x14ac:dyDescent="0.25">
      <c r="A716" s="80" t="str">
        <f t="shared" si="213"/>
        <v>Sat</v>
      </c>
      <c r="B716" s="147">
        <f>IF(SUMIFS(CashFlow!$C$16:$C$40,CashFlow!$D$16:$D$40,CashFlowCalcs!$E716)&gt;0,SUMIFS(CashFlow!$C$16:$C$40,CashFlow!$D$16:$D$40,CashFlowCalcs!$E716),B715)</f>
        <v>22</v>
      </c>
      <c r="C716" s="147" t="str">
        <f t="shared" si="208"/>
        <v>Y</v>
      </c>
      <c r="D716" s="80">
        <f t="shared" si="209"/>
        <v>480</v>
      </c>
      <c r="E716" s="81">
        <f t="shared" si="218"/>
        <v>45066</v>
      </c>
      <c r="F716" s="80">
        <f t="shared" si="211"/>
        <v>-0.15976331360946761</v>
      </c>
      <c r="G716" s="119">
        <f t="shared" si="204"/>
        <v>0.39388326654314892</v>
      </c>
      <c r="H716" s="125">
        <f t="shared" si="212"/>
        <v>45066</v>
      </c>
      <c r="I716" s="82">
        <f t="shared" si="200"/>
        <v>0.98738807280233742</v>
      </c>
      <c r="J716" s="126">
        <f t="shared" si="205"/>
        <v>9004805.7003774028</v>
      </c>
      <c r="K716" s="139">
        <f t="shared" si="201"/>
        <v>0</v>
      </c>
      <c r="L716" s="83">
        <f t="shared" ref="L716:L750" si="219">IF(AND(E716&gt;=$H$3,P716=0,E716&lt;=$I$1),J716+K716,0)</f>
        <v>9004805.7003774028</v>
      </c>
      <c r="M716" s="80">
        <f t="shared" si="206"/>
        <v>480</v>
      </c>
      <c r="N716" s="157">
        <f t="shared" si="215"/>
        <v>0</v>
      </c>
      <c r="O716" s="140">
        <f t="shared" si="202"/>
        <v>0</v>
      </c>
      <c r="P716" s="149">
        <v>0</v>
      </c>
      <c r="Q716" s="163">
        <f t="shared" si="207"/>
        <v>480</v>
      </c>
      <c r="R716" s="150">
        <f t="shared" si="203"/>
        <v>0</v>
      </c>
      <c r="S716" s="164">
        <f t="shared" si="216"/>
        <v>9119824.2599999998</v>
      </c>
    </row>
    <row r="717" spans="1:19" x14ac:dyDescent="0.25">
      <c r="A717" s="80" t="str">
        <f t="shared" si="213"/>
        <v>Sun</v>
      </c>
      <c r="B717" s="147">
        <f>IF(SUMIFS(CashFlow!$C$16:$C$40,CashFlow!$D$16:$D$40,CashFlowCalcs!$E717)&gt;0,SUMIFS(CashFlow!$C$16:$C$40,CashFlow!$D$16:$D$40,CashFlowCalcs!$E717),B716)</f>
        <v>22</v>
      </c>
      <c r="C717" s="147" t="str">
        <f t="shared" si="208"/>
        <v>Y</v>
      </c>
      <c r="D717" s="80">
        <f t="shared" si="209"/>
        <v>480</v>
      </c>
      <c r="E717" s="81">
        <f t="shared" si="218"/>
        <v>45067</v>
      </c>
      <c r="F717" s="80">
        <f t="shared" si="211"/>
        <v>-0.15976331360946761</v>
      </c>
      <c r="G717" s="119">
        <f t="shared" si="204"/>
        <v>0.39388326654314892</v>
      </c>
      <c r="H717" s="125">
        <f t="shared" si="212"/>
        <v>45067</v>
      </c>
      <c r="I717" s="82">
        <f t="shared" si="200"/>
        <v>0.98738807280233742</v>
      </c>
      <c r="J717" s="126">
        <f t="shared" si="205"/>
        <v>9004805.7003774028</v>
      </c>
      <c r="K717" s="139">
        <f t="shared" si="201"/>
        <v>0</v>
      </c>
      <c r="L717" s="83">
        <f t="shared" si="219"/>
        <v>9004805.7003774028</v>
      </c>
      <c r="M717" s="80">
        <f t="shared" si="206"/>
        <v>480</v>
      </c>
      <c r="N717" s="157">
        <f t="shared" si="215"/>
        <v>0</v>
      </c>
      <c r="O717" s="140">
        <f t="shared" si="202"/>
        <v>0</v>
      </c>
      <c r="P717" s="149">
        <v>0</v>
      </c>
      <c r="Q717" s="163">
        <f t="shared" si="207"/>
        <v>480</v>
      </c>
      <c r="R717" s="150">
        <f t="shared" si="203"/>
        <v>0</v>
      </c>
      <c r="S717" s="164">
        <f t="shared" si="216"/>
        <v>9119824.2599999998</v>
      </c>
    </row>
    <row r="718" spans="1:19" x14ac:dyDescent="0.25">
      <c r="A718" s="80" t="str">
        <f t="shared" si="213"/>
        <v>Mon</v>
      </c>
      <c r="B718" s="147">
        <f>IF(SUMIFS(CashFlow!$C$16:$C$40,CashFlow!$D$16:$D$40,CashFlowCalcs!$E718)&gt;0,SUMIFS(CashFlow!$C$16:$C$40,CashFlow!$D$16:$D$40,CashFlowCalcs!$E718),B717)</f>
        <v>22</v>
      </c>
      <c r="C718" s="147" t="str">
        <f t="shared" si="208"/>
        <v>N</v>
      </c>
      <c r="D718" s="80">
        <f t="shared" si="209"/>
        <v>481</v>
      </c>
      <c r="E718" s="81">
        <f t="shared" si="218"/>
        <v>45068</v>
      </c>
      <c r="F718" s="80">
        <f t="shared" si="211"/>
        <v>-0.15384615384615419</v>
      </c>
      <c r="G718" s="119">
        <f t="shared" si="204"/>
        <v>0.39424889626227655</v>
      </c>
      <c r="H718" s="125">
        <f t="shared" si="212"/>
        <v>45068</v>
      </c>
      <c r="I718" s="82">
        <f t="shared" si="200"/>
        <v>0.98830463477486574</v>
      </c>
      <c r="J718" s="126">
        <f t="shared" si="205"/>
        <v>9013164.5844902601</v>
      </c>
      <c r="K718" s="139">
        <f t="shared" si="201"/>
        <v>0</v>
      </c>
      <c r="L718" s="83">
        <f t="shared" si="219"/>
        <v>9013164.5844902601</v>
      </c>
      <c r="M718" s="80">
        <f t="shared" si="206"/>
        <v>481</v>
      </c>
      <c r="N718" s="157">
        <f t="shared" si="215"/>
        <v>0</v>
      </c>
      <c r="O718" s="140">
        <f t="shared" si="202"/>
        <v>0</v>
      </c>
      <c r="P718" s="149">
        <v>0</v>
      </c>
      <c r="Q718" s="163">
        <f t="shared" si="207"/>
        <v>481</v>
      </c>
      <c r="R718" s="150">
        <f t="shared" si="203"/>
        <v>0</v>
      </c>
      <c r="S718" s="164">
        <f t="shared" si="216"/>
        <v>9119824.2599999998</v>
      </c>
    </row>
    <row r="719" spans="1:19" x14ac:dyDescent="0.25">
      <c r="A719" s="80" t="str">
        <f t="shared" si="213"/>
        <v>Tues</v>
      </c>
      <c r="B719" s="147">
        <f>IF(SUMIFS(CashFlow!$C$16:$C$40,CashFlow!$D$16:$D$40,CashFlowCalcs!$E719)&gt;0,SUMIFS(CashFlow!$C$16:$C$40,CashFlow!$D$16:$D$40,CashFlowCalcs!$E719),B718)</f>
        <v>22</v>
      </c>
      <c r="C719" s="147" t="str">
        <f t="shared" si="208"/>
        <v>N</v>
      </c>
      <c r="D719" s="80">
        <f t="shared" si="209"/>
        <v>482</v>
      </c>
      <c r="E719" s="81">
        <f t="shared" si="218"/>
        <v>45069</v>
      </c>
      <c r="F719" s="80">
        <f t="shared" si="211"/>
        <v>-0.14792899408284033</v>
      </c>
      <c r="G719" s="119">
        <f t="shared" si="204"/>
        <v>0.39460104906276566</v>
      </c>
      <c r="H719" s="125">
        <f t="shared" si="212"/>
        <v>45069</v>
      </c>
      <c r="I719" s="82">
        <f t="shared" si="200"/>
        <v>0.98918741275641986</v>
      </c>
      <c r="J719" s="126">
        <f t="shared" si="205"/>
        <v>9021215.3645426314</v>
      </c>
      <c r="K719" s="139">
        <f t="shared" si="201"/>
        <v>0</v>
      </c>
      <c r="L719" s="83">
        <f t="shared" si="219"/>
        <v>9021215.3645426314</v>
      </c>
      <c r="M719" s="80">
        <f t="shared" si="206"/>
        <v>482</v>
      </c>
      <c r="N719" s="157">
        <f t="shared" si="215"/>
        <v>0</v>
      </c>
      <c r="O719" s="140">
        <f t="shared" si="202"/>
        <v>0</v>
      </c>
      <c r="P719" s="149">
        <v>0</v>
      </c>
      <c r="Q719" s="163">
        <f t="shared" si="207"/>
        <v>482</v>
      </c>
      <c r="R719" s="150">
        <f t="shared" si="203"/>
        <v>0</v>
      </c>
      <c r="S719" s="164">
        <f t="shared" si="216"/>
        <v>9119824.2599999998</v>
      </c>
    </row>
    <row r="720" spans="1:19" x14ac:dyDescent="0.25">
      <c r="A720" s="80" t="str">
        <f t="shared" si="213"/>
        <v>Wed</v>
      </c>
      <c r="B720" s="147">
        <f>IF(SUMIFS(CashFlow!$C$16:$C$40,CashFlow!$D$16:$D$40,CashFlowCalcs!$E720)&gt;0,SUMIFS(CashFlow!$C$16:$C$40,CashFlow!$D$16:$D$40,CashFlowCalcs!$E720),B719)</f>
        <v>22</v>
      </c>
      <c r="C720" s="147" t="str">
        <f t="shared" si="208"/>
        <v>N</v>
      </c>
      <c r="D720" s="80">
        <f t="shared" si="209"/>
        <v>483</v>
      </c>
      <c r="E720" s="81">
        <f t="shared" si="218"/>
        <v>45070</v>
      </c>
      <c r="F720" s="80">
        <f t="shared" si="211"/>
        <v>-0.14201183431952646</v>
      </c>
      <c r="G720" s="119">
        <f t="shared" si="204"/>
        <v>0.39493968823642328</v>
      </c>
      <c r="H720" s="125">
        <f t="shared" si="212"/>
        <v>45070</v>
      </c>
      <c r="I720" s="82">
        <f t="shared" si="200"/>
        <v>0.99003631472676179</v>
      </c>
      <c r="J720" s="126">
        <f t="shared" si="205"/>
        <v>9028957.2013261169</v>
      </c>
      <c r="K720" s="139">
        <f t="shared" si="201"/>
        <v>0</v>
      </c>
      <c r="L720" s="83">
        <f t="shared" si="219"/>
        <v>9028957.2013261169</v>
      </c>
      <c r="M720" s="80">
        <f t="shared" si="206"/>
        <v>483</v>
      </c>
      <c r="N720" s="157">
        <f t="shared" si="215"/>
        <v>0</v>
      </c>
      <c r="O720" s="140">
        <f t="shared" si="202"/>
        <v>0</v>
      </c>
      <c r="P720" s="149">
        <v>0</v>
      </c>
      <c r="Q720" s="163">
        <f t="shared" si="207"/>
        <v>483</v>
      </c>
      <c r="R720" s="150">
        <f t="shared" si="203"/>
        <v>0</v>
      </c>
      <c r="S720" s="164">
        <f t="shared" si="216"/>
        <v>9119824.2599999998</v>
      </c>
    </row>
    <row r="721" spans="1:19" x14ac:dyDescent="0.25">
      <c r="A721" s="80" t="str">
        <f t="shared" si="213"/>
        <v>Thu</v>
      </c>
      <c r="B721" s="147">
        <f>IF(SUMIFS(CashFlow!$C$16:$C$40,CashFlow!$D$16:$D$40,CashFlowCalcs!$E721)&gt;0,SUMIFS(CashFlow!$C$16:$C$40,CashFlow!$D$16:$D$40,CashFlowCalcs!$E721),B720)</f>
        <v>22</v>
      </c>
      <c r="C721" s="147" t="str">
        <f t="shared" si="208"/>
        <v>N</v>
      </c>
      <c r="D721" s="80">
        <f t="shared" si="209"/>
        <v>484</v>
      </c>
      <c r="E721" s="81">
        <f t="shared" si="218"/>
        <v>45071</v>
      </c>
      <c r="F721" s="80">
        <f t="shared" si="211"/>
        <v>-0.13609467455621305</v>
      </c>
      <c r="G721" s="119">
        <f t="shared" si="204"/>
        <v>0.39526477846295222</v>
      </c>
      <c r="H721" s="125">
        <f t="shared" si="212"/>
        <v>45071</v>
      </c>
      <c r="I721" s="82">
        <f t="shared" si="200"/>
        <v>0.99085125214483583</v>
      </c>
      <c r="J721" s="126">
        <f t="shared" si="205"/>
        <v>9036389.287361851</v>
      </c>
      <c r="K721" s="139">
        <f t="shared" si="201"/>
        <v>0</v>
      </c>
      <c r="L721" s="83">
        <f t="shared" si="219"/>
        <v>9036389.287361851</v>
      </c>
      <c r="M721" s="80">
        <f t="shared" si="206"/>
        <v>484</v>
      </c>
      <c r="N721" s="157">
        <f t="shared" si="215"/>
        <v>0</v>
      </c>
      <c r="O721" s="140">
        <f t="shared" si="202"/>
        <v>0</v>
      </c>
      <c r="P721" s="149">
        <v>0</v>
      </c>
      <c r="Q721" s="163">
        <f t="shared" si="207"/>
        <v>484</v>
      </c>
      <c r="R721" s="150">
        <f t="shared" si="203"/>
        <v>0</v>
      </c>
      <c r="S721" s="164">
        <f t="shared" si="216"/>
        <v>9119824.2599999998</v>
      </c>
    </row>
    <row r="722" spans="1:19" x14ac:dyDescent="0.25">
      <c r="A722" s="80" t="str">
        <f t="shared" si="213"/>
        <v>Fri</v>
      </c>
      <c r="B722" s="147">
        <f>IF(SUMIFS(CashFlow!$C$16:$C$40,CashFlow!$D$16:$D$40,CashFlowCalcs!$E722)&gt;0,SUMIFS(CashFlow!$C$16:$C$40,CashFlow!$D$16:$D$40,CashFlowCalcs!$E722),B721)</f>
        <v>22</v>
      </c>
      <c r="C722" s="147" t="str">
        <f t="shared" si="208"/>
        <v>N</v>
      </c>
      <c r="D722" s="80">
        <f t="shared" si="209"/>
        <v>485</v>
      </c>
      <c r="E722" s="81">
        <f t="shared" si="218"/>
        <v>45072</v>
      </c>
      <c r="F722" s="80">
        <f t="shared" si="211"/>
        <v>-0.13017751479289963</v>
      </c>
      <c r="G722" s="119">
        <f t="shared" si="204"/>
        <v>0.3955762858160915</v>
      </c>
      <c r="H722" s="125">
        <f t="shared" si="212"/>
        <v>45072</v>
      </c>
      <c r="I722" s="82">
        <f t="shared" ref="I722:I750" si="220">G722/VLOOKUP($J$5,$D$18:$G$750,4)</f>
        <v>0.99163213996416211</v>
      </c>
      <c r="J722" s="126">
        <f t="shared" si="205"/>
        <v>9043510.8470408805</v>
      </c>
      <c r="K722" s="139">
        <f t="shared" ref="K722:K750" si="221">N722*O722</f>
        <v>0</v>
      </c>
      <c r="L722" s="83">
        <f t="shared" si="219"/>
        <v>9043510.8470408805</v>
      </c>
      <c r="M722" s="80">
        <f t="shared" si="206"/>
        <v>485</v>
      </c>
      <c r="N722" s="157">
        <f t="shared" si="215"/>
        <v>0</v>
      </c>
      <c r="O722" s="140">
        <f t="shared" ref="O722:O750" si="222">IF(E722&lt;$J$6,0,IF(E722&gt;=$I$1,0,($J$5-D722)/($J$5-VLOOKUP($J$6,$H$17:$M$750,6))))</f>
        <v>0</v>
      </c>
      <c r="P722" s="149">
        <v>0</v>
      </c>
      <c r="Q722" s="163">
        <f t="shared" si="207"/>
        <v>485</v>
      </c>
      <c r="R722" s="150">
        <f t="shared" ref="R722:R750" si="223">IF(OR(E722&lt;$J$6+1,E722&gt;$I$1),0,1)</f>
        <v>0</v>
      </c>
      <c r="S722" s="164">
        <f t="shared" si="216"/>
        <v>9119824.2599999998</v>
      </c>
    </row>
    <row r="723" spans="1:19" x14ac:dyDescent="0.25">
      <c r="A723" s="80" t="str">
        <f t="shared" si="213"/>
        <v>Sat</v>
      </c>
      <c r="B723" s="147">
        <f>IF(SUMIFS(CashFlow!$C$16:$C$40,CashFlow!$D$16:$D$40,CashFlowCalcs!$E723)&gt;0,SUMIFS(CashFlow!$C$16:$C$40,CashFlow!$D$16:$D$40,CashFlowCalcs!$E723),B722)</f>
        <v>22</v>
      </c>
      <c r="C723" s="147" t="str">
        <f t="shared" ref="C723:C750" si="224">IF(LEFT(A723,1)="S","Y","N")</f>
        <v>Y</v>
      </c>
      <c r="D723" s="80">
        <f t="shared" si="209"/>
        <v>485</v>
      </c>
      <c r="E723" s="81">
        <f t="shared" si="218"/>
        <v>45073</v>
      </c>
      <c r="F723" s="80">
        <f t="shared" si="211"/>
        <v>-0.13017751479289963</v>
      </c>
      <c r="G723" s="119">
        <f t="shared" ref="G723:G750" si="225">NORMDIST(F723,0,1,0)</f>
        <v>0.3955762858160915</v>
      </c>
      <c r="H723" s="125">
        <f t="shared" si="212"/>
        <v>45073</v>
      </c>
      <c r="I723" s="82">
        <f t="shared" si="220"/>
        <v>0.99163213996416211</v>
      </c>
      <c r="J723" s="126">
        <f t="shared" ref="J723:J750" si="226">(I723*$G$8)+$G$7</f>
        <v>9043510.8470408805</v>
      </c>
      <c r="K723" s="139">
        <f t="shared" si="221"/>
        <v>0</v>
      </c>
      <c r="L723" s="83">
        <f t="shared" si="219"/>
        <v>9043510.8470408805</v>
      </c>
      <c r="M723" s="80">
        <f t="shared" ref="M723:M750" si="227">D723</f>
        <v>485</v>
      </c>
      <c r="N723" s="157">
        <f t="shared" si="215"/>
        <v>0</v>
      </c>
      <c r="O723" s="140">
        <f t="shared" si="222"/>
        <v>0</v>
      </c>
      <c r="P723" s="149">
        <v>0</v>
      </c>
      <c r="Q723" s="163">
        <f t="shared" ref="Q723:Q750" si="228">D723</f>
        <v>485</v>
      </c>
      <c r="R723" s="150">
        <f t="shared" si="223"/>
        <v>0</v>
      </c>
      <c r="S723" s="164">
        <f t="shared" si="216"/>
        <v>9119824.2599999998</v>
      </c>
    </row>
    <row r="724" spans="1:19" x14ac:dyDescent="0.25">
      <c r="A724" s="80" t="str">
        <f t="shared" si="213"/>
        <v>Sun</v>
      </c>
      <c r="B724" s="147">
        <f>IF(SUMIFS(CashFlow!$C$16:$C$40,CashFlow!$D$16:$D$40,CashFlowCalcs!$E724)&gt;0,SUMIFS(CashFlow!$C$16:$C$40,CashFlow!$D$16:$D$40,CashFlowCalcs!$E724),B723)</f>
        <v>22</v>
      </c>
      <c r="C724" s="147" t="str">
        <f t="shared" si="224"/>
        <v>Y</v>
      </c>
      <c r="D724" s="80">
        <f t="shared" ref="D724:D750" si="229">IF($C724="N",$D723+1,$D723)</f>
        <v>485</v>
      </c>
      <c r="E724" s="81">
        <f t="shared" ref="E724:E739" si="230">E723+1</f>
        <v>45074</v>
      </c>
      <c r="F724" s="80">
        <f t="shared" ref="F724:F750" si="231">$F$18+((((D724)/($J$5+2)*3)))</f>
        <v>-0.13017751479289963</v>
      </c>
      <c r="G724" s="119">
        <f t="shared" si="225"/>
        <v>0.3955762858160915</v>
      </c>
      <c r="H724" s="125">
        <f t="shared" ref="H724:H750" si="232">H723+1</f>
        <v>45074</v>
      </c>
      <c r="I724" s="82">
        <f t="shared" si="220"/>
        <v>0.99163213996416211</v>
      </c>
      <c r="J724" s="126">
        <f t="shared" si="226"/>
        <v>9043510.8470408805</v>
      </c>
      <c r="K724" s="139">
        <f t="shared" si="221"/>
        <v>0</v>
      </c>
      <c r="L724" s="83">
        <f t="shared" si="219"/>
        <v>9043510.8470408805</v>
      </c>
      <c r="M724" s="80">
        <f t="shared" si="227"/>
        <v>485</v>
      </c>
      <c r="N724" s="157">
        <f t="shared" si="215"/>
        <v>0</v>
      </c>
      <c r="O724" s="140">
        <f t="shared" si="222"/>
        <v>0</v>
      </c>
      <c r="P724" s="149">
        <v>0</v>
      </c>
      <c r="Q724" s="163">
        <f t="shared" si="228"/>
        <v>485</v>
      </c>
      <c r="R724" s="150">
        <f t="shared" si="223"/>
        <v>0</v>
      </c>
      <c r="S724" s="164">
        <f t="shared" si="216"/>
        <v>9119824.2599999998</v>
      </c>
    </row>
    <row r="725" spans="1:19" x14ac:dyDescent="0.25">
      <c r="A725" s="80" t="str">
        <f t="shared" si="213"/>
        <v>Mon</v>
      </c>
      <c r="B725" s="147">
        <f>IF(SUMIFS(CashFlow!$C$16:$C$40,CashFlow!$D$16:$D$40,CashFlowCalcs!$E725)&gt;0,SUMIFS(CashFlow!$C$16:$C$40,CashFlow!$D$16:$D$40,CashFlowCalcs!$E725),B724)</f>
        <v>22</v>
      </c>
      <c r="C725" s="147" t="str">
        <f t="shared" si="224"/>
        <v>N</v>
      </c>
      <c r="D725" s="80">
        <f t="shared" si="229"/>
        <v>486</v>
      </c>
      <c r="E725" s="81">
        <f t="shared" si="230"/>
        <v>45075</v>
      </c>
      <c r="F725" s="80">
        <f t="shared" si="231"/>
        <v>-0.12426035502958577</v>
      </c>
      <c r="G725" s="119">
        <f t="shared" si="225"/>
        <v>0.39587417776951656</v>
      </c>
      <c r="H725" s="125">
        <f t="shared" si="232"/>
        <v>45075</v>
      </c>
      <c r="I725" s="82">
        <f t="shared" si="220"/>
        <v>0.99237889664762591</v>
      </c>
      <c r="J725" s="126">
        <f t="shared" si="226"/>
        <v>9050321.1367590521</v>
      </c>
      <c r="K725" s="139">
        <f t="shared" si="221"/>
        <v>0</v>
      </c>
      <c r="L725" s="83">
        <f t="shared" si="219"/>
        <v>9050321.1367590521</v>
      </c>
      <c r="M725" s="80">
        <f t="shared" si="227"/>
        <v>486</v>
      </c>
      <c r="N725" s="157">
        <f t="shared" si="215"/>
        <v>0</v>
      </c>
      <c r="O725" s="140">
        <f t="shared" si="222"/>
        <v>0</v>
      </c>
      <c r="P725" s="149">
        <v>0</v>
      </c>
      <c r="Q725" s="163">
        <f t="shared" si="228"/>
        <v>486</v>
      </c>
      <c r="R725" s="150">
        <f t="shared" si="223"/>
        <v>0</v>
      </c>
      <c r="S725" s="164">
        <f t="shared" si="216"/>
        <v>9119824.2599999998</v>
      </c>
    </row>
    <row r="726" spans="1:19" x14ac:dyDescent="0.25">
      <c r="A726" s="80" t="str">
        <f t="shared" si="213"/>
        <v>Tues</v>
      </c>
      <c r="B726" s="147">
        <f>IF(SUMIFS(CashFlow!$C$16:$C$40,CashFlow!$D$16:$D$40,CashFlowCalcs!$E726)&gt;0,SUMIFS(CashFlow!$C$16:$C$40,CashFlow!$D$16:$D$40,CashFlowCalcs!$E726),B725)</f>
        <v>24</v>
      </c>
      <c r="C726" s="147" t="str">
        <f t="shared" si="224"/>
        <v>N</v>
      </c>
      <c r="D726" s="80">
        <f t="shared" si="229"/>
        <v>487</v>
      </c>
      <c r="E726" s="81">
        <f t="shared" si="230"/>
        <v>45076</v>
      </c>
      <c r="F726" s="80">
        <f t="shared" si="231"/>
        <v>-0.11834319526627191</v>
      </c>
      <c r="G726" s="119">
        <f t="shared" si="225"/>
        <v>0.39615842320249955</v>
      </c>
      <c r="H726" s="125">
        <f t="shared" si="232"/>
        <v>45076</v>
      </c>
      <c r="I726" s="82">
        <f t="shared" si="220"/>
        <v>0.9930914441816685</v>
      </c>
      <c r="J726" s="126">
        <f t="shared" si="226"/>
        <v>9056819.4450464156</v>
      </c>
      <c r="K726" s="139">
        <f t="shared" si="221"/>
        <v>0</v>
      </c>
      <c r="L726" s="83">
        <f t="shared" si="219"/>
        <v>9056819.4450464156</v>
      </c>
      <c r="M726" s="80">
        <f t="shared" si="227"/>
        <v>487</v>
      </c>
      <c r="N726" s="157">
        <f t="shared" si="215"/>
        <v>0</v>
      </c>
      <c r="O726" s="140">
        <f t="shared" si="222"/>
        <v>0</v>
      </c>
      <c r="P726" s="149">
        <v>0</v>
      </c>
      <c r="Q726" s="163">
        <f t="shared" si="228"/>
        <v>487</v>
      </c>
      <c r="R726" s="150">
        <f t="shared" si="223"/>
        <v>0</v>
      </c>
      <c r="S726" s="164">
        <f t="shared" si="216"/>
        <v>9119824.2599999998</v>
      </c>
    </row>
    <row r="727" spans="1:19" x14ac:dyDescent="0.25">
      <c r="A727" s="80" t="str">
        <f t="shared" si="213"/>
        <v>Wed</v>
      </c>
      <c r="B727" s="147">
        <f>IF(SUMIFS(CashFlow!$C$16:$C$40,CashFlow!$D$16:$D$40,CashFlowCalcs!$E727)&gt;0,SUMIFS(CashFlow!$C$16:$C$40,CashFlow!$D$16:$D$40,CashFlowCalcs!$E727),B726)</f>
        <v>24</v>
      </c>
      <c r="C727" s="147" t="str">
        <f t="shared" si="224"/>
        <v>N</v>
      </c>
      <c r="D727" s="80">
        <f t="shared" si="229"/>
        <v>488</v>
      </c>
      <c r="E727" s="81">
        <f t="shared" si="230"/>
        <v>45077</v>
      </c>
      <c r="F727" s="80">
        <f t="shared" si="231"/>
        <v>-0.11242603550295849</v>
      </c>
      <c r="G727" s="119">
        <f t="shared" si="225"/>
        <v>0.3964289924053282</v>
      </c>
      <c r="H727" s="125">
        <f t="shared" si="232"/>
        <v>45077</v>
      </c>
      <c r="I727" s="82">
        <f t="shared" si="220"/>
        <v>0.99376970808986975</v>
      </c>
      <c r="J727" s="126">
        <f t="shared" si="226"/>
        <v>9063005.0926911123</v>
      </c>
      <c r="K727" s="139">
        <f t="shared" si="221"/>
        <v>0</v>
      </c>
      <c r="L727" s="83">
        <f t="shared" si="219"/>
        <v>9063005.0926911123</v>
      </c>
      <c r="M727" s="80">
        <f t="shared" si="227"/>
        <v>488</v>
      </c>
      <c r="N727" s="157">
        <f t="shared" si="215"/>
        <v>0</v>
      </c>
      <c r="O727" s="140">
        <f t="shared" si="222"/>
        <v>0</v>
      </c>
      <c r="P727" s="149">
        <v>0</v>
      </c>
      <c r="Q727" s="163">
        <f t="shared" si="228"/>
        <v>488</v>
      </c>
      <c r="R727" s="150">
        <f t="shared" si="223"/>
        <v>0</v>
      </c>
      <c r="S727" s="164">
        <f t="shared" si="216"/>
        <v>9119824.2599999998</v>
      </c>
    </row>
    <row r="728" spans="1:19" x14ac:dyDescent="0.25">
      <c r="A728" s="80" t="str">
        <f t="shared" si="213"/>
        <v>Thu</v>
      </c>
      <c r="B728" s="147">
        <f>IF(SUMIFS(CashFlow!$C$16:$C$40,CashFlow!$D$16:$D$40,CashFlowCalcs!$E728)&gt;0,SUMIFS(CashFlow!$C$16:$C$40,CashFlow!$D$16:$D$40,CashFlowCalcs!$E728),B727)</f>
        <v>24</v>
      </c>
      <c r="C728" s="147" t="str">
        <f t="shared" si="224"/>
        <v>N</v>
      </c>
      <c r="D728" s="80">
        <f t="shared" si="229"/>
        <v>489</v>
      </c>
      <c r="E728" s="81">
        <f t="shared" si="230"/>
        <v>45078</v>
      </c>
      <c r="F728" s="80">
        <f t="shared" si="231"/>
        <v>-0.10650887573964507</v>
      </c>
      <c r="G728" s="119">
        <f t="shared" si="225"/>
        <v>0.39668585708448079</v>
      </c>
      <c r="H728" s="125">
        <f t="shared" si="232"/>
        <v>45078</v>
      </c>
      <c r="I728" s="82">
        <f t="shared" si="220"/>
        <v>0.99441361744592183</v>
      </c>
      <c r="J728" s="126">
        <f t="shared" si="226"/>
        <v>9068877.4328576773</v>
      </c>
      <c r="K728" s="139">
        <f t="shared" si="221"/>
        <v>0</v>
      </c>
      <c r="L728" s="83">
        <f t="shared" si="219"/>
        <v>9068877.4328576773</v>
      </c>
      <c r="M728" s="80">
        <f t="shared" si="227"/>
        <v>489</v>
      </c>
      <c r="N728" s="157">
        <f t="shared" si="215"/>
        <v>0</v>
      </c>
      <c r="O728" s="140">
        <f t="shared" si="222"/>
        <v>0</v>
      </c>
      <c r="P728" s="149">
        <v>0</v>
      </c>
      <c r="Q728" s="163">
        <f t="shared" si="228"/>
        <v>489</v>
      </c>
      <c r="R728" s="150">
        <f t="shared" si="223"/>
        <v>0</v>
      </c>
      <c r="S728" s="164">
        <f t="shared" si="216"/>
        <v>9119824.2599999998</v>
      </c>
    </row>
    <row r="729" spans="1:19" x14ac:dyDescent="0.25">
      <c r="A729" s="80" t="str">
        <f t="shared" si="213"/>
        <v>Fri</v>
      </c>
      <c r="B729" s="147">
        <f>IF(SUMIFS(CashFlow!$C$16:$C$40,CashFlow!$D$16:$D$40,CashFlowCalcs!$E729)&gt;0,SUMIFS(CashFlow!$C$16:$C$40,CashFlow!$D$16:$D$40,CashFlowCalcs!$E729),B728)</f>
        <v>24</v>
      </c>
      <c r="C729" s="147" t="str">
        <f t="shared" si="224"/>
        <v>N</v>
      </c>
      <c r="D729" s="80">
        <f t="shared" si="229"/>
        <v>490</v>
      </c>
      <c r="E729" s="81">
        <f t="shared" si="230"/>
        <v>45079</v>
      </c>
      <c r="F729" s="80">
        <f t="shared" si="231"/>
        <v>-0.10059171597633121</v>
      </c>
      <c r="G729" s="119">
        <f t="shared" si="225"/>
        <v>0.39692899036755741</v>
      </c>
      <c r="H729" s="125">
        <f t="shared" si="232"/>
        <v>45079</v>
      </c>
      <c r="I729" s="82">
        <f t="shared" si="220"/>
        <v>0.99502310488599011</v>
      </c>
      <c r="J729" s="126">
        <f t="shared" si="226"/>
        <v>9074435.8511997778</v>
      </c>
      <c r="K729" s="139">
        <f t="shared" si="221"/>
        <v>0</v>
      </c>
      <c r="L729" s="83">
        <f t="shared" si="219"/>
        <v>9074435.8511997778</v>
      </c>
      <c r="M729" s="80">
        <f t="shared" si="227"/>
        <v>490</v>
      </c>
      <c r="N729" s="157">
        <f t="shared" si="215"/>
        <v>0</v>
      </c>
      <c r="O729" s="140">
        <f t="shared" si="222"/>
        <v>0</v>
      </c>
      <c r="P729" s="149">
        <v>0</v>
      </c>
      <c r="Q729" s="163">
        <f t="shared" si="228"/>
        <v>490</v>
      </c>
      <c r="R729" s="150">
        <f t="shared" si="223"/>
        <v>0</v>
      </c>
      <c r="S729" s="164">
        <f t="shared" si="216"/>
        <v>9119824.2599999998</v>
      </c>
    </row>
    <row r="730" spans="1:19" x14ac:dyDescent="0.25">
      <c r="A730" s="80" t="str">
        <f t="shared" ref="A730:A750" si="233">A723</f>
        <v>Sat</v>
      </c>
      <c r="B730" s="147">
        <f>IF(SUMIFS(CashFlow!$C$16:$C$40,CashFlow!$D$16:$D$40,CashFlowCalcs!$E730)&gt;0,SUMIFS(CashFlow!$C$16:$C$40,CashFlow!$D$16:$D$40,CashFlowCalcs!$E730),B729)</f>
        <v>24</v>
      </c>
      <c r="C730" s="147" t="str">
        <f t="shared" si="224"/>
        <v>Y</v>
      </c>
      <c r="D730" s="80">
        <f t="shared" si="229"/>
        <v>490</v>
      </c>
      <c r="E730" s="81">
        <f t="shared" si="230"/>
        <v>45080</v>
      </c>
      <c r="F730" s="80">
        <f t="shared" si="231"/>
        <v>-0.10059171597633121</v>
      </c>
      <c r="G730" s="119">
        <f t="shared" si="225"/>
        <v>0.39692899036755741</v>
      </c>
      <c r="H730" s="125">
        <f t="shared" si="232"/>
        <v>45080</v>
      </c>
      <c r="I730" s="82">
        <f t="shared" si="220"/>
        <v>0.99502310488599011</v>
      </c>
      <c r="J730" s="126">
        <f t="shared" si="226"/>
        <v>9074435.8511997778</v>
      </c>
      <c r="K730" s="139">
        <f t="shared" si="221"/>
        <v>0</v>
      </c>
      <c r="L730" s="83">
        <f t="shared" si="219"/>
        <v>9074435.8511997778</v>
      </c>
      <c r="M730" s="80">
        <f t="shared" si="227"/>
        <v>490</v>
      </c>
      <c r="N730" s="157">
        <f t="shared" si="215"/>
        <v>0</v>
      </c>
      <c r="O730" s="140">
        <f t="shared" si="222"/>
        <v>0</v>
      </c>
      <c r="P730" s="149">
        <v>0</v>
      </c>
      <c r="Q730" s="163">
        <f t="shared" si="228"/>
        <v>490</v>
      </c>
      <c r="R730" s="150">
        <f t="shared" si="223"/>
        <v>0</v>
      </c>
      <c r="S730" s="164">
        <f t="shared" si="216"/>
        <v>9119824.2599999998</v>
      </c>
    </row>
    <row r="731" spans="1:19" x14ac:dyDescent="0.25">
      <c r="A731" s="80" t="str">
        <f t="shared" si="233"/>
        <v>Sun</v>
      </c>
      <c r="B731" s="147">
        <f>IF(SUMIFS(CashFlow!$C$16:$C$40,CashFlow!$D$16:$D$40,CashFlowCalcs!$E731)&gt;0,SUMIFS(CashFlow!$C$16:$C$40,CashFlow!$D$16:$D$40,CashFlowCalcs!$E731),B730)</f>
        <v>24</v>
      </c>
      <c r="C731" s="147" t="str">
        <f t="shared" si="224"/>
        <v>Y</v>
      </c>
      <c r="D731" s="80">
        <f t="shared" si="229"/>
        <v>490</v>
      </c>
      <c r="E731" s="81">
        <f t="shared" si="230"/>
        <v>45081</v>
      </c>
      <c r="F731" s="80">
        <f t="shared" si="231"/>
        <v>-0.10059171597633121</v>
      </c>
      <c r="G731" s="119">
        <f t="shared" si="225"/>
        <v>0.39692899036755741</v>
      </c>
      <c r="H731" s="125">
        <f t="shared" si="232"/>
        <v>45081</v>
      </c>
      <c r="I731" s="82">
        <f t="shared" si="220"/>
        <v>0.99502310488599011</v>
      </c>
      <c r="J731" s="126">
        <f t="shared" si="226"/>
        <v>9074435.8511997778</v>
      </c>
      <c r="K731" s="139">
        <f t="shared" si="221"/>
        <v>0</v>
      </c>
      <c r="L731" s="83">
        <f t="shared" si="219"/>
        <v>9074435.8511997778</v>
      </c>
      <c r="M731" s="80">
        <f t="shared" si="227"/>
        <v>490</v>
      </c>
      <c r="N731" s="157">
        <f t="shared" si="215"/>
        <v>0</v>
      </c>
      <c r="O731" s="140">
        <f t="shared" si="222"/>
        <v>0</v>
      </c>
      <c r="P731" s="149">
        <v>0</v>
      </c>
      <c r="Q731" s="163">
        <f t="shared" si="228"/>
        <v>490</v>
      </c>
      <c r="R731" s="150">
        <f t="shared" si="223"/>
        <v>0</v>
      </c>
      <c r="S731" s="164">
        <f t="shared" si="216"/>
        <v>9119824.2599999998</v>
      </c>
    </row>
    <row r="732" spans="1:19" x14ac:dyDescent="0.25">
      <c r="A732" s="80" t="str">
        <f t="shared" si="233"/>
        <v>Mon</v>
      </c>
      <c r="B732" s="147">
        <f>IF(SUMIFS(CashFlow!$C$16:$C$40,CashFlow!$D$16:$D$40,CashFlowCalcs!$E732)&gt;0,SUMIFS(CashFlow!$C$16:$C$40,CashFlow!$D$16:$D$40,CashFlowCalcs!$E732),B731)</f>
        <v>24</v>
      </c>
      <c r="C732" s="147" t="str">
        <f t="shared" si="224"/>
        <v>N</v>
      </c>
      <c r="D732" s="80">
        <f t="shared" si="229"/>
        <v>491</v>
      </c>
      <c r="E732" s="81">
        <f t="shared" si="230"/>
        <v>45082</v>
      </c>
      <c r="F732" s="80">
        <f t="shared" si="231"/>
        <v>-9.4674556213017791E-2</v>
      </c>
      <c r="G732" s="119">
        <f t="shared" si="225"/>
        <v>0.3971583668079654</v>
      </c>
      <c r="H732" s="125">
        <f t="shared" si="232"/>
        <v>45082</v>
      </c>
      <c r="I732" s="82">
        <f t="shared" si="220"/>
        <v>0.99559810662045933</v>
      </c>
      <c r="J732" s="126">
        <f t="shared" si="226"/>
        <v>9079679.7659673318</v>
      </c>
      <c r="K732" s="139">
        <f t="shared" si="221"/>
        <v>0</v>
      </c>
      <c r="L732" s="83">
        <f t="shared" si="219"/>
        <v>9079679.7659673318</v>
      </c>
      <c r="M732" s="80">
        <f t="shared" si="227"/>
        <v>491</v>
      </c>
      <c r="N732" s="157">
        <f t="shared" si="215"/>
        <v>0</v>
      </c>
      <c r="O732" s="140">
        <f t="shared" si="222"/>
        <v>0</v>
      </c>
      <c r="P732" s="149">
        <v>0</v>
      </c>
      <c r="Q732" s="163">
        <f t="shared" si="228"/>
        <v>491</v>
      </c>
      <c r="R732" s="150">
        <f t="shared" si="223"/>
        <v>0</v>
      </c>
      <c r="S732" s="164">
        <f t="shared" si="216"/>
        <v>9119824.2599999998</v>
      </c>
    </row>
    <row r="733" spans="1:19" x14ac:dyDescent="0.25">
      <c r="A733" s="80" t="str">
        <f t="shared" si="233"/>
        <v>Tues</v>
      </c>
      <c r="B733" s="147">
        <f>IF(SUMIFS(CashFlow!$C$16:$C$40,CashFlow!$D$16:$D$40,CashFlowCalcs!$E733)&gt;0,SUMIFS(CashFlow!$C$16:$C$40,CashFlow!$D$16:$D$40,CashFlowCalcs!$E733),B732)</f>
        <v>24</v>
      </c>
      <c r="C733" s="147" t="str">
        <f t="shared" si="224"/>
        <v>N</v>
      </c>
      <c r="D733" s="80">
        <f t="shared" si="229"/>
        <v>492</v>
      </c>
      <c r="E733" s="81">
        <f t="shared" si="230"/>
        <v>45083</v>
      </c>
      <c r="F733" s="80">
        <f t="shared" si="231"/>
        <v>-8.8757396449704373E-2</v>
      </c>
      <c r="G733" s="119">
        <f t="shared" si="225"/>
        <v>0.39737396238935785</v>
      </c>
      <c r="H733" s="125">
        <f t="shared" si="232"/>
        <v>45083</v>
      </c>
      <c r="I733" s="82">
        <f t="shared" si="220"/>
        <v>0.99613856244505949</v>
      </c>
      <c r="J733" s="126">
        <f t="shared" si="226"/>
        <v>9084608.628107978</v>
      </c>
      <c r="K733" s="139">
        <f t="shared" si="221"/>
        <v>0</v>
      </c>
      <c r="L733" s="83">
        <f t="shared" si="219"/>
        <v>9084608.628107978</v>
      </c>
      <c r="M733" s="80">
        <f t="shared" si="227"/>
        <v>492</v>
      </c>
      <c r="N733" s="157">
        <f t="shared" si="215"/>
        <v>0</v>
      </c>
      <c r="O733" s="140">
        <f t="shared" si="222"/>
        <v>0</v>
      </c>
      <c r="P733" s="149">
        <v>0</v>
      </c>
      <c r="Q733" s="163">
        <f t="shared" si="228"/>
        <v>492</v>
      </c>
      <c r="R733" s="150">
        <f t="shared" si="223"/>
        <v>0</v>
      </c>
      <c r="S733" s="164">
        <f t="shared" si="216"/>
        <v>9119824.2599999998</v>
      </c>
    </row>
    <row r="734" spans="1:19" x14ac:dyDescent="0.25">
      <c r="A734" s="80" t="str">
        <f t="shared" si="233"/>
        <v>Wed</v>
      </c>
      <c r="B734" s="147">
        <f>IF(SUMIFS(CashFlow!$C$16:$C$40,CashFlow!$D$16:$D$40,CashFlowCalcs!$E734)&gt;0,SUMIFS(CashFlow!$C$16:$C$40,CashFlow!$D$16:$D$40,CashFlowCalcs!$E734),B733)</f>
        <v>24</v>
      </c>
      <c r="C734" s="147" t="str">
        <f t="shared" si="224"/>
        <v>N</v>
      </c>
      <c r="D734" s="80">
        <f t="shared" si="229"/>
        <v>493</v>
      </c>
      <c r="E734" s="81">
        <f t="shared" si="230"/>
        <v>45084</v>
      </c>
      <c r="F734" s="80">
        <f t="shared" si="231"/>
        <v>-8.2840236686390512E-2</v>
      </c>
      <c r="G734" s="119">
        <f t="shared" si="225"/>
        <v>0.39757575452982474</v>
      </c>
      <c r="H734" s="125">
        <f t="shared" si="232"/>
        <v>45084</v>
      </c>
      <c r="I734" s="82">
        <f t="shared" si="220"/>
        <v>0.99664441575137264</v>
      </c>
      <c r="J734" s="126">
        <f t="shared" si="226"/>
        <v>9089221.9213628937</v>
      </c>
      <c r="K734" s="139">
        <f t="shared" si="221"/>
        <v>0</v>
      </c>
      <c r="L734" s="83">
        <f t="shared" si="219"/>
        <v>9089221.9213628937</v>
      </c>
      <c r="M734" s="80">
        <f t="shared" si="227"/>
        <v>493</v>
      </c>
      <c r="N734" s="157">
        <f t="shared" si="215"/>
        <v>0</v>
      </c>
      <c r="O734" s="140">
        <f t="shared" si="222"/>
        <v>0</v>
      </c>
      <c r="P734" s="149">
        <v>0</v>
      </c>
      <c r="Q734" s="163">
        <f t="shared" si="228"/>
        <v>493</v>
      </c>
      <c r="R734" s="150">
        <f t="shared" si="223"/>
        <v>0</v>
      </c>
      <c r="S734" s="164">
        <f t="shared" si="216"/>
        <v>9119824.2599999998</v>
      </c>
    </row>
    <row r="735" spans="1:19" x14ac:dyDescent="0.25">
      <c r="A735" s="80" t="str">
        <f t="shared" si="233"/>
        <v>Thu</v>
      </c>
      <c r="B735" s="147">
        <f>IF(SUMIFS(CashFlow!$C$16:$C$40,CashFlow!$D$16:$D$40,CashFlowCalcs!$E735)&gt;0,SUMIFS(CashFlow!$C$16:$C$40,CashFlow!$D$16:$D$40,CashFlowCalcs!$E735),B734)</f>
        <v>24</v>
      </c>
      <c r="C735" s="147" t="str">
        <f t="shared" si="224"/>
        <v>N</v>
      </c>
      <c r="D735" s="80">
        <f t="shared" si="229"/>
        <v>494</v>
      </c>
      <c r="E735" s="81">
        <f t="shared" si="230"/>
        <v>45085</v>
      </c>
      <c r="F735" s="80">
        <f t="shared" si="231"/>
        <v>-7.6923076923077094E-2</v>
      </c>
      <c r="G735" s="119">
        <f t="shared" si="225"/>
        <v>0.39776372208583477</v>
      </c>
      <c r="H735" s="125">
        <f t="shared" si="232"/>
        <v>45085</v>
      </c>
      <c r="I735" s="82">
        <f t="shared" si="220"/>
        <v>0.99711561353671385</v>
      </c>
      <c r="J735" s="126">
        <f t="shared" si="226"/>
        <v>9093519.1623569075</v>
      </c>
      <c r="K735" s="139">
        <f t="shared" si="221"/>
        <v>0</v>
      </c>
      <c r="L735" s="83">
        <f t="shared" si="219"/>
        <v>9093519.1623569075</v>
      </c>
      <c r="M735" s="80">
        <f t="shared" si="227"/>
        <v>494</v>
      </c>
      <c r="N735" s="157">
        <f t="shared" si="215"/>
        <v>0</v>
      </c>
      <c r="O735" s="140">
        <f t="shared" si="222"/>
        <v>0</v>
      </c>
      <c r="P735" s="149">
        <v>0</v>
      </c>
      <c r="Q735" s="163">
        <f t="shared" si="228"/>
        <v>494</v>
      </c>
      <c r="R735" s="150">
        <f t="shared" si="223"/>
        <v>0</v>
      </c>
      <c r="S735" s="164">
        <f t="shared" si="216"/>
        <v>9119824.2599999998</v>
      </c>
    </row>
    <row r="736" spans="1:19" x14ac:dyDescent="0.25">
      <c r="A736" s="80" t="str">
        <f t="shared" si="233"/>
        <v>Fri</v>
      </c>
      <c r="B736" s="147">
        <f>IF(SUMIFS(CashFlow!$C$16:$C$40,CashFlow!$D$16:$D$40,CashFlowCalcs!$E736)&gt;0,SUMIFS(CashFlow!$C$16:$C$40,CashFlow!$D$16:$D$40,CashFlowCalcs!$E736),B735)</f>
        <v>24</v>
      </c>
      <c r="C736" s="147" t="str">
        <f t="shared" si="224"/>
        <v>N</v>
      </c>
      <c r="D736" s="80">
        <f t="shared" si="229"/>
        <v>495</v>
      </c>
      <c r="E736" s="81">
        <f t="shared" si="230"/>
        <v>45086</v>
      </c>
      <c r="F736" s="80">
        <f t="shared" si="231"/>
        <v>-7.1005917159763232E-2</v>
      </c>
      <c r="G736" s="119">
        <f t="shared" si="225"/>
        <v>0.39793784535592791</v>
      </c>
      <c r="H736" s="125">
        <f t="shared" si="232"/>
        <v>45086</v>
      </c>
      <c r="I736" s="82">
        <f t="shared" si="220"/>
        <v>0.99755210641338821</v>
      </c>
      <c r="J736" s="126">
        <f t="shared" si="226"/>
        <v>9097499.9006829187</v>
      </c>
      <c r="K736" s="139">
        <f t="shared" si="221"/>
        <v>0</v>
      </c>
      <c r="L736" s="83">
        <f t="shared" si="219"/>
        <v>9097499.9006829187</v>
      </c>
      <c r="M736" s="80">
        <f t="shared" si="227"/>
        <v>495</v>
      </c>
      <c r="N736" s="157">
        <f t="shared" si="215"/>
        <v>0</v>
      </c>
      <c r="O736" s="140">
        <f t="shared" si="222"/>
        <v>0</v>
      </c>
      <c r="P736" s="149">
        <v>0</v>
      </c>
      <c r="Q736" s="163">
        <f t="shared" si="228"/>
        <v>495</v>
      </c>
      <c r="R736" s="150">
        <f t="shared" si="223"/>
        <v>0</v>
      </c>
      <c r="S736" s="164">
        <f t="shared" si="216"/>
        <v>9119824.2599999998</v>
      </c>
    </row>
    <row r="737" spans="1:19" x14ac:dyDescent="0.25">
      <c r="A737" s="80" t="str">
        <f t="shared" si="233"/>
        <v>Sat</v>
      </c>
      <c r="B737" s="147">
        <f>IF(SUMIFS(CashFlow!$C$16:$C$40,CashFlow!$D$16:$D$40,CashFlowCalcs!$E737)&gt;0,SUMIFS(CashFlow!$C$16:$C$40,CashFlow!$D$16:$D$40,CashFlowCalcs!$E737),B736)</f>
        <v>24</v>
      </c>
      <c r="C737" s="147" t="str">
        <f t="shared" si="224"/>
        <v>Y</v>
      </c>
      <c r="D737" s="80">
        <f t="shared" si="229"/>
        <v>495</v>
      </c>
      <c r="E737" s="81">
        <f t="shared" si="230"/>
        <v>45087</v>
      </c>
      <c r="F737" s="80">
        <f t="shared" si="231"/>
        <v>-7.1005917159763232E-2</v>
      </c>
      <c r="G737" s="119">
        <f t="shared" si="225"/>
        <v>0.39793784535592791</v>
      </c>
      <c r="H737" s="125">
        <f t="shared" si="232"/>
        <v>45087</v>
      </c>
      <c r="I737" s="82">
        <f t="shared" si="220"/>
        <v>0.99755210641338821</v>
      </c>
      <c r="J737" s="126">
        <f t="shared" si="226"/>
        <v>9097499.9006829187</v>
      </c>
      <c r="K737" s="139">
        <f t="shared" si="221"/>
        <v>0</v>
      </c>
      <c r="L737" s="83">
        <f t="shared" si="219"/>
        <v>9097499.9006829187</v>
      </c>
      <c r="M737" s="80">
        <f t="shared" si="227"/>
        <v>495</v>
      </c>
      <c r="N737" s="157">
        <f t="shared" si="215"/>
        <v>0</v>
      </c>
      <c r="O737" s="140">
        <f t="shared" si="222"/>
        <v>0</v>
      </c>
      <c r="P737" s="149">
        <v>0</v>
      </c>
      <c r="Q737" s="163">
        <f t="shared" si="228"/>
        <v>495</v>
      </c>
      <c r="R737" s="150">
        <f t="shared" si="223"/>
        <v>0</v>
      </c>
      <c r="S737" s="164">
        <f t="shared" si="216"/>
        <v>9119824.2599999998</v>
      </c>
    </row>
    <row r="738" spans="1:19" x14ac:dyDescent="0.25">
      <c r="A738" s="80" t="str">
        <f t="shared" si="233"/>
        <v>Sun</v>
      </c>
      <c r="B738" s="147">
        <f>IF(SUMIFS(CashFlow!$C$16:$C$40,CashFlow!$D$16:$D$40,CashFlowCalcs!$E738)&gt;0,SUMIFS(CashFlow!$C$16:$C$40,CashFlow!$D$16:$D$40,CashFlowCalcs!$E738),B737)</f>
        <v>24</v>
      </c>
      <c r="C738" s="147" t="str">
        <f t="shared" si="224"/>
        <v>Y</v>
      </c>
      <c r="D738" s="80">
        <f t="shared" si="229"/>
        <v>495</v>
      </c>
      <c r="E738" s="81">
        <f t="shared" si="230"/>
        <v>45088</v>
      </c>
      <c r="F738" s="80">
        <f t="shared" si="231"/>
        <v>-7.1005917159763232E-2</v>
      </c>
      <c r="G738" s="119">
        <f t="shared" si="225"/>
        <v>0.39793784535592791</v>
      </c>
      <c r="H738" s="125">
        <f t="shared" si="232"/>
        <v>45088</v>
      </c>
      <c r="I738" s="82">
        <f t="shared" si="220"/>
        <v>0.99755210641338821</v>
      </c>
      <c r="J738" s="126">
        <f t="shared" si="226"/>
        <v>9097499.9006829187</v>
      </c>
      <c r="K738" s="139">
        <f t="shared" si="221"/>
        <v>0</v>
      </c>
      <c r="L738" s="83">
        <f t="shared" si="219"/>
        <v>9097499.9006829187</v>
      </c>
      <c r="M738" s="80">
        <f t="shared" si="227"/>
        <v>495</v>
      </c>
      <c r="N738" s="157">
        <f t="shared" si="215"/>
        <v>0</v>
      </c>
      <c r="O738" s="140">
        <f t="shared" si="222"/>
        <v>0</v>
      </c>
      <c r="P738" s="149">
        <v>0</v>
      </c>
      <c r="Q738" s="163">
        <f t="shared" si="228"/>
        <v>495</v>
      </c>
      <c r="R738" s="150">
        <f t="shared" si="223"/>
        <v>0</v>
      </c>
      <c r="S738" s="164">
        <f t="shared" si="216"/>
        <v>9119824.2599999998</v>
      </c>
    </row>
    <row r="739" spans="1:19" x14ac:dyDescent="0.25">
      <c r="A739" s="80" t="str">
        <f t="shared" si="233"/>
        <v>Mon</v>
      </c>
      <c r="B739" s="147">
        <f>IF(SUMIFS(CashFlow!$C$16:$C$40,CashFlow!$D$16:$D$40,CashFlowCalcs!$E739)&gt;0,SUMIFS(CashFlow!$C$16:$C$40,CashFlow!$D$16:$D$40,CashFlowCalcs!$E739),B738)</f>
        <v>24</v>
      </c>
      <c r="C739" s="147" t="str">
        <f t="shared" si="224"/>
        <v>N</v>
      </c>
      <c r="D739" s="80">
        <f t="shared" si="229"/>
        <v>496</v>
      </c>
      <c r="E739" s="81">
        <f t="shared" si="230"/>
        <v>45089</v>
      </c>
      <c r="F739" s="80">
        <f t="shared" si="231"/>
        <v>-6.5088757396449815E-2</v>
      </c>
      <c r="G739" s="119">
        <f t="shared" si="225"/>
        <v>0.39809810608415663</v>
      </c>
      <c r="H739" s="125">
        <f t="shared" si="232"/>
        <v>45089</v>
      </c>
      <c r="I739" s="82">
        <f t="shared" si="220"/>
        <v>0.99795384861731684</v>
      </c>
      <c r="J739" s="126">
        <f t="shared" si="226"/>
        <v>9101163.7189805731</v>
      </c>
      <c r="K739" s="139">
        <f t="shared" si="221"/>
        <v>0</v>
      </c>
      <c r="L739" s="83">
        <f t="shared" si="219"/>
        <v>9101163.7189805731</v>
      </c>
      <c r="M739" s="80">
        <f t="shared" si="227"/>
        <v>496</v>
      </c>
      <c r="N739" s="157">
        <f t="shared" si="215"/>
        <v>0</v>
      </c>
      <c r="O739" s="140">
        <f t="shared" si="222"/>
        <v>0</v>
      </c>
      <c r="P739" s="149">
        <v>0</v>
      </c>
      <c r="Q739" s="163">
        <f t="shared" si="228"/>
        <v>496</v>
      </c>
      <c r="R739" s="150">
        <f t="shared" si="223"/>
        <v>0</v>
      </c>
      <c r="S739" s="164">
        <f t="shared" si="216"/>
        <v>9119824.2599999998</v>
      </c>
    </row>
    <row r="740" spans="1:19" x14ac:dyDescent="0.25">
      <c r="A740" s="80" t="str">
        <f t="shared" si="233"/>
        <v>Tues</v>
      </c>
      <c r="B740" s="147">
        <f>IF(SUMIFS(CashFlow!$C$16:$C$40,CashFlow!$D$16:$D$40,CashFlowCalcs!$E740)&gt;0,SUMIFS(CashFlow!$C$16:$C$40,CashFlow!$D$16:$D$40,CashFlowCalcs!$E740),B739)</f>
        <v>24</v>
      </c>
      <c r="C740" s="147" t="str">
        <f t="shared" si="224"/>
        <v>N</v>
      </c>
      <c r="D740" s="80">
        <f t="shared" si="229"/>
        <v>497</v>
      </c>
      <c r="E740" s="81">
        <f t="shared" ref="E740:E750" si="234">E739+1</f>
        <v>45090</v>
      </c>
      <c r="F740" s="80">
        <f t="shared" si="231"/>
        <v>-5.9171597633135953E-2</v>
      </c>
      <c r="G740" s="119">
        <f t="shared" si="225"/>
        <v>0.39824448746327623</v>
      </c>
      <c r="H740" s="125">
        <f t="shared" si="232"/>
        <v>45090</v>
      </c>
      <c r="I740" s="82">
        <f t="shared" si="220"/>
        <v>0.99832079801603479</v>
      </c>
      <c r="J740" s="126">
        <f t="shared" si="226"/>
        <v>9104510.2330091931</v>
      </c>
      <c r="K740" s="139">
        <f t="shared" si="221"/>
        <v>0</v>
      </c>
      <c r="L740" s="83">
        <f t="shared" si="219"/>
        <v>9104510.2330091931</v>
      </c>
      <c r="M740" s="80">
        <f t="shared" si="227"/>
        <v>497</v>
      </c>
      <c r="N740" s="157">
        <f t="shared" ref="N740:N750" si="235">IF(E740&lt;$J$6,0,IF(E740&gt;=$I$1,0,1))*$I$10</f>
        <v>0</v>
      </c>
      <c r="O740" s="140">
        <f t="shared" si="222"/>
        <v>0</v>
      </c>
      <c r="P740" s="149">
        <v>0</v>
      </c>
      <c r="Q740" s="163">
        <f t="shared" si="228"/>
        <v>497</v>
      </c>
      <c r="R740" s="150">
        <f t="shared" si="223"/>
        <v>0</v>
      </c>
      <c r="S740" s="164">
        <f t="shared" si="216"/>
        <v>9119824.2599999998</v>
      </c>
    </row>
    <row r="741" spans="1:19" x14ac:dyDescent="0.25">
      <c r="A741" s="80" t="str">
        <f t="shared" si="233"/>
        <v>Wed</v>
      </c>
      <c r="B741" s="147">
        <f>IF(SUMIFS(CashFlow!$C$16:$C$40,CashFlow!$D$16:$D$40,CashFlowCalcs!$E741)&gt;0,SUMIFS(CashFlow!$C$16:$C$40,CashFlow!$D$16:$D$40,CashFlowCalcs!$E741),B740)</f>
        <v>24</v>
      </c>
      <c r="C741" s="147" t="str">
        <f t="shared" si="224"/>
        <v>N</v>
      </c>
      <c r="D741" s="80">
        <f t="shared" si="229"/>
        <v>498</v>
      </c>
      <c r="E741" s="81">
        <f t="shared" si="234"/>
        <v>45091</v>
      </c>
      <c r="F741" s="80">
        <f t="shared" si="231"/>
        <v>-5.3254437869822535E-2</v>
      </c>
      <c r="G741" s="119">
        <f t="shared" si="225"/>
        <v>0.39837697413768253</v>
      </c>
      <c r="H741" s="125">
        <f t="shared" si="232"/>
        <v>45091</v>
      </c>
      <c r="I741" s="82">
        <f t="shared" si="220"/>
        <v>0.99865291611605489</v>
      </c>
      <c r="J741" s="126">
        <f t="shared" si="226"/>
        <v>9107539.0917149428</v>
      </c>
      <c r="K741" s="139">
        <f t="shared" si="221"/>
        <v>0</v>
      </c>
      <c r="L741" s="83">
        <f t="shared" si="219"/>
        <v>9107539.0917149428</v>
      </c>
      <c r="M741" s="80">
        <f t="shared" si="227"/>
        <v>498</v>
      </c>
      <c r="N741" s="157">
        <f t="shared" si="235"/>
        <v>0</v>
      </c>
      <c r="O741" s="140">
        <f t="shared" si="222"/>
        <v>0</v>
      </c>
      <c r="P741" s="149">
        <v>0</v>
      </c>
      <c r="Q741" s="163">
        <f t="shared" si="228"/>
        <v>498</v>
      </c>
      <c r="R741" s="150">
        <f t="shared" si="223"/>
        <v>0</v>
      </c>
      <c r="S741" s="164">
        <f t="shared" si="216"/>
        <v>9119824.2599999998</v>
      </c>
    </row>
    <row r="742" spans="1:19" x14ac:dyDescent="0.25">
      <c r="A742" s="80" t="str">
        <f t="shared" si="233"/>
        <v>Thu</v>
      </c>
      <c r="B742" s="147">
        <f>IF(SUMIFS(CashFlow!$C$16:$C$40,CashFlow!$D$16:$D$40,CashFlowCalcs!$E742)&gt;0,SUMIFS(CashFlow!$C$16:$C$40,CashFlow!$D$16:$D$40,CashFlowCalcs!$E742),B741)</f>
        <v>24</v>
      </c>
      <c r="C742" s="147" t="str">
        <f t="shared" si="224"/>
        <v>N</v>
      </c>
      <c r="D742" s="80">
        <f t="shared" si="229"/>
        <v>499</v>
      </c>
      <c r="E742" s="81">
        <f t="shared" si="234"/>
        <v>45092</v>
      </c>
      <c r="F742" s="80">
        <f t="shared" si="231"/>
        <v>-4.7337278106508673E-2</v>
      </c>
      <c r="G742" s="119">
        <f t="shared" si="225"/>
        <v>0.39849555220609623</v>
      </c>
      <c r="H742" s="125">
        <f t="shared" si="232"/>
        <v>45092</v>
      </c>
      <c r="I742" s="82">
        <f t="shared" si="220"/>
        <v>0.99895016806959736</v>
      </c>
      <c r="J742" s="126">
        <f t="shared" si="226"/>
        <v>9110249.9772921912</v>
      </c>
      <c r="K742" s="139">
        <f t="shared" si="221"/>
        <v>0</v>
      </c>
      <c r="L742" s="83">
        <f t="shared" si="219"/>
        <v>9110249.9772921912</v>
      </c>
      <c r="M742" s="80">
        <f t="shared" si="227"/>
        <v>499</v>
      </c>
      <c r="N742" s="157">
        <f t="shared" si="235"/>
        <v>0</v>
      </c>
      <c r="O742" s="140">
        <f t="shared" si="222"/>
        <v>0</v>
      </c>
      <c r="P742" s="149">
        <v>0</v>
      </c>
      <c r="Q742" s="163">
        <f t="shared" si="228"/>
        <v>499</v>
      </c>
      <c r="R742" s="150">
        <f t="shared" si="223"/>
        <v>0</v>
      </c>
      <c r="S742" s="164">
        <f t="shared" si="216"/>
        <v>9119824.2599999998</v>
      </c>
    </row>
    <row r="743" spans="1:19" x14ac:dyDescent="0.25">
      <c r="A743" s="80" t="str">
        <f t="shared" si="233"/>
        <v>Fri</v>
      </c>
      <c r="B743" s="147">
        <f>IF(SUMIFS(CashFlow!$C$16:$C$40,CashFlow!$D$16:$D$40,CashFlowCalcs!$E743)&gt;0,SUMIFS(CashFlow!$C$16:$C$40,CashFlow!$D$16:$D$40,CashFlowCalcs!$E743),B742)</f>
        <v>24</v>
      </c>
      <c r="C743" s="147" t="str">
        <f t="shared" si="224"/>
        <v>N</v>
      </c>
      <c r="D743" s="80">
        <f t="shared" si="229"/>
        <v>500</v>
      </c>
      <c r="E743" s="81">
        <f t="shared" si="234"/>
        <v>45093</v>
      </c>
      <c r="F743" s="80">
        <f t="shared" si="231"/>
        <v>-4.1420118343195256E-2</v>
      </c>
      <c r="G743" s="119">
        <f t="shared" si="225"/>
        <v>0.39860020922399425</v>
      </c>
      <c r="H743" s="125">
        <f t="shared" si="232"/>
        <v>45093</v>
      </c>
      <c r="I743" s="82">
        <f t="shared" si="220"/>
        <v>0.99921252268068417</v>
      </c>
      <c r="J743" s="126">
        <f t="shared" si="226"/>
        <v>9112642.6052391026</v>
      </c>
      <c r="K743" s="139">
        <f t="shared" si="221"/>
        <v>0</v>
      </c>
      <c r="L743" s="83">
        <f t="shared" si="219"/>
        <v>9112642.6052391026</v>
      </c>
      <c r="M743" s="80">
        <f t="shared" si="227"/>
        <v>500</v>
      </c>
      <c r="N743" s="157">
        <f t="shared" si="235"/>
        <v>0</v>
      </c>
      <c r="O743" s="140">
        <f t="shared" si="222"/>
        <v>0</v>
      </c>
      <c r="P743" s="149">
        <v>0</v>
      </c>
      <c r="Q743" s="163">
        <f t="shared" si="228"/>
        <v>500</v>
      </c>
      <c r="R743" s="150">
        <f t="shared" si="223"/>
        <v>0</v>
      </c>
      <c r="S743" s="164">
        <f t="shared" si="216"/>
        <v>9119824.2599999998</v>
      </c>
    </row>
    <row r="744" spans="1:19" x14ac:dyDescent="0.25">
      <c r="A744" s="80" t="str">
        <f t="shared" si="233"/>
        <v>Sat</v>
      </c>
      <c r="B744" s="147">
        <f>IF(SUMIFS(CashFlow!$C$16:$C$40,CashFlow!$D$16:$D$40,CashFlowCalcs!$E744)&gt;0,SUMIFS(CashFlow!$C$16:$C$40,CashFlow!$D$16:$D$40,CashFlowCalcs!$E744),B743)</f>
        <v>24</v>
      </c>
      <c r="C744" s="147" t="str">
        <f t="shared" si="224"/>
        <v>Y</v>
      </c>
      <c r="D744" s="80">
        <f t="shared" si="229"/>
        <v>500</v>
      </c>
      <c r="E744" s="81">
        <f t="shared" si="234"/>
        <v>45094</v>
      </c>
      <c r="F744" s="80">
        <f t="shared" si="231"/>
        <v>-4.1420118343195256E-2</v>
      </c>
      <c r="G744" s="119">
        <f t="shared" si="225"/>
        <v>0.39860020922399425</v>
      </c>
      <c r="H744" s="125">
        <f t="shared" si="232"/>
        <v>45094</v>
      </c>
      <c r="I744" s="82">
        <f t="shared" si="220"/>
        <v>0.99921252268068417</v>
      </c>
      <c r="J744" s="126">
        <f t="shared" si="226"/>
        <v>9112642.6052391026</v>
      </c>
      <c r="K744" s="139">
        <f t="shared" si="221"/>
        <v>0</v>
      </c>
      <c r="L744" s="83">
        <f t="shared" si="219"/>
        <v>9112642.6052391026</v>
      </c>
      <c r="M744" s="80">
        <f t="shared" si="227"/>
        <v>500</v>
      </c>
      <c r="N744" s="157">
        <f t="shared" si="235"/>
        <v>0</v>
      </c>
      <c r="O744" s="140">
        <f t="shared" si="222"/>
        <v>0</v>
      </c>
      <c r="P744" s="149">
        <v>0</v>
      </c>
      <c r="Q744" s="163">
        <f t="shared" si="228"/>
        <v>500</v>
      </c>
      <c r="R744" s="150">
        <f t="shared" si="223"/>
        <v>0</v>
      </c>
      <c r="S744" s="164">
        <f t="shared" si="216"/>
        <v>9119824.2599999998</v>
      </c>
    </row>
    <row r="745" spans="1:19" x14ac:dyDescent="0.25">
      <c r="A745" s="80" t="str">
        <f t="shared" si="233"/>
        <v>Sun</v>
      </c>
      <c r="B745" s="147">
        <f>IF(SUMIFS(CashFlow!$C$16:$C$40,CashFlow!$D$16:$D$40,CashFlowCalcs!$E745)&gt;0,SUMIFS(CashFlow!$C$16:$C$40,CashFlow!$D$16:$D$40,CashFlowCalcs!$E745),B744)</f>
        <v>24</v>
      </c>
      <c r="C745" s="147" t="str">
        <f t="shared" si="224"/>
        <v>Y</v>
      </c>
      <c r="D745" s="80">
        <f t="shared" si="229"/>
        <v>500</v>
      </c>
      <c r="E745" s="81">
        <f t="shared" si="234"/>
        <v>45095</v>
      </c>
      <c r="F745" s="80">
        <f t="shared" si="231"/>
        <v>-4.1420118343195256E-2</v>
      </c>
      <c r="G745" s="119">
        <f t="shared" si="225"/>
        <v>0.39860020922399425</v>
      </c>
      <c r="H745" s="125">
        <f t="shared" si="232"/>
        <v>45095</v>
      </c>
      <c r="I745" s="82">
        <f t="shared" si="220"/>
        <v>0.99921252268068417</v>
      </c>
      <c r="J745" s="126">
        <f t="shared" si="226"/>
        <v>9112642.6052391026</v>
      </c>
      <c r="K745" s="139">
        <f t="shared" si="221"/>
        <v>0</v>
      </c>
      <c r="L745" s="83">
        <f t="shared" si="219"/>
        <v>9112642.6052391026</v>
      </c>
      <c r="M745" s="80">
        <f t="shared" si="227"/>
        <v>500</v>
      </c>
      <c r="N745" s="157">
        <f t="shared" si="235"/>
        <v>0</v>
      </c>
      <c r="O745" s="140">
        <f t="shared" si="222"/>
        <v>0</v>
      </c>
      <c r="P745" s="149">
        <v>0</v>
      </c>
      <c r="Q745" s="163">
        <f t="shared" si="228"/>
        <v>500</v>
      </c>
      <c r="R745" s="150">
        <f t="shared" si="223"/>
        <v>0</v>
      </c>
      <c r="S745" s="164">
        <f t="shared" si="216"/>
        <v>9119824.2599999998</v>
      </c>
    </row>
    <row r="746" spans="1:19" x14ac:dyDescent="0.25">
      <c r="A746" s="80" t="str">
        <f t="shared" si="233"/>
        <v>Mon</v>
      </c>
      <c r="B746" s="147">
        <f>IF(SUMIFS(CashFlow!$C$16:$C$40,CashFlow!$D$16:$D$40,CashFlowCalcs!$E746)&gt;0,SUMIFS(CashFlow!$C$16:$C$40,CashFlow!$D$16:$D$40,CashFlowCalcs!$E746),B745)</f>
        <v>24</v>
      </c>
      <c r="C746" s="147" t="str">
        <f t="shared" si="224"/>
        <v>N</v>
      </c>
      <c r="D746" s="80">
        <f t="shared" si="229"/>
        <v>501</v>
      </c>
      <c r="E746" s="81">
        <f t="shared" si="234"/>
        <v>45096</v>
      </c>
      <c r="F746" s="80">
        <f t="shared" si="231"/>
        <v>-3.5502958579881394E-2</v>
      </c>
      <c r="G746" s="119">
        <f t="shared" si="225"/>
        <v>0.39869093420578633</v>
      </c>
      <c r="H746" s="125">
        <f t="shared" si="232"/>
        <v>45096</v>
      </c>
      <c r="I746" s="82">
        <f t="shared" si="220"/>
        <v>0.99943995241059602</v>
      </c>
      <c r="J746" s="126">
        <f t="shared" si="226"/>
        <v>9114716.7244073991</v>
      </c>
      <c r="K746" s="139">
        <f t="shared" si="221"/>
        <v>0</v>
      </c>
      <c r="L746" s="83">
        <f t="shared" si="219"/>
        <v>9114716.7244073991</v>
      </c>
      <c r="M746" s="80">
        <f t="shared" si="227"/>
        <v>501</v>
      </c>
      <c r="N746" s="157">
        <f t="shared" si="235"/>
        <v>0</v>
      </c>
      <c r="O746" s="140">
        <f t="shared" si="222"/>
        <v>0</v>
      </c>
      <c r="P746" s="149">
        <v>0</v>
      </c>
      <c r="Q746" s="163">
        <f t="shared" si="228"/>
        <v>501</v>
      </c>
      <c r="R746" s="150">
        <f t="shared" si="223"/>
        <v>0</v>
      </c>
      <c r="S746" s="164">
        <f t="shared" si="216"/>
        <v>9119824.2599999998</v>
      </c>
    </row>
    <row r="747" spans="1:19" x14ac:dyDescent="0.25">
      <c r="A747" s="80" t="str">
        <f t="shared" si="233"/>
        <v>Tues</v>
      </c>
      <c r="B747" s="147">
        <f>IF(SUMIFS(CashFlow!$C$16:$C$40,CashFlow!$D$16:$D$40,CashFlowCalcs!$E747)&gt;0,SUMIFS(CashFlow!$C$16:$C$40,CashFlow!$D$16:$D$40,CashFlowCalcs!$E747),B746)</f>
        <v>24</v>
      </c>
      <c r="C747" s="147" t="str">
        <f t="shared" si="224"/>
        <v>N</v>
      </c>
      <c r="D747" s="80">
        <f t="shared" si="229"/>
        <v>502</v>
      </c>
      <c r="E747" s="81">
        <f t="shared" si="234"/>
        <v>45097</v>
      </c>
      <c r="F747" s="80">
        <f t="shared" si="231"/>
        <v>-2.958579881656842E-2</v>
      </c>
      <c r="G747" s="119">
        <f t="shared" si="225"/>
        <v>0.39876771762673668</v>
      </c>
      <c r="H747" s="125">
        <f t="shared" si="232"/>
        <v>45097</v>
      </c>
      <c r="I747" s="82">
        <f t="shared" si="220"/>
        <v>0.99963243338268892</v>
      </c>
      <c r="J747" s="126">
        <f t="shared" si="226"/>
        <v>9116472.1170462798</v>
      </c>
      <c r="K747" s="139">
        <f t="shared" si="221"/>
        <v>0</v>
      </c>
      <c r="L747" s="83">
        <f t="shared" si="219"/>
        <v>9116472.1170462798</v>
      </c>
      <c r="M747" s="80">
        <f t="shared" si="227"/>
        <v>502</v>
      </c>
      <c r="N747" s="157">
        <f t="shared" si="235"/>
        <v>0</v>
      </c>
      <c r="O747" s="140">
        <f t="shared" si="222"/>
        <v>0</v>
      </c>
      <c r="P747" s="149">
        <v>0</v>
      </c>
      <c r="Q747" s="163">
        <f t="shared" si="228"/>
        <v>502</v>
      </c>
      <c r="R747" s="150">
        <f t="shared" si="223"/>
        <v>0</v>
      </c>
      <c r="S747" s="164">
        <f t="shared" si="216"/>
        <v>9119824.2599999998</v>
      </c>
    </row>
    <row r="748" spans="1:19" x14ac:dyDescent="0.25">
      <c r="A748" s="80" t="str">
        <f t="shared" si="233"/>
        <v>Wed</v>
      </c>
      <c r="B748" s="147">
        <f>IF(SUMIFS(CashFlow!$C$16:$C$40,CashFlow!$D$16:$D$40,CashFlowCalcs!$E748)&gt;0,SUMIFS(CashFlow!$C$16:$C$40,CashFlow!$D$16:$D$40,CashFlowCalcs!$E748),B747)</f>
        <v>24</v>
      </c>
      <c r="C748" s="147" t="str">
        <f t="shared" si="224"/>
        <v>N</v>
      </c>
      <c r="D748" s="80">
        <f t="shared" si="229"/>
        <v>503</v>
      </c>
      <c r="E748" s="81">
        <f t="shared" si="234"/>
        <v>45098</v>
      </c>
      <c r="F748" s="80">
        <f t="shared" si="231"/>
        <v>-2.3668639053254559E-2</v>
      </c>
      <c r="G748" s="119">
        <f t="shared" si="225"/>
        <v>0.39883055142463075</v>
      </c>
      <c r="H748" s="125">
        <f t="shared" si="232"/>
        <v>45098</v>
      </c>
      <c r="I748" s="82">
        <f t="shared" si="220"/>
        <v>0.99978994538657262</v>
      </c>
      <c r="J748" s="126">
        <f t="shared" si="226"/>
        <v>9117908.5988405403</v>
      </c>
      <c r="K748" s="139">
        <f t="shared" si="221"/>
        <v>0</v>
      </c>
      <c r="L748" s="83">
        <f t="shared" si="219"/>
        <v>9117908.5988405403</v>
      </c>
      <c r="M748" s="80">
        <f t="shared" si="227"/>
        <v>503</v>
      </c>
      <c r="N748" s="157">
        <f t="shared" si="235"/>
        <v>0</v>
      </c>
      <c r="O748" s="140">
        <f t="shared" si="222"/>
        <v>0</v>
      </c>
      <c r="P748" s="149">
        <v>0</v>
      </c>
      <c r="Q748" s="163">
        <f t="shared" si="228"/>
        <v>503</v>
      </c>
      <c r="R748" s="150">
        <f t="shared" si="223"/>
        <v>0</v>
      </c>
      <c r="S748" s="164">
        <f t="shared" si="216"/>
        <v>9119824.2599999998</v>
      </c>
    </row>
    <row r="749" spans="1:19" x14ac:dyDescent="0.25">
      <c r="A749" s="80" t="str">
        <f t="shared" si="233"/>
        <v>Thu</v>
      </c>
      <c r="B749" s="147">
        <f>IF(SUMIFS(CashFlow!$C$16:$C$40,CashFlow!$D$16:$D$40,CashFlowCalcs!$E749)&gt;0,SUMIFS(CashFlow!$C$16:$C$40,CashFlow!$D$16:$D$40,CashFlowCalcs!$E749),B748)</f>
        <v>24</v>
      </c>
      <c r="C749" s="147" t="str">
        <f t="shared" si="224"/>
        <v>N</v>
      </c>
      <c r="D749" s="80">
        <f t="shared" si="229"/>
        <v>504</v>
      </c>
      <c r="E749" s="81">
        <f t="shared" si="234"/>
        <v>45099</v>
      </c>
      <c r="F749" s="80">
        <f t="shared" si="231"/>
        <v>-1.7751479289940697E-2</v>
      </c>
      <c r="G749" s="119">
        <f t="shared" si="225"/>
        <v>0.39887942900118611</v>
      </c>
      <c r="H749" s="125">
        <f t="shared" si="232"/>
        <v>45099</v>
      </c>
      <c r="I749" s="82">
        <f t="shared" si="220"/>
        <v>0.99991247188164767</v>
      </c>
      <c r="J749" s="126">
        <f t="shared" si="226"/>
        <v>9119026.018942818</v>
      </c>
      <c r="K749" s="139">
        <f t="shared" si="221"/>
        <v>0</v>
      </c>
      <c r="L749" s="83">
        <f t="shared" si="219"/>
        <v>9119026.018942818</v>
      </c>
      <c r="M749" s="80">
        <f t="shared" si="227"/>
        <v>504</v>
      </c>
      <c r="N749" s="157">
        <f t="shared" si="235"/>
        <v>0</v>
      </c>
      <c r="O749" s="140">
        <f t="shared" si="222"/>
        <v>0</v>
      </c>
      <c r="P749" s="149">
        <v>0</v>
      </c>
      <c r="Q749" s="163">
        <f t="shared" si="228"/>
        <v>504</v>
      </c>
      <c r="R749" s="150">
        <f t="shared" si="223"/>
        <v>0</v>
      </c>
      <c r="S749" s="164">
        <f t="shared" si="216"/>
        <v>9119824.2599999998</v>
      </c>
    </row>
    <row r="750" spans="1:19" ht="15.75" thickBot="1" x14ac:dyDescent="0.3">
      <c r="A750" s="80" t="str">
        <f t="shared" si="233"/>
        <v>Fri</v>
      </c>
      <c r="B750" s="147">
        <f>IF(SUMIFS(CashFlow!$C$16:$C$40,CashFlow!$D$16:$D$40,CashFlowCalcs!$E750)&gt;0,SUMIFS(CashFlow!$C$16:$C$40,CashFlow!$D$16:$D$40,CashFlowCalcs!$E750),B749)</f>
        <v>24</v>
      </c>
      <c r="C750" s="147" t="str">
        <f t="shared" si="224"/>
        <v>N</v>
      </c>
      <c r="D750" s="80">
        <f t="shared" si="229"/>
        <v>505</v>
      </c>
      <c r="E750" s="81">
        <f t="shared" si="234"/>
        <v>45100</v>
      </c>
      <c r="F750" s="80">
        <f t="shared" si="231"/>
        <v>-1.1834319526627279E-2</v>
      </c>
      <c r="G750" s="119">
        <f t="shared" si="225"/>
        <v>0.39891434522320723</v>
      </c>
      <c r="H750" s="131">
        <f t="shared" si="232"/>
        <v>45100</v>
      </c>
      <c r="I750" s="132">
        <f t="shared" si="220"/>
        <v>1</v>
      </c>
      <c r="J750" s="133">
        <f t="shared" si="226"/>
        <v>9119824.2599999998</v>
      </c>
      <c r="K750" s="145">
        <f t="shared" si="221"/>
        <v>0</v>
      </c>
      <c r="L750" s="83">
        <f t="shared" si="219"/>
        <v>9119824.2599999998</v>
      </c>
      <c r="M750" s="80">
        <f t="shared" si="227"/>
        <v>505</v>
      </c>
      <c r="N750" s="158">
        <f t="shared" si="235"/>
        <v>0</v>
      </c>
      <c r="O750" s="146">
        <f t="shared" si="222"/>
        <v>0</v>
      </c>
      <c r="P750" s="149">
        <v>0</v>
      </c>
      <c r="Q750" s="163">
        <f t="shared" si="228"/>
        <v>505</v>
      </c>
      <c r="R750" s="150">
        <f t="shared" si="223"/>
        <v>0</v>
      </c>
      <c r="S750" s="164">
        <f t="shared" si="216"/>
        <v>9119824.2599999998</v>
      </c>
    </row>
    <row r="751" spans="1:19" ht="15.75" thickTop="1" x14ac:dyDescent="0.25"/>
  </sheetData>
  <autoFilter ref="A17:R750" xr:uid="{00000000-0009-0000-0000-000002000000}"/>
  <mergeCells count="9">
    <mergeCell ref="L10:M10"/>
    <mergeCell ref="D7:F7"/>
    <mergeCell ref="D8:F8"/>
    <mergeCell ref="D1:F1"/>
    <mergeCell ref="D2:F2"/>
    <mergeCell ref="D3:F3"/>
    <mergeCell ref="D4:F4"/>
    <mergeCell ref="D5:F5"/>
    <mergeCell ref="D6:F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0"/>
  <dimension ref="A1:H20"/>
  <sheetViews>
    <sheetView workbookViewId="0">
      <selection activeCell="B20" sqref="B20"/>
    </sheetView>
  </sheetViews>
  <sheetFormatPr defaultRowHeight="15" x14ac:dyDescent="0.25"/>
  <cols>
    <col min="1" max="1" width="9.140625" style="304"/>
    <col min="2" max="2" width="59" customWidth="1"/>
    <col min="6" max="6" width="9.140625" style="168"/>
    <col min="8" max="8" width="10.7109375" customWidth="1"/>
  </cols>
  <sheetData>
    <row r="1" spans="1:8" x14ac:dyDescent="0.25">
      <c r="A1" s="305"/>
      <c r="B1" s="306" t="s">
        <v>236</v>
      </c>
    </row>
    <row r="2" spans="1:8" s="307" customFormat="1" x14ac:dyDescent="0.25">
      <c r="A2" s="305">
        <v>1</v>
      </c>
      <c r="B2" s="306" t="s">
        <v>265</v>
      </c>
      <c r="C2" s="309" t="s">
        <v>259</v>
      </c>
      <c r="D2" s="309" t="s">
        <v>260</v>
      </c>
      <c r="E2" s="309" t="s">
        <v>73</v>
      </c>
      <c r="F2" s="309" t="s">
        <v>262</v>
      </c>
      <c r="G2" s="309" t="s">
        <v>261</v>
      </c>
      <c r="H2" s="309" t="s">
        <v>119</v>
      </c>
    </row>
    <row r="3" spans="1:8" x14ac:dyDescent="0.25">
      <c r="A3" s="304" t="s">
        <v>237</v>
      </c>
      <c r="B3" s="168" t="s">
        <v>252</v>
      </c>
      <c r="C3" s="308">
        <v>0</v>
      </c>
      <c r="D3" s="308">
        <v>11.55</v>
      </c>
      <c r="E3" s="308">
        <f>D3-C3</f>
        <v>11.55</v>
      </c>
      <c r="F3" s="308" t="s">
        <v>263</v>
      </c>
      <c r="G3" s="310">
        <v>3.5</v>
      </c>
      <c r="H3" s="310">
        <f>E3*G3</f>
        <v>40.425000000000004</v>
      </c>
    </row>
    <row r="4" spans="1:8" x14ac:dyDescent="0.25">
      <c r="A4" s="304" t="s">
        <v>238</v>
      </c>
      <c r="B4" s="168" t="s">
        <v>253</v>
      </c>
      <c r="C4" s="308">
        <v>0</v>
      </c>
      <c r="D4" s="308">
        <v>5.99</v>
      </c>
      <c r="E4" s="308">
        <f t="shared" ref="E4:E9" si="0">D4-C4</f>
        <v>5.99</v>
      </c>
      <c r="F4" s="308" t="s">
        <v>263</v>
      </c>
      <c r="G4" s="310">
        <v>3.5</v>
      </c>
      <c r="H4" s="310">
        <f t="shared" ref="H4:H9" si="1">E4*G4</f>
        <v>20.965</v>
      </c>
    </row>
    <row r="5" spans="1:8" x14ac:dyDescent="0.25">
      <c r="A5" s="304" t="s">
        <v>239</v>
      </c>
      <c r="B5" s="168" t="s">
        <v>254</v>
      </c>
      <c r="C5" s="308">
        <v>120.63</v>
      </c>
      <c r="D5" s="308">
        <v>200.78</v>
      </c>
      <c r="E5" s="308">
        <f t="shared" si="0"/>
        <v>80.150000000000006</v>
      </c>
      <c r="F5" s="308" t="s">
        <v>263</v>
      </c>
      <c r="G5" s="310">
        <v>3.5</v>
      </c>
      <c r="H5" s="310">
        <f t="shared" si="1"/>
        <v>280.52500000000003</v>
      </c>
    </row>
    <row r="6" spans="1:8" x14ac:dyDescent="0.25">
      <c r="A6" s="304" t="s">
        <v>240</v>
      </c>
      <c r="B6" s="168" t="s">
        <v>255</v>
      </c>
      <c r="C6" s="308">
        <v>642.24</v>
      </c>
      <c r="D6" s="308">
        <v>0</v>
      </c>
      <c r="E6" s="308">
        <f t="shared" si="0"/>
        <v>-642.24</v>
      </c>
      <c r="F6" s="308" t="s">
        <v>263</v>
      </c>
      <c r="G6" s="310">
        <v>3.5</v>
      </c>
      <c r="H6" s="310">
        <f t="shared" si="1"/>
        <v>-2247.84</v>
      </c>
    </row>
    <row r="7" spans="1:8" x14ac:dyDescent="0.25">
      <c r="A7" s="304" t="s">
        <v>241</v>
      </c>
      <c r="B7" s="168" t="s">
        <v>256</v>
      </c>
      <c r="C7" s="308">
        <f>0+42.93</f>
        <v>42.93</v>
      </c>
      <c r="D7" s="308">
        <f>18.73+101.9</f>
        <v>120.63000000000001</v>
      </c>
      <c r="E7" s="308">
        <f t="shared" si="0"/>
        <v>77.700000000000017</v>
      </c>
      <c r="F7" s="308" t="s">
        <v>263</v>
      </c>
      <c r="G7" s="310">
        <v>4.5</v>
      </c>
      <c r="H7" s="310">
        <f t="shared" si="1"/>
        <v>349.65000000000009</v>
      </c>
    </row>
    <row r="8" spans="1:8" x14ac:dyDescent="0.25">
      <c r="A8" s="304" t="s">
        <v>242</v>
      </c>
      <c r="B8" s="168" t="s">
        <v>257</v>
      </c>
      <c r="C8" s="308">
        <v>164.6</v>
      </c>
      <c r="D8" s="308">
        <v>0</v>
      </c>
      <c r="E8" s="308">
        <f t="shared" si="0"/>
        <v>-164.6</v>
      </c>
      <c r="F8" s="308" t="s">
        <v>263</v>
      </c>
      <c r="G8" s="310">
        <v>4.5</v>
      </c>
      <c r="H8" s="310">
        <f t="shared" si="1"/>
        <v>-740.69999999999993</v>
      </c>
    </row>
    <row r="9" spans="1:8" x14ac:dyDescent="0.25">
      <c r="A9" s="304" t="s">
        <v>243</v>
      </c>
      <c r="B9" s="168" t="s">
        <v>258</v>
      </c>
      <c r="C9" s="308">
        <v>123.62</v>
      </c>
      <c r="D9" s="308">
        <v>36.71</v>
      </c>
      <c r="E9" s="308">
        <f t="shared" si="0"/>
        <v>-86.91</v>
      </c>
      <c r="F9" s="308" t="s">
        <v>263</v>
      </c>
      <c r="G9" s="310">
        <v>92.27</v>
      </c>
      <c r="H9" s="310">
        <f t="shared" si="1"/>
        <v>-8019.1856999999991</v>
      </c>
    </row>
    <row r="10" spans="1:8" s="168" customFormat="1" x14ac:dyDescent="0.25">
      <c r="A10" s="304"/>
      <c r="C10" s="308"/>
      <c r="D10" s="308"/>
      <c r="E10" s="308"/>
      <c r="F10" s="308"/>
      <c r="H10" s="311">
        <f>SUM(H3:H9)</f>
        <v>-10316.160699999999</v>
      </c>
    </row>
    <row r="11" spans="1:8" s="168" customFormat="1" x14ac:dyDescent="0.25">
      <c r="A11" s="304"/>
      <c r="B11" s="307" t="s">
        <v>264</v>
      </c>
      <c r="C11" s="308"/>
      <c r="D11" s="308"/>
      <c r="E11" s="308"/>
      <c r="F11" s="308"/>
    </row>
    <row r="12" spans="1:8" x14ac:dyDescent="0.25">
      <c r="A12" s="304" t="s">
        <v>244</v>
      </c>
    </row>
    <row r="13" spans="1:8" x14ac:dyDescent="0.25">
      <c r="A13" s="304" t="s">
        <v>245</v>
      </c>
    </row>
    <row r="14" spans="1:8" x14ac:dyDescent="0.25">
      <c r="A14" s="304" t="s">
        <v>246</v>
      </c>
    </row>
    <row r="15" spans="1:8" x14ac:dyDescent="0.25">
      <c r="A15" s="304" t="s">
        <v>247</v>
      </c>
    </row>
    <row r="16" spans="1:8" x14ac:dyDescent="0.25">
      <c r="A16" s="304" t="s">
        <v>248</v>
      </c>
    </row>
    <row r="17" spans="1:1" x14ac:dyDescent="0.25">
      <c r="A17" s="304" t="s">
        <v>2</v>
      </c>
    </row>
    <row r="18" spans="1:1" x14ac:dyDescent="0.25">
      <c r="A18" s="304" t="s">
        <v>249</v>
      </c>
    </row>
    <row r="19" spans="1:1" x14ac:dyDescent="0.25">
      <c r="A19" s="304" t="s">
        <v>250</v>
      </c>
    </row>
    <row r="20" spans="1:1" x14ac:dyDescent="0.25">
      <c r="A20" s="304" t="s">
        <v>251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>
    <tabColor rgb="FFFF0000"/>
  </sheetPr>
  <dimension ref="A1:BJ31"/>
  <sheetViews>
    <sheetView zoomScale="75" zoomScaleNormal="75" workbookViewId="0">
      <pane xSplit="2" ySplit="9" topLeftCell="C10" activePane="bottomRight" state="frozen"/>
      <selection pane="topRight" activeCell="D1" sqref="D1"/>
      <selection pane="bottomLeft" activeCell="A6" sqref="A6"/>
      <selection pane="bottomRight" activeCell="D26" sqref="D26"/>
    </sheetView>
  </sheetViews>
  <sheetFormatPr defaultRowHeight="15" x14ac:dyDescent="0.25"/>
  <cols>
    <col min="1" max="1" width="9.140625" style="170"/>
    <col min="2" max="2" width="27" style="170" customWidth="1"/>
    <col min="3" max="3" width="9" style="170" customWidth="1"/>
    <col min="4" max="4" width="8.42578125" style="170" customWidth="1"/>
    <col min="5" max="5" width="9.140625" style="167" customWidth="1"/>
    <col min="6" max="6" width="9.140625" style="170" customWidth="1"/>
    <col min="7" max="7" width="5.42578125" style="170" customWidth="1"/>
    <col min="8" max="8" width="10.140625" style="184" customWidth="1"/>
    <col min="9" max="11" width="10.42578125" style="185" customWidth="1"/>
    <col min="12" max="12" width="11.28515625" style="184" customWidth="1"/>
    <col min="13" max="17" width="9.42578125" style="184" customWidth="1"/>
    <col min="18" max="20" width="8.5703125" style="218" customWidth="1"/>
    <col min="21" max="21" width="10.85546875" style="217" customWidth="1"/>
    <col min="22" max="22" width="9.5703125" style="110" customWidth="1"/>
    <col min="23" max="24" width="10.140625" style="180" customWidth="1"/>
    <col min="25" max="28" width="9.140625" style="170" customWidth="1"/>
    <col min="29" max="29" width="5.7109375" style="302" customWidth="1"/>
    <col min="30" max="31" width="9.140625" style="110" customWidth="1"/>
    <col min="32" max="32" width="9.7109375" style="169" customWidth="1"/>
    <col min="33" max="34" width="9.7109375" style="212" customWidth="1"/>
    <col min="35" max="257" width="9.140625" style="170"/>
    <col min="258" max="258" width="27" style="170" customWidth="1"/>
    <col min="259" max="259" width="9" style="170" customWidth="1"/>
    <col min="260" max="260" width="8.42578125" style="170" customWidth="1"/>
    <col min="261" max="262" width="9.140625" style="170" customWidth="1"/>
    <col min="263" max="263" width="5.42578125" style="170" customWidth="1"/>
    <col min="264" max="264" width="10.140625" style="170" customWidth="1"/>
    <col min="265" max="267" width="10.42578125" style="170" customWidth="1"/>
    <col min="268" max="268" width="11.28515625" style="170" customWidth="1"/>
    <col min="269" max="273" width="9.42578125" style="170" customWidth="1"/>
    <col min="274" max="276" width="8.5703125" style="170" customWidth="1"/>
    <col min="277" max="277" width="10.85546875" style="170" customWidth="1"/>
    <col min="278" max="278" width="9.5703125" style="170" customWidth="1"/>
    <col min="279" max="280" width="10.140625" style="170" customWidth="1"/>
    <col min="281" max="284" width="9.140625" style="170" customWidth="1"/>
    <col min="285" max="285" width="5.7109375" style="170" customWidth="1"/>
    <col min="286" max="287" width="9.140625" style="170" customWidth="1"/>
    <col min="288" max="290" width="9.7109375" style="170" customWidth="1"/>
    <col min="291" max="513" width="9.140625" style="170"/>
    <col min="514" max="514" width="27" style="170" customWidth="1"/>
    <col min="515" max="515" width="9" style="170" customWidth="1"/>
    <col min="516" max="516" width="8.42578125" style="170" customWidth="1"/>
    <col min="517" max="518" width="9.140625" style="170" customWidth="1"/>
    <col min="519" max="519" width="5.42578125" style="170" customWidth="1"/>
    <col min="520" max="520" width="10.140625" style="170" customWidth="1"/>
    <col min="521" max="523" width="10.42578125" style="170" customWidth="1"/>
    <col min="524" max="524" width="11.28515625" style="170" customWidth="1"/>
    <col min="525" max="529" width="9.42578125" style="170" customWidth="1"/>
    <col min="530" max="532" width="8.5703125" style="170" customWidth="1"/>
    <col min="533" max="533" width="10.85546875" style="170" customWidth="1"/>
    <col min="534" max="534" width="9.5703125" style="170" customWidth="1"/>
    <col min="535" max="536" width="10.140625" style="170" customWidth="1"/>
    <col min="537" max="540" width="9.140625" style="170" customWidth="1"/>
    <col min="541" max="541" width="5.7109375" style="170" customWidth="1"/>
    <col min="542" max="543" width="9.140625" style="170" customWidth="1"/>
    <col min="544" max="546" width="9.7109375" style="170" customWidth="1"/>
    <col min="547" max="769" width="9.140625" style="170"/>
    <col min="770" max="770" width="27" style="170" customWidth="1"/>
    <col min="771" max="771" width="9" style="170" customWidth="1"/>
    <col min="772" max="772" width="8.42578125" style="170" customWidth="1"/>
    <col min="773" max="774" width="9.140625" style="170" customWidth="1"/>
    <col min="775" max="775" width="5.42578125" style="170" customWidth="1"/>
    <col min="776" max="776" width="10.140625" style="170" customWidth="1"/>
    <col min="777" max="779" width="10.42578125" style="170" customWidth="1"/>
    <col min="780" max="780" width="11.28515625" style="170" customWidth="1"/>
    <col min="781" max="785" width="9.42578125" style="170" customWidth="1"/>
    <col min="786" max="788" width="8.5703125" style="170" customWidth="1"/>
    <col min="789" max="789" width="10.85546875" style="170" customWidth="1"/>
    <col min="790" max="790" width="9.5703125" style="170" customWidth="1"/>
    <col min="791" max="792" width="10.140625" style="170" customWidth="1"/>
    <col min="793" max="796" width="9.140625" style="170" customWidth="1"/>
    <col min="797" max="797" width="5.7109375" style="170" customWidth="1"/>
    <col min="798" max="799" width="9.140625" style="170" customWidth="1"/>
    <col min="800" max="802" width="9.7109375" style="170" customWidth="1"/>
    <col min="803" max="1025" width="9.140625" style="170"/>
    <col min="1026" max="1026" width="27" style="170" customWidth="1"/>
    <col min="1027" max="1027" width="9" style="170" customWidth="1"/>
    <col min="1028" max="1028" width="8.42578125" style="170" customWidth="1"/>
    <col min="1029" max="1030" width="9.140625" style="170" customWidth="1"/>
    <col min="1031" max="1031" width="5.42578125" style="170" customWidth="1"/>
    <col min="1032" max="1032" width="10.140625" style="170" customWidth="1"/>
    <col min="1033" max="1035" width="10.42578125" style="170" customWidth="1"/>
    <col min="1036" max="1036" width="11.28515625" style="170" customWidth="1"/>
    <col min="1037" max="1041" width="9.42578125" style="170" customWidth="1"/>
    <col min="1042" max="1044" width="8.5703125" style="170" customWidth="1"/>
    <col min="1045" max="1045" width="10.85546875" style="170" customWidth="1"/>
    <col min="1046" max="1046" width="9.5703125" style="170" customWidth="1"/>
    <col min="1047" max="1048" width="10.140625" style="170" customWidth="1"/>
    <col min="1049" max="1052" width="9.140625" style="170" customWidth="1"/>
    <col min="1053" max="1053" width="5.7109375" style="170" customWidth="1"/>
    <col min="1054" max="1055" width="9.140625" style="170" customWidth="1"/>
    <col min="1056" max="1058" width="9.7109375" style="170" customWidth="1"/>
    <col min="1059" max="1281" width="9.140625" style="170"/>
    <col min="1282" max="1282" width="27" style="170" customWidth="1"/>
    <col min="1283" max="1283" width="9" style="170" customWidth="1"/>
    <col min="1284" max="1284" width="8.42578125" style="170" customWidth="1"/>
    <col min="1285" max="1286" width="9.140625" style="170" customWidth="1"/>
    <col min="1287" max="1287" width="5.42578125" style="170" customWidth="1"/>
    <col min="1288" max="1288" width="10.140625" style="170" customWidth="1"/>
    <col min="1289" max="1291" width="10.42578125" style="170" customWidth="1"/>
    <col min="1292" max="1292" width="11.28515625" style="170" customWidth="1"/>
    <col min="1293" max="1297" width="9.42578125" style="170" customWidth="1"/>
    <col min="1298" max="1300" width="8.5703125" style="170" customWidth="1"/>
    <col min="1301" max="1301" width="10.85546875" style="170" customWidth="1"/>
    <col min="1302" max="1302" width="9.5703125" style="170" customWidth="1"/>
    <col min="1303" max="1304" width="10.140625" style="170" customWidth="1"/>
    <col min="1305" max="1308" width="9.140625" style="170" customWidth="1"/>
    <col min="1309" max="1309" width="5.7109375" style="170" customWidth="1"/>
    <col min="1310" max="1311" width="9.140625" style="170" customWidth="1"/>
    <col min="1312" max="1314" width="9.7109375" style="170" customWidth="1"/>
    <col min="1315" max="1537" width="9.140625" style="170"/>
    <col min="1538" max="1538" width="27" style="170" customWidth="1"/>
    <col min="1539" max="1539" width="9" style="170" customWidth="1"/>
    <col min="1540" max="1540" width="8.42578125" style="170" customWidth="1"/>
    <col min="1541" max="1542" width="9.140625" style="170" customWidth="1"/>
    <col min="1543" max="1543" width="5.42578125" style="170" customWidth="1"/>
    <col min="1544" max="1544" width="10.140625" style="170" customWidth="1"/>
    <col min="1545" max="1547" width="10.42578125" style="170" customWidth="1"/>
    <col min="1548" max="1548" width="11.28515625" style="170" customWidth="1"/>
    <col min="1549" max="1553" width="9.42578125" style="170" customWidth="1"/>
    <col min="1554" max="1556" width="8.5703125" style="170" customWidth="1"/>
    <col min="1557" max="1557" width="10.85546875" style="170" customWidth="1"/>
    <col min="1558" max="1558" width="9.5703125" style="170" customWidth="1"/>
    <col min="1559" max="1560" width="10.140625" style="170" customWidth="1"/>
    <col min="1561" max="1564" width="9.140625" style="170" customWidth="1"/>
    <col min="1565" max="1565" width="5.7109375" style="170" customWidth="1"/>
    <col min="1566" max="1567" width="9.140625" style="170" customWidth="1"/>
    <col min="1568" max="1570" width="9.7109375" style="170" customWidth="1"/>
    <col min="1571" max="1793" width="9.140625" style="170"/>
    <col min="1794" max="1794" width="27" style="170" customWidth="1"/>
    <col min="1795" max="1795" width="9" style="170" customWidth="1"/>
    <col min="1796" max="1796" width="8.42578125" style="170" customWidth="1"/>
    <col min="1797" max="1798" width="9.140625" style="170" customWidth="1"/>
    <col min="1799" max="1799" width="5.42578125" style="170" customWidth="1"/>
    <col min="1800" max="1800" width="10.140625" style="170" customWidth="1"/>
    <col min="1801" max="1803" width="10.42578125" style="170" customWidth="1"/>
    <col min="1804" max="1804" width="11.28515625" style="170" customWidth="1"/>
    <col min="1805" max="1809" width="9.42578125" style="170" customWidth="1"/>
    <col min="1810" max="1812" width="8.5703125" style="170" customWidth="1"/>
    <col min="1813" max="1813" width="10.85546875" style="170" customWidth="1"/>
    <col min="1814" max="1814" width="9.5703125" style="170" customWidth="1"/>
    <col min="1815" max="1816" width="10.140625" style="170" customWidth="1"/>
    <col min="1817" max="1820" width="9.140625" style="170" customWidth="1"/>
    <col min="1821" max="1821" width="5.7109375" style="170" customWidth="1"/>
    <col min="1822" max="1823" width="9.140625" style="170" customWidth="1"/>
    <col min="1824" max="1826" width="9.7109375" style="170" customWidth="1"/>
    <col min="1827" max="2049" width="9.140625" style="170"/>
    <col min="2050" max="2050" width="27" style="170" customWidth="1"/>
    <col min="2051" max="2051" width="9" style="170" customWidth="1"/>
    <col min="2052" max="2052" width="8.42578125" style="170" customWidth="1"/>
    <col min="2053" max="2054" width="9.140625" style="170" customWidth="1"/>
    <col min="2055" max="2055" width="5.42578125" style="170" customWidth="1"/>
    <col min="2056" max="2056" width="10.140625" style="170" customWidth="1"/>
    <col min="2057" max="2059" width="10.42578125" style="170" customWidth="1"/>
    <col min="2060" max="2060" width="11.28515625" style="170" customWidth="1"/>
    <col min="2061" max="2065" width="9.42578125" style="170" customWidth="1"/>
    <col min="2066" max="2068" width="8.5703125" style="170" customWidth="1"/>
    <col min="2069" max="2069" width="10.85546875" style="170" customWidth="1"/>
    <col min="2070" max="2070" width="9.5703125" style="170" customWidth="1"/>
    <col min="2071" max="2072" width="10.140625" style="170" customWidth="1"/>
    <col min="2073" max="2076" width="9.140625" style="170" customWidth="1"/>
    <col min="2077" max="2077" width="5.7109375" style="170" customWidth="1"/>
    <col min="2078" max="2079" width="9.140625" style="170" customWidth="1"/>
    <col min="2080" max="2082" width="9.7109375" style="170" customWidth="1"/>
    <col min="2083" max="2305" width="9.140625" style="170"/>
    <col min="2306" max="2306" width="27" style="170" customWidth="1"/>
    <col min="2307" max="2307" width="9" style="170" customWidth="1"/>
    <col min="2308" max="2308" width="8.42578125" style="170" customWidth="1"/>
    <col min="2309" max="2310" width="9.140625" style="170" customWidth="1"/>
    <col min="2311" max="2311" width="5.42578125" style="170" customWidth="1"/>
    <col min="2312" max="2312" width="10.140625" style="170" customWidth="1"/>
    <col min="2313" max="2315" width="10.42578125" style="170" customWidth="1"/>
    <col min="2316" max="2316" width="11.28515625" style="170" customWidth="1"/>
    <col min="2317" max="2321" width="9.42578125" style="170" customWidth="1"/>
    <col min="2322" max="2324" width="8.5703125" style="170" customWidth="1"/>
    <col min="2325" max="2325" width="10.85546875" style="170" customWidth="1"/>
    <col min="2326" max="2326" width="9.5703125" style="170" customWidth="1"/>
    <col min="2327" max="2328" width="10.140625" style="170" customWidth="1"/>
    <col min="2329" max="2332" width="9.140625" style="170" customWidth="1"/>
    <col min="2333" max="2333" width="5.7109375" style="170" customWidth="1"/>
    <col min="2334" max="2335" width="9.140625" style="170" customWidth="1"/>
    <col min="2336" max="2338" width="9.7109375" style="170" customWidth="1"/>
    <col min="2339" max="2561" width="9.140625" style="170"/>
    <col min="2562" max="2562" width="27" style="170" customWidth="1"/>
    <col min="2563" max="2563" width="9" style="170" customWidth="1"/>
    <col min="2564" max="2564" width="8.42578125" style="170" customWidth="1"/>
    <col min="2565" max="2566" width="9.140625" style="170" customWidth="1"/>
    <col min="2567" max="2567" width="5.42578125" style="170" customWidth="1"/>
    <col min="2568" max="2568" width="10.140625" style="170" customWidth="1"/>
    <col min="2569" max="2571" width="10.42578125" style="170" customWidth="1"/>
    <col min="2572" max="2572" width="11.28515625" style="170" customWidth="1"/>
    <col min="2573" max="2577" width="9.42578125" style="170" customWidth="1"/>
    <col min="2578" max="2580" width="8.5703125" style="170" customWidth="1"/>
    <col min="2581" max="2581" width="10.85546875" style="170" customWidth="1"/>
    <col min="2582" max="2582" width="9.5703125" style="170" customWidth="1"/>
    <col min="2583" max="2584" width="10.140625" style="170" customWidth="1"/>
    <col min="2585" max="2588" width="9.140625" style="170" customWidth="1"/>
    <col min="2589" max="2589" width="5.7109375" style="170" customWidth="1"/>
    <col min="2590" max="2591" width="9.140625" style="170" customWidth="1"/>
    <col min="2592" max="2594" width="9.7109375" style="170" customWidth="1"/>
    <col min="2595" max="2817" width="9.140625" style="170"/>
    <col min="2818" max="2818" width="27" style="170" customWidth="1"/>
    <col min="2819" max="2819" width="9" style="170" customWidth="1"/>
    <col min="2820" max="2820" width="8.42578125" style="170" customWidth="1"/>
    <col min="2821" max="2822" width="9.140625" style="170" customWidth="1"/>
    <col min="2823" max="2823" width="5.42578125" style="170" customWidth="1"/>
    <col min="2824" max="2824" width="10.140625" style="170" customWidth="1"/>
    <col min="2825" max="2827" width="10.42578125" style="170" customWidth="1"/>
    <col min="2828" max="2828" width="11.28515625" style="170" customWidth="1"/>
    <col min="2829" max="2833" width="9.42578125" style="170" customWidth="1"/>
    <col min="2834" max="2836" width="8.5703125" style="170" customWidth="1"/>
    <col min="2837" max="2837" width="10.85546875" style="170" customWidth="1"/>
    <col min="2838" max="2838" width="9.5703125" style="170" customWidth="1"/>
    <col min="2839" max="2840" width="10.140625" style="170" customWidth="1"/>
    <col min="2841" max="2844" width="9.140625" style="170" customWidth="1"/>
    <col min="2845" max="2845" width="5.7109375" style="170" customWidth="1"/>
    <col min="2846" max="2847" width="9.140625" style="170" customWidth="1"/>
    <col min="2848" max="2850" width="9.7109375" style="170" customWidth="1"/>
    <col min="2851" max="3073" width="9.140625" style="170"/>
    <col min="3074" max="3074" width="27" style="170" customWidth="1"/>
    <col min="3075" max="3075" width="9" style="170" customWidth="1"/>
    <col min="3076" max="3076" width="8.42578125" style="170" customWidth="1"/>
    <col min="3077" max="3078" width="9.140625" style="170" customWidth="1"/>
    <col min="3079" max="3079" width="5.42578125" style="170" customWidth="1"/>
    <col min="3080" max="3080" width="10.140625" style="170" customWidth="1"/>
    <col min="3081" max="3083" width="10.42578125" style="170" customWidth="1"/>
    <col min="3084" max="3084" width="11.28515625" style="170" customWidth="1"/>
    <col min="3085" max="3089" width="9.42578125" style="170" customWidth="1"/>
    <col min="3090" max="3092" width="8.5703125" style="170" customWidth="1"/>
    <col min="3093" max="3093" width="10.85546875" style="170" customWidth="1"/>
    <col min="3094" max="3094" width="9.5703125" style="170" customWidth="1"/>
    <col min="3095" max="3096" width="10.140625" style="170" customWidth="1"/>
    <col min="3097" max="3100" width="9.140625" style="170" customWidth="1"/>
    <col min="3101" max="3101" width="5.7109375" style="170" customWidth="1"/>
    <col min="3102" max="3103" width="9.140625" style="170" customWidth="1"/>
    <col min="3104" max="3106" width="9.7109375" style="170" customWidth="1"/>
    <col min="3107" max="3329" width="9.140625" style="170"/>
    <col min="3330" max="3330" width="27" style="170" customWidth="1"/>
    <col min="3331" max="3331" width="9" style="170" customWidth="1"/>
    <col min="3332" max="3332" width="8.42578125" style="170" customWidth="1"/>
    <col min="3333" max="3334" width="9.140625" style="170" customWidth="1"/>
    <col min="3335" max="3335" width="5.42578125" style="170" customWidth="1"/>
    <col min="3336" max="3336" width="10.140625" style="170" customWidth="1"/>
    <col min="3337" max="3339" width="10.42578125" style="170" customWidth="1"/>
    <col min="3340" max="3340" width="11.28515625" style="170" customWidth="1"/>
    <col min="3341" max="3345" width="9.42578125" style="170" customWidth="1"/>
    <col min="3346" max="3348" width="8.5703125" style="170" customWidth="1"/>
    <col min="3349" max="3349" width="10.85546875" style="170" customWidth="1"/>
    <col min="3350" max="3350" width="9.5703125" style="170" customWidth="1"/>
    <col min="3351" max="3352" width="10.140625" style="170" customWidth="1"/>
    <col min="3353" max="3356" width="9.140625" style="170" customWidth="1"/>
    <col min="3357" max="3357" width="5.7109375" style="170" customWidth="1"/>
    <col min="3358" max="3359" width="9.140625" style="170" customWidth="1"/>
    <col min="3360" max="3362" width="9.7109375" style="170" customWidth="1"/>
    <col min="3363" max="3585" width="9.140625" style="170"/>
    <col min="3586" max="3586" width="27" style="170" customWidth="1"/>
    <col min="3587" max="3587" width="9" style="170" customWidth="1"/>
    <col min="3588" max="3588" width="8.42578125" style="170" customWidth="1"/>
    <col min="3589" max="3590" width="9.140625" style="170" customWidth="1"/>
    <col min="3591" max="3591" width="5.42578125" style="170" customWidth="1"/>
    <col min="3592" max="3592" width="10.140625" style="170" customWidth="1"/>
    <col min="3593" max="3595" width="10.42578125" style="170" customWidth="1"/>
    <col min="3596" max="3596" width="11.28515625" style="170" customWidth="1"/>
    <col min="3597" max="3601" width="9.42578125" style="170" customWidth="1"/>
    <col min="3602" max="3604" width="8.5703125" style="170" customWidth="1"/>
    <col min="3605" max="3605" width="10.85546875" style="170" customWidth="1"/>
    <col min="3606" max="3606" width="9.5703125" style="170" customWidth="1"/>
    <col min="3607" max="3608" width="10.140625" style="170" customWidth="1"/>
    <col min="3609" max="3612" width="9.140625" style="170" customWidth="1"/>
    <col min="3613" max="3613" width="5.7109375" style="170" customWidth="1"/>
    <col min="3614" max="3615" width="9.140625" style="170" customWidth="1"/>
    <col min="3616" max="3618" width="9.7109375" style="170" customWidth="1"/>
    <col min="3619" max="3841" width="9.140625" style="170"/>
    <col min="3842" max="3842" width="27" style="170" customWidth="1"/>
    <col min="3843" max="3843" width="9" style="170" customWidth="1"/>
    <col min="3844" max="3844" width="8.42578125" style="170" customWidth="1"/>
    <col min="3845" max="3846" width="9.140625" style="170" customWidth="1"/>
    <col min="3847" max="3847" width="5.42578125" style="170" customWidth="1"/>
    <col min="3848" max="3848" width="10.140625" style="170" customWidth="1"/>
    <col min="3849" max="3851" width="10.42578125" style="170" customWidth="1"/>
    <col min="3852" max="3852" width="11.28515625" style="170" customWidth="1"/>
    <col min="3853" max="3857" width="9.42578125" style="170" customWidth="1"/>
    <col min="3858" max="3860" width="8.5703125" style="170" customWidth="1"/>
    <col min="3861" max="3861" width="10.85546875" style="170" customWidth="1"/>
    <col min="3862" max="3862" width="9.5703125" style="170" customWidth="1"/>
    <col min="3863" max="3864" width="10.140625" style="170" customWidth="1"/>
    <col min="3865" max="3868" width="9.140625" style="170" customWidth="1"/>
    <col min="3869" max="3869" width="5.7109375" style="170" customWidth="1"/>
    <col min="3870" max="3871" width="9.140625" style="170" customWidth="1"/>
    <col min="3872" max="3874" width="9.7109375" style="170" customWidth="1"/>
    <col min="3875" max="4097" width="9.140625" style="170"/>
    <col min="4098" max="4098" width="27" style="170" customWidth="1"/>
    <col min="4099" max="4099" width="9" style="170" customWidth="1"/>
    <col min="4100" max="4100" width="8.42578125" style="170" customWidth="1"/>
    <col min="4101" max="4102" width="9.140625" style="170" customWidth="1"/>
    <col min="4103" max="4103" width="5.42578125" style="170" customWidth="1"/>
    <col min="4104" max="4104" width="10.140625" style="170" customWidth="1"/>
    <col min="4105" max="4107" width="10.42578125" style="170" customWidth="1"/>
    <col min="4108" max="4108" width="11.28515625" style="170" customWidth="1"/>
    <col min="4109" max="4113" width="9.42578125" style="170" customWidth="1"/>
    <col min="4114" max="4116" width="8.5703125" style="170" customWidth="1"/>
    <col min="4117" max="4117" width="10.85546875" style="170" customWidth="1"/>
    <col min="4118" max="4118" width="9.5703125" style="170" customWidth="1"/>
    <col min="4119" max="4120" width="10.140625" style="170" customWidth="1"/>
    <col min="4121" max="4124" width="9.140625" style="170" customWidth="1"/>
    <col min="4125" max="4125" width="5.7109375" style="170" customWidth="1"/>
    <col min="4126" max="4127" width="9.140625" style="170" customWidth="1"/>
    <col min="4128" max="4130" width="9.7109375" style="170" customWidth="1"/>
    <col min="4131" max="4353" width="9.140625" style="170"/>
    <col min="4354" max="4354" width="27" style="170" customWidth="1"/>
    <col min="4355" max="4355" width="9" style="170" customWidth="1"/>
    <col min="4356" max="4356" width="8.42578125" style="170" customWidth="1"/>
    <col min="4357" max="4358" width="9.140625" style="170" customWidth="1"/>
    <col min="4359" max="4359" width="5.42578125" style="170" customWidth="1"/>
    <col min="4360" max="4360" width="10.140625" style="170" customWidth="1"/>
    <col min="4361" max="4363" width="10.42578125" style="170" customWidth="1"/>
    <col min="4364" max="4364" width="11.28515625" style="170" customWidth="1"/>
    <col min="4365" max="4369" width="9.42578125" style="170" customWidth="1"/>
    <col min="4370" max="4372" width="8.5703125" style="170" customWidth="1"/>
    <col min="4373" max="4373" width="10.85546875" style="170" customWidth="1"/>
    <col min="4374" max="4374" width="9.5703125" style="170" customWidth="1"/>
    <col min="4375" max="4376" width="10.140625" style="170" customWidth="1"/>
    <col min="4377" max="4380" width="9.140625" style="170" customWidth="1"/>
    <col min="4381" max="4381" width="5.7109375" style="170" customWidth="1"/>
    <col min="4382" max="4383" width="9.140625" style="170" customWidth="1"/>
    <col min="4384" max="4386" width="9.7109375" style="170" customWidth="1"/>
    <col min="4387" max="4609" width="9.140625" style="170"/>
    <col min="4610" max="4610" width="27" style="170" customWidth="1"/>
    <col min="4611" max="4611" width="9" style="170" customWidth="1"/>
    <col min="4612" max="4612" width="8.42578125" style="170" customWidth="1"/>
    <col min="4613" max="4614" width="9.140625" style="170" customWidth="1"/>
    <col min="4615" max="4615" width="5.42578125" style="170" customWidth="1"/>
    <col min="4616" max="4616" width="10.140625" style="170" customWidth="1"/>
    <col min="4617" max="4619" width="10.42578125" style="170" customWidth="1"/>
    <col min="4620" max="4620" width="11.28515625" style="170" customWidth="1"/>
    <col min="4621" max="4625" width="9.42578125" style="170" customWidth="1"/>
    <col min="4626" max="4628" width="8.5703125" style="170" customWidth="1"/>
    <col min="4629" max="4629" width="10.85546875" style="170" customWidth="1"/>
    <col min="4630" max="4630" width="9.5703125" style="170" customWidth="1"/>
    <col min="4631" max="4632" width="10.140625" style="170" customWidth="1"/>
    <col min="4633" max="4636" width="9.140625" style="170" customWidth="1"/>
    <col min="4637" max="4637" width="5.7109375" style="170" customWidth="1"/>
    <col min="4638" max="4639" width="9.140625" style="170" customWidth="1"/>
    <col min="4640" max="4642" width="9.7109375" style="170" customWidth="1"/>
    <col min="4643" max="4865" width="9.140625" style="170"/>
    <col min="4866" max="4866" width="27" style="170" customWidth="1"/>
    <col min="4867" max="4867" width="9" style="170" customWidth="1"/>
    <col min="4868" max="4868" width="8.42578125" style="170" customWidth="1"/>
    <col min="4869" max="4870" width="9.140625" style="170" customWidth="1"/>
    <col min="4871" max="4871" width="5.42578125" style="170" customWidth="1"/>
    <col min="4872" max="4872" width="10.140625" style="170" customWidth="1"/>
    <col min="4873" max="4875" width="10.42578125" style="170" customWidth="1"/>
    <col min="4876" max="4876" width="11.28515625" style="170" customWidth="1"/>
    <col min="4877" max="4881" width="9.42578125" style="170" customWidth="1"/>
    <col min="4882" max="4884" width="8.5703125" style="170" customWidth="1"/>
    <col min="4885" max="4885" width="10.85546875" style="170" customWidth="1"/>
    <col min="4886" max="4886" width="9.5703125" style="170" customWidth="1"/>
    <col min="4887" max="4888" width="10.140625" style="170" customWidth="1"/>
    <col min="4889" max="4892" width="9.140625" style="170" customWidth="1"/>
    <col min="4893" max="4893" width="5.7109375" style="170" customWidth="1"/>
    <col min="4894" max="4895" width="9.140625" style="170" customWidth="1"/>
    <col min="4896" max="4898" width="9.7109375" style="170" customWidth="1"/>
    <col min="4899" max="5121" width="9.140625" style="170"/>
    <col min="5122" max="5122" width="27" style="170" customWidth="1"/>
    <col min="5123" max="5123" width="9" style="170" customWidth="1"/>
    <col min="5124" max="5124" width="8.42578125" style="170" customWidth="1"/>
    <col min="5125" max="5126" width="9.140625" style="170" customWidth="1"/>
    <col min="5127" max="5127" width="5.42578125" style="170" customWidth="1"/>
    <col min="5128" max="5128" width="10.140625" style="170" customWidth="1"/>
    <col min="5129" max="5131" width="10.42578125" style="170" customWidth="1"/>
    <col min="5132" max="5132" width="11.28515625" style="170" customWidth="1"/>
    <col min="5133" max="5137" width="9.42578125" style="170" customWidth="1"/>
    <col min="5138" max="5140" width="8.5703125" style="170" customWidth="1"/>
    <col min="5141" max="5141" width="10.85546875" style="170" customWidth="1"/>
    <col min="5142" max="5142" width="9.5703125" style="170" customWidth="1"/>
    <col min="5143" max="5144" width="10.140625" style="170" customWidth="1"/>
    <col min="5145" max="5148" width="9.140625" style="170" customWidth="1"/>
    <col min="5149" max="5149" width="5.7109375" style="170" customWidth="1"/>
    <col min="5150" max="5151" width="9.140625" style="170" customWidth="1"/>
    <col min="5152" max="5154" width="9.7109375" style="170" customWidth="1"/>
    <col min="5155" max="5377" width="9.140625" style="170"/>
    <col min="5378" max="5378" width="27" style="170" customWidth="1"/>
    <col min="5379" max="5379" width="9" style="170" customWidth="1"/>
    <col min="5380" max="5380" width="8.42578125" style="170" customWidth="1"/>
    <col min="5381" max="5382" width="9.140625" style="170" customWidth="1"/>
    <col min="5383" max="5383" width="5.42578125" style="170" customWidth="1"/>
    <col min="5384" max="5384" width="10.140625" style="170" customWidth="1"/>
    <col min="5385" max="5387" width="10.42578125" style="170" customWidth="1"/>
    <col min="5388" max="5388" width="11.28515625" style="170" customWidth="1"/>
    <col min="5389" max="5393" width="9.42578125" style="170" customWidth="1"/>
    <col min="5394" max="5396" width="8.5703125" style="170" customWidth="1"/>
    <col min="5397" max="5397" width="10.85546875" style="170" customWidth="1"/>
    <col min="5398" max="5398" width="9.5703125" style="170" customWidth="1"/>
    <col min="5399" max="5400" width="10.140625" style="170" customWidth="1"/>
    <col min="5401" max="5404" width="9.140625" style="170" customWidth="1"/>
    <col min="5405" max="5405" width="5.7109375" style="170" customWidth="1"/>
    <col min="5406" max="5407" width="9.140625" style="170" customWidth="1"/>
    <col min="5408" max="5410" width="9.7109375" style="170" customWidth="1"/>
    <col min="5411" max="5633" width="9.140625" style="170"/>
    <col min="5634" max="5634" width="27" style="170" customWidth="1"/>
    <col min="5635" max="5635" width="9" style="170" customWidth="1"/>
    <col min="5636" max="5636" width="8.42578125" style="170" customWidth="1"/>
    <col min="5637" max="5638" width="9.140625" style="170" customWidth="1"/>
    <col min="5639" max="5639" width="5.42578125" style="170" customWidth="1"/>
    <col min="5640" max="5640" width="10.140625" style="170" customWidth="1"/>
    <col min="5641" max="5643" width="10.42578125" style="170" customWidth="1"/>
    <col min="5644" max="5644" width="11.28515625" style="170" customWidth="1"/>
    <col min="5645" max="5649" width="9.42578125" style="170" customWidth="1"/>
    <col min="5650" max="5652" width="8.5703125" style="170" customWidth="1"/>
    <col min="5653" max="5653" width="10.85546875" style="170" customWidth="1"/>
    <col min="5654" max="5654" width="9.5703125" style="170" customWidth="1"/>
    <col min="5655" max="5656" width="10.140625" style="170" customWidth="1"/>
    <col min="5657" max="5660" width="9.140625" style="170" customWidth="1"/>
    <col min="5661" max="5661" width="5.7109375" style="170" customWidth="1"/>
    <col min="5662" max="5663" width="9.140625" style="170" customWidth="1"/>
    <col min="5664" max="5666" width="9.7109375" style="170" customWidth="1"/>
    <col min="5667" max="5889" width="9.140625" style="170"/>
    <col min="5890" max="5890" width="27" style="170" customWidth="1"/>
    <col min="5891" max="5891" width="9" style="170" customWidth="1"/>
    <col min="5892" max="5892" width="8.42578125" style="170" customWidth="1"/>
    <col min="5893" max="5894" width="9.140625" style="170" customWidth="1"/>
    <col min="5895" max="5895" width="5.42578125" style="170" customWidth="1"/>
    <col min="5896" max="5896" width="10.140625" style="170" customWidth="1"/>
    <col min="5897" max="5899" width="10.42578125" style="170" customWidth="1"/>
    <col min="5900" max="5900" width="11.28515625" style="170" customWidth="1"/>
    <col min="5901" max="5905" width="9.42578125" style="170" customWidth="1"/>
    <col min="5906" max="5908" width="8.5703125" style="170" customWidth="1"/>
    <col min="5909" max="5909" width="10.85546875" style="170" customWidth="1"/>
    <col min="5910" max="5910" width="9.5703125" style="170" customWidth="1"/>
    <col min="5911" max="5912" width="10.140625" style="170" customWidth="1"/>
    <col min="5913" max="5916" width="9.140625" style="170" customWidth="1"/>
    <col min="5917" max="5917" width="5.7109375" style="170" customWidth="1"/>
    <col min="5918" max="5919" width="9.140625" style="170" customWidth="1"/>
    <col min="5920" max="5922" width="9.7109375" style="170" customWidth="1"/>
    <col min="5923" max="6145" width="9.140625" style="170"/>
    <col min="6146" max="6146" width="27" style="170" customWidth="1"/>
    <col min="6147" max="6147" width="9" style="170" customWidth="1"/>
    <col min="6148" max="6148" width="8.42578125" style="170" customWidth="1"/>
    <col min="6149" max="6150" width="9.140625" style="170" customWidth="1"/>
    <col min="6151" max="6151" width="5.42578125" style="170" customWidth="1"/>
    <col min="6152" max="6152" width="10.140625" style="170" customWidth="1"/>
    <col min="6153" max="6155" width="10.42578125" style="170" customWidth="1"/>
    <col min="6156" max="6156" width="11.28515625" style="170" customWidth="1"/>
    <col min="6157" max="6161" width="9.42578125" style="170" customWidth="1"/>
    <col min="6162" max="6164" width="8.5703125" style="170" customWidth="1"/>
    <col min="6165" max="6165" width="10.85546875" style="170" customWidth="1"/>
    <col min="6166" max="6166" width="9.5703125" style="170" customWidth="1"/>
    <col min="6167" max="6168" width="10.140625" style="170" customWidth="1"/>
    <col min="6169" max="6172" width="9.140625" style="170" customWidth="1"/>
    <col min="6173" max="6173" width="5.7109375" style="170" customWidth="1"/>
    <col min="6174" max="6175" width="9.140625" style="170" customWidth="1"/>
    <col min="6176" max="6178" width="9.7109375" style="170" customWidth="1"/>
    <col min="6179" max="6401" width="9.140625" style="170"/>
    <col min="6402" max="6402" width="27" style="170" customWidth="1"/>
    <col min="6403" max="6403" width="9" style="170" customWidth="1"/>
    <col min="6404" max="6404" width="8.42578125" style="170" customWidth="1"/>
    <col min="6405" max="6406" width="9.140625" style="170" customWidth="1"/>
    <col min="6407" max="6407" width="5.42578125" style="170" customWidth="1"/>
    <col min="6408" max="6408" width="10.140625" style="170" customWidth="1"/>
    <col min="6409" max="6411" width="10.42578125" style="170" customWidth="1"/>
    <col min="6412" max="6412" width="11.28515625" style="170" customWidth="1"/>
    <col min="6413" max="6417" width="9.42578125" style="170" customWidth="1"/>
    <col min="6418" max="6420" width="8.5703125" style="170" customWidth="1"/>
    <col min="6421" max="6421" width="10.85546875" style="170" customWidth="1"/>
    <col min="6422" max="6422" width="9.5703125" style="170" customWidth="1"/>
    <col min="6423" max="6424" width="10.140625" style="170" customWidth="1"/>
    <col min="6425" max="6428" width="9.140625" style="170" customWidth="1"/>
    <col min="6429" max="6429" width="5.7109375" style="170" customWidth="1"/>
    <col min="6430" max="6431" width="9.140625" style="170" customWidth="1"/>
    <col min="6432" max="6434" width="9.7109375" style="170" customWidth="1"/>
    <col min="6435" max="6657" width="9.140625" style="170"/>
    <col min="6658" max="6658" width="27" style="170" customWidth="1"/>
    <col min="6659" max="6659" width="9" style="170" customWidth="1"/>
    <col min="6660" max="6660" width="8.42578125" style="170" customWidth="1"/>
    <col min="6661" max="6662" width="9.140625" style="170" customWidth="1"/>
    <col min="6663" max="6663" width="5.42578125" style="170" customWidth="1"/>
    <col min="6664" max="6664" width="10.140625" style="170" customWidth="1"/>
    <col min="6665" max="6667" width="10.42578125" style="170" customWidth="1"/>
    <col min="6668" max="6668" width="11.28515625" style="170" customWidth="1"/>
    <col min="6669" max="6673" width="9.42578125" style="170" customWidth="1"/>
    <col min="6674" max="6676" width="8.5703125" style="170" customWidth="1"/>
    <col min="6677" max="6677" width="10.85546875" style="170" customWidth="1"/>
    <col min="6678" max="6678" width="9.5703125" style="170" customWidth="1"/>
    <col min="6679" max="6680" width="10.140625" style="170" customWidth="1"/>
    <col min="6681" max="6684" width="9.140625" style="170" customWidth="1"/>
    <col min="6685" max="6685" width="5.7109375" style="170" customWidth="1"/>
    <col min="6686" max="6687" width="9.140625" style="170" customWidth="1"/>
    <col min="6688" max="6690" width="9.7109375" style="170" customWidth="1"/>
    <col min="6691" max="6913" width="9.140625" style="170"/>
    <col min="6914" max="6914" width="27" style="170" customWidth="1"/>
    <col min="6915" max="6915" width="9" style="170" customWidth="1"/>
    <col min="6916" max="6916" width="8.42578125" style="170" customWidth="1"/>
    <col min="6917" max="6918" width="9.140625" style="170" customWidth="1"/>
    <col min="6919" max="6919" width="5.42578125" style="170" customWidth="1"/>
    <col min="6920" max="6920" width="10.140625" style="170" customWidth="1"/>
    <col min="6921" max="6923" width="10.42578125" style="170" customWidth="1"/>
    <col min="6924" max="6924" width="11.28515625" style="170" customWidth="1"/>
    <col min="6925" max="6929" width="9.42578125" style="170" customWidth="1"/>
    <col min="6930" max="6932" width="8.5703125" style="170" customWidth="1"/>
    <col min="6933" max="6933" width="10.85546875" style="170" customWidth="1"/>
    <col min="6934" max="6934" width="9.5703125" style="170" customWidth="1"/>
    <col min="6935" max="6936" width="10.140625" style="170" customWidth="1"/>
    <col min="6937" max="6940" width="9.140625" style="170" customWidth="1"/>
    <col min="6941" max="6941" width="5.7109375" style="170" customWidth="1"/>
    <col min="6942" max="6943" width="9.140625" style="170" customWidth="1"/>
    <col min="6944" max="6946" width="9.7109375" style="170" customWidth="1"/>
    <col min="6947" max="7169" width="9.140625" style="170"/>
    <col min="7170" max="7170" width="27" style="170" customWidth="1"/>
    <col min="7171" max="7171" width="9" style="170" customWidth="1"/>
    <col min="7172" max="7172" width="8.42578125" style="170" customWidth="1"/>
    <col min="7173" max="7174" width="9.140625" style="170" customWidth="1"/>
    <col min="7175" max="7175" width="5.42578125" style="170" customWidth="1"/>
    <col min="7176" max="7176" width="10.140625" style="170" customWidth="1"/>
    <col min="7177" max="7179" width="10.42578125" style="170" customWidth="1"/>
    <col min="7180" max="7180" width="11.28515625" style="170" customWidth="1"/>
    <col min="7181" max="7185" width="9.42578125" style="170" customWidth="1"/>
    <col min="7186" max="7188" width="8.5703125" style="170" customWidth="1"/>
    <col min="7189" max="7189" width="10.85546875" style="170" customWidth="1"/>
    <col min="7190" max="7190" width="9.5703125" style="170" customWidth="1"/>
    <col min="7191" max="7192" width="10.140625" style="170" customWidth="1"/>
    <col min="7193" max="7196" width="9.140625" style="170" customWidth="1"/>
    <col min="7197" max="7197" width="5.7109375" style="170" customWidth="1"/>
    <col min="7198" max="7199" width="9.140625" style="170" customWidth="1"/>
    <col min="7200" max="7202" width="9.7109375" style="170" customWidth="1"/>
    <col min="7203" max="7425" width="9.140625" style="170"/>
    <col min="7426" max="7426" width="27" style="170" customWidth="1"/>
    <col min="7427" max="7427" width="9" style="170" customWidth="1"/>
    <col min="7428" max="7428" width="8.42578125" style="170" customWidth="1"/>
    <col min="7429" max="7430" width="9.140625" style="170" customWidth="1"/>
    <col min="7431" max="7431" width="5.42578125" style="170" customWidth="1"/>
    <col min="7432" max="7432" width="10.140625" style="170" customWidth="1"/>
    <col min="7433" max="7435" width="10.42578125" style="170" customWidth="1"/>
    <col min="7436" max="7436" width="11.28515625" style="170" customWidth="1"/>
    <col min="7437" max="7441" width="9.42578125" style="170" customWidth="1"/>
    <col min="7442" max="7444" width="8.5703125" style="170" customWidth="1"/>
    <col min="7445" max="7445" width="10.85546875" style="170" customWidth="1"/>
    <col min="7446" max="7446" width="9.5703125" style="170" customWidth="1"/>
    <col min="7447" max="7448" width="10.140625" style="170" customWidth="1"/>
    <col min="7449" max="7452" width="9.140625" style="170" customWidth="1"/>
    <col min="7453" max="7453" width="5.7109375" style="170" customWidth="1"/>
    <col min="7454" max="7455" width="9.140625" style="170" customWidth="1"/>
    <col min="7456" max="7458" width="9.7109375" style="170" customWidth="1"/>
    <col min="7459" max="7681" width="9.140625" style="170"/>
    <col min="7682" max="7682" width="27" style="170" customWidth="1"/>
    <col min="7683" max="7683" width="9" style="170" customWidth="1"/>
    <col min="7684" max="7684" width="8.42578125" style="170" customWidth="1"/>
    <col min="7685" max="7686" width="9.140625" style="170" customWidth="1"/>
    <col min="7687" max="7687" width="5.42578125" style="170" customWidth="1"/>
    <col min="7688" max="7688" width="10.140625" style="170" customWidth="1"/>
    <col min="7689" max="7691" width="10.42578125" style="170" customWidth="1"/>
    <col min="7692" max="7692" width="11.28515625" style="170" customWidth="1"/>
    <col min="7693" max="7697" width="9.42578125" style="170" customWidth="1"/>
    <col min="7698" max="7700" width="8.5703125" style="170" customWidth="1"/>
    <col min="7701" max="7701" width="10.85546875" style="170" customWidth="1"/>
    <col min="7702" max="7702" width="9.5703125" style="170" customWidth="1"/>
    <col min="7703" max="7704" width="10.140625" style="170" customWidth="1"/>
    <col min="7705" max="7708" width="9.140625" style="170" customWidth="1"/>
    <col min="7709" max="7709" width="5.7109375" style="170" customWidth="1"/>
    <col min="7710" max="7711" width="9.140625" style="170" customWidth="1"/>
    <col min="7712" max="7714" width="9.7109375" style="170" customWidth="1"/>
    <col min="7715" max="7937" width="9.140625" style="170"/>
    <col min="7938" max="7938" width="27" style="170" customWidth="1"/>
    <col min="7939" max="7939" width="9" style="170" customWidth="1"/>
    <col min="7940" max="7940" width="8.42578125" style="170" customWidth="1"/>
    <col min="7941" max="7942" width="9.140625" style="170" customWidth="1"/>
    <col min="7943" max="7943" width="5.42578125" style="170" customWidth="1"/>
    <col min="7944" max="7944" width="10.140625" style="170" customWidth="1"/>
    <col min="7945" max="7947" width="10.42578125" style="170" customWidth="1"/>
    <col min="7948" max="7948" width="11.28515625" style="170" customWidth="1"/>
    <col min="7949" max="7953" width="9.42578125" style="170" customWidth="1"/>
    <col min="7954" max="7956" width="8.5703125" style="170" customWidth="1"/>
    <col min="7957" max="7957" width="10.85546875" style="170" customWidth="1"/>
    <col min="7958" max="7958" width="9.5703125" style="170" customWidth="1"/>
    <col min="7959" max="7960" width="10.140625" style="170" customWidth="1"/>
    <col min="7961" max="7964" width="9.140625" style="170" customWidth="1"/>
    <col min="7965" max="7965" width="5.7109375" style="170" customWidth="1"/>
    <col min="7966" max="7967" width="9.140625" style="170" customWidth="1"/>
    <col min="7968" max="7970" width="9.7109375" style="170" customWidth="1"/>
    <col min="7971" max="8193" width="9.140625" style="170"/>
    <col min="8194" max="8194" width="27" style="170" customWidth="1"/>
    <col min="8195" max="8195" width="9" style="170" customWidth="1"/>
    <col min="8196" max="8196" width="8.42578125" style="170" customWidth="1"/>
    <col min="8197" max="8198" width="9.140625" style="170" customWidth="1"/>
    <col min="8199" max="8199" width="5.42578125" style="170" customWidth="1"/>
    <col min="8200" max="8200" width="10.140625" style="170" customWidth="1"/>
    <col min="8201" max="8203" width="10.42578125" style="170" customWidth="1"/>
    <col min="8204" max="8204" width="11.28515625" style="170" customWidth="1"/>
    <col min="8205" max="8209" width="9.42578125" style="170" customWidth="1"/>
    <col min="8210" max="8212" width="8.5703125" style="170" customWidth="1"/>
    <col min="8213" max="8213" width="10.85546875" style="170" customWidth="1"/>
    <col min="8214" max="8214" width="9.5703125" style="170" customWidth="1"/>
    <col min="8215" max="8216" width="10.140625" style="170" customWidth="1"/>
    <col min="8217" max="8220" width="9.140625" style="170" customWidth="1"/>
    <col min="8221" max="8221" width="5.7109375" style="170" customWidth="1"/>
    <col min="8222" max="8223" width="9.140625" style="170" customWidth="1"/>
    <col min="8224" max="8226" width="9.7109375" style="170" customWidth="1"/>
    <col min="8227" max="8449" width="9.140625" style="170"/>
    <col min="8450" max="8450" width="27" style="170" customWidth="1"/>
    <col min="8451" max="8451" width="9" style="170" customWidth="1"/>
    <col min="8452" max="8452" width="8.42578125" style="170" customWidth="1"/>
    <col min="8453" max="8454" width="9.140625" style="170" customWidth="1"/>
    <col min="8455" max="8455" width="5.42578125" style="170" customWidth="1"/>
    <col min="8456" max="8456" width="10.140625" style="170" customWidth="1"/>
    <col min="8457" max="8459" width="10.42578125" style="170" customWidth="1"/>
    <col min="8460" max="8460" width="11.28515625" style="170" customWidth="1"/>
    <col min="8461" max="8465" width="9.42578125" style="170" customWidth="1"/>
    <col min="8466" max="8468" width="8.5703125" style="170" customWidth="1"/>
    <col min="8469" max="8469" width="10.85546875" style="170" customWidth="1"/>
    <col min="8470" max="8470" width="9.5703125" style="170" customWidth="1"/>
    <col min="8471" max="8472" width="10.140625" style="170" customWidth="1"/>
    <col min="8473" max="8476" width="9.140625" style="170" customWidth="1"/>
    <col min="8477" max="8477" width="5.7109375" style="170" customWidth="1"/>
    <col min="8478" max="8479" width="9.140625" style="170" customWidth="1"/>
    <col min="8480" max="8482" width="9.7109375" style="170" customWidth="1"/>
    <col min="8483" max="8705" width="9.140625" style="170"/>
    <col min="8706" max="8706" width="27" style="170" customWidth="1"/>
    <col min="8707" max="8707" width="9" style="170" customWidth="1"/>
    <col min="8708" max="8708" width="8.42578125" style="170" customWidth="1"/>
    <col min="8709" max="8710" width="9.140625" style="170" customWidth="1"/>
    <col min="8711" max="8711" width="5.42578125" style="170" customWidth="1"/>
    <col min="8712" max="8712" width="10.140625" style="170" customWidth="1"/>
    <col min="8713" max="8715" width="10.42578125" style="170" customWidth="1"/>
    <col min="8716" max="8716" width="11.28515625" style="170" customWidth="1"/>
    <col min="8717" max="8721" width="9.42578125" style="170" customWidth="1"/>
    <col min="8722" max="8724" width="8.5703125" style="170" customWidth="1"/>
    <col min="8725" max="8725" width="10.85546875" style="170" customWidth="1"/>
    <col min="8726" max="8726" width="9.5703125" style="170" customWidth="1"/>
    <col min="8727" max="8728" width="10.140625" style="170" customWidth="1"/>
    <col min="8729" max="8732" width="9.140625" style="170" customWidth="1"/>
    <col min="8733" max="8733" width="5.7109375" style="170" customWidth="1"/>
    <col min="8734" max="8735" width="9.140625" style="170" customWidth="1"/>
    <col min="8736" max="8738" width="9.7109375" style="170" customWidth="1"/>
    <col min="8739" max="8961" width="9.140625" style="170"/>
    <col min="8962" max="8962" width="27" style="170" customWidth="1"/>
    <col min="8963" max="8963" width="9" style="170" customWidth="1"/>
    <col min="8964" max="8964" width="8.42578125" style="170" customWidth="1"/>
    <col min="8965" max="8966" width="9.140625" style="170" customWidth="1"/>
    <col min="8967" max="8967" width="5.42578125" style="170" customWidth="1"/>
    <col min="8968" max="8968" width="10.140625" style="170" customWidth="1"/>
    <col min="8969" max="8971" width="10.42578125" style="170" customWidth="1"/>
    <col min="8972" max="8972" width="11.28515625" style="170" customWidth="1"/>
    <col min="8973" max="8977" width="9.42578125" style="170" customWidth="1"/>
    <col min="8978" max="8980" width="8.5703125" style="170" customWidth="1"/>
    <col min="8981" max="8981" width="10.85546875" style="170" customWidth="1"/>
    <col min="8982" max="8982" width="9.5703125" style="170" customWidth="1"/>
    <col min="8983" max="8984" width="10.140625" style="170" customWidth="1"/>
    <col min="8985" max="8988" width="9.140625" style="170" customWidth="1"/>
    <col min="8989" max="8989" width="5.7109375" style="170" customWidth="1"/>
    <col min="8990" max="8991" width="9.140625" style="170" customWidth="1"/>
    <col min="8992" max="8994" width="9.7109375" style="170" customWidth="1"/>
    <col min="8995" max="9217" width="9.140625" style="170"/>
    <col min="9218" max="9218" width="27" style="170" customWidth="1"/>
    <col min="9219" max="9219" width="9" style="170" customWidth="1"/>
    <col min="9220" max="9220" width="8.42578125" style="170" customWidth="1"/>
    <col min="9221" max="9222" width="9.140625" style="170" customWidth="1"/>
    <col min="9223" max="9223" width="5.42578125" style="170" customWidth="1"/>
    <col min="9224" max="9224" width="10.140625" style="170" customWidth="1"/>
    <col min="9225" max="9227" width="10.42578125" style="170" customWidth="1"/>
    <col min="9228" max="9228" width="11.28515625" style="170" customWidth="1"/>
    <col min="9229" max="9233" width="9.42578125" style="170" customWidth="1"/>
    <col min="9234" max="9236" width="8.5703125" style="170" customWidth="1"/>
    <col min="9237" max="9237" width="10.85546875" style="170" customWidth="1"/>
    <col min="9238" max="9238" width="9.5703125" style="170" customWidth="1"/>
    <col min="9239" max="9240" width="10.140625" style="170" customWidth="1"/>
    <col min="9241" max="9244" width="9.140625" style="170" customWidth="1"/>
    <col min="9245" max="9245" width="5.7109375" style="170" customWidth="1"/>
    <col min="9246" max="9247" width="9.140625" style="170" customWidth="1"/>
    <col min="9248" max="9250" width="9.7109375" style="170" customWidth="1"/>
    <col min="9251" max="9473" width="9.140625" style="170"/>
    <col min="9474" max="9474" width="27" style="170" customWidth="1"/>
    <col min="9475" max="9475" width="9" style="170" customWidth="1"/>
    <col min="9476" max="9476" width="8.42578125" style="170" customWidth="1"/>
    <col min="9477" max="9478" width="9.140625" style="170" customWidth="1"/>
    <col min="9479" max="9479" width="5.42578125" style="170" customWidth="1"/>
    <col min="9480" max="9480" width="10.140625" style="170" customWidth="1"/>
    <col min="9481" max="9483" width="10.42578125" style="170" customWidth="1"/>
    <col min="9484" max="9484" width="11.28515625" style="170" customWidth="1"/>
    <col min="9485" max="9489" width="9.42578125" style="170" customWidth="1"/>
    <col min="9490" max="9492" width="8.5703125" style="170" customWidth="1"/>
    <col min="9493" max="9493" width="10.85546875" style="170" customWidth="1"/>
    <col min="9494" max="9494" width="9.5703125" style="170" customWidth="1"/>
    <col min="9495" max="9496" width="10.140625" style="170" customWidth="1"/>
    <col min="9497" max="9500" width="9.140625" style="170" customWidth="1"/>
    <col min="9501" max="9501" width="5.7109375" style="170" customWidth="1"/>
    <col min="9502" max="9503" width="9.140625" style="170" customWidth="1"/>
    <col min="9504" max="9506" width="9.7109375" style="170" customWidth="1"/>
    <col min="9507" max="9729" width="9.140625" style="170"/>
    <col min="9730" max="9730" width="27" style="170" customWidth="1"/>
    <col min="9731" max="9731" width="9" style="170" customWidth="1"/>
    <col min="9732" max="9732" width="8.42578125" style="170" customWidth="1"/>
    <col min="9733" max="9734" width="9.140625" style="170" customWidth="1"/>
    <col min="9735" max="9735" width="5.42578125" style="170" customWidth="1"/>
    <col min="9736" max="9736" width="10.140625" style="170" customWidth="1"/>
    <col min="9737" max="9739" width="10.42578125" style="170" customWidth="1"/>
    <col min="9740" max="9740" width="11.28515625" style="170" customWidth="1"/>
    <col min="9741" max="9745" width="9.42578125" style="170" customWidth="1"/>
    <col min="9746" max="9748" width="8.5703125" style="170" customWidth="1"/>
    <col min="9749" max="9749" width="10.85546875" style="170" customWidth="1"/>
    <col min="9750" max="9750" width="9.5703125" style="170" customWidth="1"/>
    <col min="9751" max="9752" width="10.140625" style="170" customWidth="1"/>
    <col min="9753" max="9756" width="9.140625" style="170" customWidth="1"/>
    <col min="9757" max="9757" width="5.7109375" style="170" customWidth="1"/>
    <col min="9758" max="9759" width="9.140625" style="170" customWidth="1"/>
    <col min="9760" max="9762" width="9.7109375" style="170" customWidth="1"/>
    <col min="9763" max="9985" width="9.140625" style="170"/>
    <col min="9986" max="9986" width="27" style="170" customWidth="1"/>
    <col min="9987" max="9987" width="9" style="170" customWidth="1"/>
    <col min="9988" max="9988" width="8.42578125" style="170" customWidth="1"/>
    <col min="9989" max="9990" width="9.140625" style="170" customWidth="1"/>
    <col min="9991" max="9991" width="5.42578125" style="170" customWidth="1"/>
    <col min="9992" max="9992" width="10.140625" style="170" customWidth="1"/>
    <col min="9993" max="9995" width="10.42578125" style="170" customWidth="1"/>
    <col min="9996" max="9996" width="11.28515625" style="170" customWidth="1"/>
    <col min="9997" max="10001" width="9.42578125" style="170" customWidth="1"/>
    <col min="10002" max="10004" width="8.5703125" style="170" customWidth="1"/>
    <col min="10005" max="10005" width="10.85546875" style="170" customWidth="1"/>
    <col min="10006" max="10006" width="9.5703125" style="170" customWidth="1"/>
    <col min="10007" max="10008" width="10.140625" style="170" customWidth="1"/>
    <col min="10009" max="10012" width="9.140625" style="170" customWidth="1"/>
    <col min="10013" max="10013" width="5.7109375" style="170" customWidth="1"/>
    <col min="10014" max="10015" width="9.140625" style="170" customWidth="1"/>
    <col min="10016" max="10018" width="9.7109375" style="170" customWidth="1"/>
    <col min="10019" max="10241" width="9.140625" style="170"/>
    <col min="10242" max="10242" width="27" style="170" customWidth="1"/>
    <col min="10243" max="10243" width="9" style="170" customWidth="1"/>
    <col min="10244" max="10244" width="8.42578125" style="170" customWidth="1"/>
    <col min="10245" max="10246" width="9.140625" style="170" customWidth="1"/>
    <col min="10247" max="10247" width="5.42578125" style="170" customWidth="1"/>
    <col min="10248" max="10248" width="10.140625" style="170" customWidth="1"/>
    <col min="10249" max="10251" width="10.42578125" style="170" customWidth="1"/>
    <col min="10252" max="10252" width="11.28515625" style="170" customWidth="1"/>
    <col min="10253" max="10257" width="9.42578125" style="170" customWidth="1"/>
    <col min="10258" max="10260" width="8.5703125" style="170" customWidth="1"/>
    <col min="10261" max="10261" width="10.85546875" style="170" customWidth="1"/>
    <col min="10262" max="10262" width="9.5703125" style="170" customWidth="1"/>
    <col min="10263" max="10264" width="10.140625" style="170" customWidth="1"/>
    <col min="10265" max="10268" width="9.140625" style="170" customWidth="1"/>
    <col min="10269" max="10269" width="5.7109375" style="170" customWidth="1"/>
    <col min="10270" max="10271" width="9.140625" style="170" customWidth="1"/>
    <col min="10272" max="10274" width="9.7109375" style="170" customWidth="1"/>
    <col min="10275" max="10497" width="9.140625" style="170"/>
    <col min="10498" max="10498" width="27" style="170" customWidth="1"/>
    <col min="10499" max="10499" width="9" style="170" customWidth="1"/>
    <col min="10500" max="10500" width="8.42578125" style="170" customWidth="1"/>
    <col min="10501" max="10502" width="9.140625" style="170" customWidth="1"/>
    <col min="10503" max="10503" width="5.42578125" style="170" customWidth="1"/>
    <col min="10504" max="10504" width="10.140625" style="170" customWidth="1"/>
    <col min="10505" max="10507" width="10.42578125" style="170" customWidth="1"/>
    <col min="10508" max="10508" width="11.28515625" style="170" customWidth="1"/>
    <col min="10509" max="10513" width="9.42578125" style="170" customWidth="1"/>
    <col min="10514" max="10516" width="8.5703125" style="170" customWidth="1"/>
    <col min="10517" max="10517" width="10.85546875" style="170" customWidth="1"/>
    <col min="10518" max="10518" width="9.5703125" style="170" customWidth="1"/>
    <col min="10519" max="10520" width="10.140625" style="170" customWidth="1"/>
    <col min="10521" max="10524" width="9.140625" style="170" customWidth="1"/>
    <col min="10525" max="10525" width="5.7109375" style="170" customWidth="1"/>
    <col min="10526" max="10527" width="9.140625" style="170" customWidth="1"/>
    <col min="10528" max="10530" width="9.7109375" style="170" customWidth="1"/>
    <col min="10531" max="10753" width="9.140625" style="170"/>
    <col min="10754" max="10754" width="27" style="170" customWidth="1"/>
    <col min="10755" max="10755" width="9" style="170" customWidth="1"/>
    <col min="10756" max="10756" width="8.42578125" style="170" customWidth="1"/>
    <col min="10757" max="10758" width="9.140625" style="170" customWidth="1"/>
    <col min="10759" max="10759" width="5.42578125" style="170" customWidth="1"/>
    <col min="10760" max="10760" width="10.140625" style="170" customWidth="1"/>
    <col min="10761" max="10763" width="10.42578125" style="170" customWidth="1"/>
    <col min="10764" max="10764" width="11.28515625" style="170" customWidth="1"/>
    <col min="10765" max="10769" width="9.42578125" style="170" customWidth="1"/>
    <col min="10770" max="10772" width="8.5703125" style="170" customWidth="1"/>
    <col min="10773" max="10773" width="10.85546875" style="170" customWidth="1"/>
    <col min="10774" max="10774" width="9.5703125" style="170" customWidth="1"/>
    <col min="10775" max="10776" width="10.140625" style="170" customWidth="1"/>
    <col min="10777" max="10780" width="9.140625" style="170" customWidth="1"/>
    <col min="10781" max="10781" width="5.7109375" style="170" customWidth="1"/>
    <col min="10782" max="10783" width="9.140625" style="170" customWidth="1"/>
    <col min="10784" max="10786" width="9.7109375" style="170" customWidth="1"/>
    <col min="10787" max="11009" width="9.140625" style="170"/>
    <col min="11010" max="11010" width="27" style="170" customWidth="1"/>
    <col min="11011" max="11011" width="9" style="170" customWidth="1"/>
    <col min="11012" max="11012" width="8.42578125" style="170" customWidth="1"/>
    <col min="11013" max="11014" width="9.140625" style="170" customWidth="1"/>
    <col min="11015" max="11015" width="5.42578125" style="170" customWidth="1"/>
    <col min="11016" max="11016" width="10.140625" style="170" customWidth="1"/>
    <col min="11017" max="11019" width="10.42578125" style="170" customWidth="1"/>
    <col min="11020" max="11020" width="11.28515625" style="170" customWidth="1"/>
    <col min="11021" max="11025" width="9.42578125" style="170" customWidth="1"/>
    <col min="11026" max="11028" width="8.5703125" style="170" customWidth="1"/>
    <col min="11029" max="11029" width="10.85546875" style="170" customWidth="1"/>
    <col min="11030" max="11030" width="9.5703125" style="170" customWidth="1"/>
    <col min="11031" max="11032" width="10.140625" style="170" customWidth="1"/>
    <col min="11033" max="11036" width="9.140625" style="170" customWidth="1"/>
    <col min="11037" max="11037" width="5.7109375" style="170" customWidth="1"/>
    <col min="11038" max="11039" width="9.140625" style="170" customWidth="1"/>
    <col min="11040" max="11042" width="9.7109375" style="170" customWidth="1"/>
    <col min="11043" max="11265" width="9.140625" style="170"/>
    <col min="11266" max="11266" width="27" style="170" customWidth="1"/>
    <col min="11267" max="11267" width="9" style="170" customWidth="1"/>
    <col min="11268" max="11268" width="8.42578125" style="170" customWidth="1"/>
    <col min="11269" max="11270" width="9.140625" style="170" customWidth="1"/>
    <col min="11271" max="11271" width="5.42578125" style="170" customWidth="1"/>
    <col min="11272" max="11272" width="10.140625" style="170" customWidth="1"/>
    <col min="11273" max="11275" width="10.42578125" style="170" customWidth="1"/>
    <col min="11276" max="11276" width="11.28515625" style="170" customWidth="1"/>
    <col min="11277" max="11281" width="9.42578125" style="170" customWidth="1"/>
    <col min="11282" max="11284" width="8.5703125" style="170" customWidth="1"/>
    <col min="11285" max="11285" width="10.85546875" style="170" customWidth="1"/>
    <col min="11286" max="11286" width="9.5703125" style="170" customWidth="1"/>
    <col min="11287" max="11288" width="10.140625" style="170" customWidth="1"/>
    <col min="11289" max="11292" width="9.140625" style="170" customWidth="1"/>
    <col min="11293" max="11293" width="5.7109375" style="170" customWidth="1"/>
    <col min="11294" max="11295" width="9.140625" style="170" customWidth="1"/>
    <col min="11296" max="11298" width="9.7109375" style="170" customWidth="1"/>
    <col min="11299" max="11521" width="9.140625" style="170"/>
    <col min="11522" max="11522" width="27" style="170" customWidth="1"/>
    <col min="11523" max="11523" width="9" style="170" customWidth="1"/>
    <col min="11524" max="11524" width="8.42578125" style="170" customWidth="1"/>
    <col min="11525" max="11526" width="9.140625" style="170" customWidth="1"/>
    <col min="11527" max="11527" width="5.42578125" style="170" customWidth="1"/>
    <col min="11528" max="11528" width="10.140625" style="170" customWidth="1"/>
    <col min="11529" max="11531" width="10.42578125" style="170" customWidth="1"/>
    <col min="11532" max="11532" width="11.28515625" style="170" customWidth="1"/>
    <col min="11533" max="11537" width="9.42578125" style="170" customWidth="1"/>
    <col min="11538" max="11540" width="8.5703125" style="170" customWidth="1"/>
    <col min="11541" max="11541" width="10.85546875" style="170" customWidth="1"/>
    <col min="11542" max="11542" width="9.5703125" style="170" customWidth="1"/>
    <col min="11543" max="11544" width="10.140625" style="170" customWidth="1"/>
    <col min="11545" max="11548" width="9.140625" style="170" customWidth="1"/>
    <col min="11549" max="11549" width="5.7109375" style="170" customWidth="1"/>
    <col min="11550" max="11551" width="9.140625" style="170" customWidth="1"/>
    <col min="11552" max="11554" width="9.7109375" style="170" customWidth="1"/>
    <col min="11555" max="11777" width="9.140625" style="170"/>
    <col min="11778" max="11778" width="27" style="170" customWidth="1"/>
    <col min="11779" max="11779" width="9" style="170" customWidth="1"/>
    <col min="11780" max="11780" width="8.42578125" style="170" customWidth="1"/>
    <col min="11781" max="11782" width="9.140625" style="170" customWidth="1"/>
    <col min="11783" max="11783" width="5.42578125" style="170" customWidth="1"/>
    <col min="11784" max="11784" width="10.140625" style="170" customWidth="1"/>
    <col min="11785" max="11787" width="10.42578125" style="170" customWidth="1"/>
    <col min="11788" max="11788" width="11.28515625" style="170" customWidth="1"/>
    <col min="11789" max="11793" width="9.42578125" style="170" customWidth="1"/>
    <col min="11794" max="11796" width="8.5703125" style="170" customWidth="1"/>
    <col min="11797" max="11797" width="10.85546875" style="170" customWidth="1"/>
    <col min="11798" max="11798" width="9.5703125" style="170" customWidth="1"/>
    <col min="11799" max="11800" width="10.140625" style="170" customWidth="1"/>
    <col min="11801" max="11804" width="9.140625" style="170" customWidth="1"/>
    <col min="11805" max="11805" width="5.7109375" style="170" customWidth="1"/>
    <col min="11806" max="11807" width="9.140625" style="170" customWidth="1"/>
    <col min="11808" max="11810" width="9.7109375" style="170" customWidth="1"/>
    <col min="11811" max="12033" width="9.140625" style="170"/>
    <col min="12034" max="12034" width="27" style="170" customWidth="1"/>
    <col min="12035" max="12035" width="9" style="170" customWidth="1"/>
    <col min="12036" max="12036" width="8.42578125" style="170" customWidth="1"/>
    <col min="12037" max="12038" width="9.140625" style="170" customWidth="1"/>
    <col min="12039" max="12039" width="5.42578125" style="170" customWidth="1"/>
    <col min="12040" max="12040" width="10.140625" style="170" customWidth="1"/>
    <col min="12041" max="12043" width="10.42578125" style="170" customWidth="1"/>
    <col min="12044" max="12044" width="11.28515625" style="170" customWidth="1"/>
    <col min="12045" max="12049" width="9.42578125" style="170" customWidth="1"/>
    <col min="12050" max="12052" width="8.5703125" style="170" customWidth="1"/>
    <col min="12053" max="12053" width="10.85546875" style="170" customWidth="1"/>
    <col min="12054" max="12054" width="9.5703125" style="170" customWidth="1"/>
    <col min="12055" max="12056" width="10.140625" style="170" customWidth="1"/>
    <col min="12057" max="12060" width="9.140625" style="170" customWidth="1"/>
    <col min="12061" max="12061" width="5.7109375" style="170" customWidth="1"/>
    <col min="12062" max="12063" width="9.140625" style="170" customWidth="1"/>
    <col min="12064" max="12066" width="9.7109375" style="170" customWidth="1"/>
    <col min="12067" max="12289" width="9.140625" style="170"/>
    <col min="12290" max="12290" width="27" style="170" customWidth="1"/>
    <col min="12291" max="12291" width="9" style="170" customWidth="1"/>
    <col min="12292" max="12292" width="8.42578125" style="170" customWidth="1"/>
    <col min="12293" max="12294" width="9.140625" style="170" customWidth="1"/>
    <col min="12295" max="12295" width="5.42578125" style="170" customWidth="1"/>
    <col min="12296" max="12296" width="10.140625" style="170" customWidth="1"/>
    <col min="12297" max="12299" width="10.42578125" style="170" customWidth="1"/>
    <col min="12300" max="12300" width="11.28515625" style="170" customWidth="1"/>
    <col min="12301" max="12305" width="9.42578125" style="170" customWidth="1"/>
    <col min="12306" max="12308" width="8.5703125" style="170" customWidth="1"/>
    <col min="12309" max="12309" width="10.85546875" style="170" customWidth="1"/>
    <col min="12310" max="12310" width="9.5703125" style="170" customWidth="1"/>
    <col min="12311" max="12312" width="10.140625" style="170" customWidth="1"/>
    <col min="12313" max="12316" width="9.140625" style="170" customWidth="1"/>
    <col min="12317" max="12317" width="5.7109375" style="170" customWidth="1"/>
    <col min="12318" max="12319" width="9.140625" style="170" customWidth="1"/>
    <col min="12320" max="12322" width="9.7109375" style="170" customWidth="1"/>
    <col min="12323" max="12545" width="9.140625" style="170"/>
    <col min="12546" max="12546" width="27" style="170" customWidth="1"/>
    <col min="12547" max="12547" width="9" style="170" customWidth="1"/>
    <col min="12548" max="12548" width="8.42578125" style="170" customWidth="1"/>
    <col min="12549" max="12550" width="9.140625" style="170" customWidth="1"/>
    <col min="12551" max="12551" width="5.42578125" style="170" customWidth="1"/>
    <col min="12552" max="12552" width="10.140625" style="170" customWidth="1"/>
    <col min="12553" max="12555" width="10.42578125" style="170" customWidth="1"/>
    <col min="12556" max="12556" width="11.28515625" style="170" customWidth="1"/>
    <col min="12557" max="12561" width="9.42578125" style="170" customWidth="1"/>
    <col min="12562" max="12564" width="8.5703125" style="170" customWidth="1"/>
    <col min="12565" max="12565" width="10.85546875" style="170" customWidth="1"/>
    <col min="12566" max="12566" width="9.5703125" style="170" customWidth="1"/>
    <col min="12567" max="12568" width="10.140625" style="170" customWidth="1"/>
    <col min="12569" max="12572" width="9.140625" style="170" customWidth="1"/>
    <col min="12573" max="12573" width="5.7109375" style="170" customWidth="1"/>
    <col min="12574" max="12575" width="9.140625" style="170" customWidth="1"/>
    <col min="12576" max="12578" width="9.7109375" style="170" customWidth="1"/>
    <col min="12579" max="12801" width="9.140625" style="170"/>
    <col min="12802" max="12802" width="27" style="170" customWidth="1"/>
    <col min="12803" max="12803" width="9" style="170" customWidth="1"/>
    <col min="12804" max="12804" width="8.42578125" style="170" customWidth="1"/>
    <col min="12805" max="12806" width="9.140625" style="170" customWidth="1"/>
    <col min="12807" max="12807" width="5.42578125" style="170" customWidth="1"/>
    <col min="12808" max="12808" width="10.140625" style="170" customWidth="1"/>
    <col min="12809" max="12811" width="10.42578125" style="170" customWidth="1"/>
    <col min="12812" max="12812" width="11.28515625" style="170" customWidth="1"/>
    <col min="12813" max="12817" width="9.42578125" style="170" customWidth="1"/>
    <col min="12818" max="12820" width="8.5703125" style="170" customWidth="1"/>
    <col min="12821" max="12821" width="10.85546875" style="170" customWidth="1"/>
    <col min="12822" max="12822" width="9.5703125" style="170" customWidth="1"/>
    <col min="12823" max="12824" width="10.140625" style="170" customWidth="1"/>
    <col min="12825" max="12828" width="9.140625" style="170" customWidth="1"/>
    <col min="12829" max="12829" width="5.7109375" style="170" customWidth="1"/>
    <col min="12830" max="12831" width="9.140625" style="170" customWidth="1"/>
    <col min="12832" max="12834" width="9.7109375" style="170" customWidth="1"/>
    <col min="12835" max="13057" width="9.140625" style="170"/>
    <col min="13058" max="13058" width="27" style="170" customWidth="1"/>
    <col min="13059" max="13059" width="9" style="170" customWidth="1"/>
    <col min="13060" max="13060" width="8.42578125" style="170" customWidth="1"/>
    <col min="13061" max="13062" width="9.140625" style="170" customWidth="1"/>
    <col min="13063" max="13063" width="5.42578125" style="170" customWidth="1"/>
    <col min="13064" max="13064" width="10.140625" style="170" customWidth="1"/>
    <col min="13065" max="13067" width="10.42578125" style="170" customWidth="1"/>
    <col min="13068" max="13068" width="11.28515625" style="170" customWidth="1"/>
    <col min="13069" max="13073" width="9.42578125" style="170" customWidth="1"/>
    <col min="13074" max="13076" width="8.5703125" style="170" customWidth="1"/>
    <col min="13077" max="13077" width="10.85546875" style="170" customWidth="1"/>
    <col min="13078" max="13078" width="9.5703125" style="170" customWidth="1"/>
    <col min="13079" max="13080" width="10.140625" style="170" customWidth="1"/>
    <col min="13081" max="13084" width="9.140625" style="170" customWidth="1"/>
    <col min="13085" max="13085" width="5.7109375" style="170" customWidth="1"/>
    <col min="13086" max="13087" width="9.140625" style="170" customWidth="1"/>
    <col min="13088" max="13090" width="9.7109375" style="170" customWidth="1"/>
    <col min="13091" max="13313" width="9.140625" style="170"/>
    <col min="13314" max="13314" width="27" style="170" customWidth="1"/>
    <col min="13315" max="13315" width="9" style="170" customWidth="1"/>
    <col min="13316" max="13316" width="8.42578125" style="170" customWidth="1"/>
    <col min="13317" max="13318" width="9.140625" style="170" customWidth="1"/>
    <col min="13319" max="13319" width="5.42578125" style="170" customWidth="1"/>
    <col min="13320" max="13320" width="10.140625" style="170" customWidth="1"/>
    <col min="13321" max="13323" width="10.42578125" style="170" customWidth="1"/>
    <col min="13324" max="13324" width="11.28515625" style="170" customWidth="1"/>
    <col min="13325" max="13329" width="9.42578125" style="170" customWidth="1"/>
    <col min="13330" max="13332" width="8.5703125" style="170" customWidth="1"/>
    <col min="13333" max="13333" width="10.85546875" style="170" customWidth="1"/>
    <col min="13334" max="13334" width="9.5703125" style="170" customWidth="1"/>
    <col min="13335" max="13336" width="10.140625" style="170" customWidth="1"/>
    <col min="13337" max="13340" width="9.140625" style="170" customWidth="1"/>
    <col min="13341" max="13341" width="5.7109375" style="170" customWidth="1"/>
    <col min="13342" max="13343" width="9.140625" style="170" customWidth="1"/>
    <col min="13344" max="13346" width="9.7109375" style="170" customWidth="1"/>
    <col min="13347" max="13569" width="9.140625" style="170"/>
    <col min="13570" max="13570" width="27" style="170" customWidth="1"/>
    <col min="13571" max="13571" width="9" style="170" customWidth="1"/>
    <col min="13572" max="13572" width="8.42578125" style="170" customWidth="1"/>
    <col min="13573" max="13574" width="9.140625" style="170" customWidth="1"/>
    <col min="13575" max="13575" width="5.42578125" style="170" customWidth="1"/>
    <col min="13576" max="13576" width="10.140625" style="170" customWidth="1"/>
    <col min="13577" max="13579" width="10.42578125" style="170" customWidth="1"/>
    <col min="13580" max="13580" width="11.28515625" style="170" customWidth="1"/>
    <col min="13581" max="13585" width="9.42578125" style="170" customWidth="1"/>
    <col min="13586" max="13588" width="8.5703125" style="170" customWidth="1"/>
    <col min="13589" max="13589" width="10.85546875" style="170" customWidth="1"/>
    <col min="13590" max="13590" width="9.5703125" style="170" customWidth="1"/>
    <col min="13591" max="13592" width="10.140625" style="170" customWidth="1"/>
    <col min="13593" max="13596" width="9.140625" style="170" customWidth="1"/>
    <col min="13597" max="13597" width="5.7109375" style="170" customWidth="1"/>
    <col min="13598" max="13599" width="9.140625" style="170" customWidth="1"/>
    <col min="13600" max="13602" width="9.7109375" style="170" customWidth="1"/>
    <col min="13603" max="13825" width="9.140625" style="170"/>
    <col min="13826" max="13826" width="27" style="170" customWidth="1"/>
    <col min="13827" max="13827" width="9" style="170" customWidth="1"/>
    <col min="13828" max="13828" width="8.42578125" style="170" customWidth="1"/>
    <col min="13829" max="13830" width="9.140625" style="170" customWidth="1"/>
    <col min="13831" max="13831" width="5.42578125" style="170" customWidth="1"/>
    <col min="13832" max="13832" width="10.140625" style="170" customWidth="1"/>
    <col min="13833" max="13835" width="10.42578125" style="170" customWidth="1"/>
    <col min="13836" max="13836" width="11.28515625" style="170" customWidth="1"/>
    <col min="13837" max="13841" width="9.42578125" style="170" customWidth="1"/>
    <col min="13842" max="13844" width="8.5703125" style="170" customWidth="1"/>
    <col min="13845" max="13845" width="10.85546875" style="170" customWidth="1"/>
    <col min="13846" max="13846" width="9.5703125" style="170" customWidth="1"/>
    <col min="13847" max="13848" width="10.140625" style="170" customWidth="1"/>
    <col min="13849" max="13852" width="9.140625" style="170" customWidth="1"/>
    <col min="13853" max="13853" width="5.7109375" style="170" customWidth="1"/>
    <col min="13854" max="13855" width="9.140625" style="170" customWidth="1"/>
    <col min="13856" max="13858" width="9.7109375" style="170" customWidth="1"/>
    <col min="13859" max="14081" width="9.140625" style="170"/>
    <col min="14082" max="14082" width="27" style="170" customWidth="1"/>
    <col min="14083" max="14083" width="9" style="170" customWidth="1"/>
    <col min="14084" max="14084" width="8.42578125" style="170" customWidth="1"/>
    <col min="14085" max="14086" width="9.140625" style="170" customWidth="1"/>
    <col min="14087" max="14087" width="5.42578125" style="170" customWidth="1"/>
    <col min="14088" max="14088" width="10.140625" style="170" customWidth="1"/>
    <col min="14089" max="14091" width="10.42578125" style="170" customWidth="1"/>
    <col min="14092" max="14092" width="11.28515625" style="170" customWidth="1"/>
    <col min="14093" max="14097" width="9.42578125" style="170" customWidth="1"/>
    <col min="14098" max="14100" width="8.5703125" style="170" customWidth="1"/>
    <col min="14101" max="14101" width="10.85546875" style="170" customWidth="1"/>
    <col min="14102" max="14102" width="9.5703125" style="170" customWidth="1"/>
    <col min="14103" max="14104" width="10.140625" style="170" customWidth="1"/>
    <col min="14105" max="14108" width="9.140625" style="170" customWidth="1"/>
    <col min="14109" max="14109" width="5.7109375" style="170" customWidth="1"/>
    <col min="14110" max="14111" width="9.140625" style="170" customWidth="1"/>
    <col min="14112" max="14114" width="9.7109375" style="170" customWidth="1"/>
    <col min="14115" max="14337" width="9.140625" style="170"/>
    <col min="14338" max="14338" width="27" style="170" customWidth="1"/>
    <col min="14339" max="14339" width="9" style="170" customWidth="1"/>
    <col min="14340" max="14340" width="8.42578125" style="170" customWidth="1"/>
    <col min="14341" max="14342" width="9.140625" style="170" customWidth="1"/>
    <col min="14343" max="14343" width="5.42578125" style="170" customWidth="1"/>
    <col min="14344" max="14344" width="10.140625" style="170" customWidth="1"/>
    <col min="14345" max="14347" width="10.42578125" style="170" customWidth="1"/>
    <col min="14348" max="14348" width="11.28515625" style="170" customWidth="1"/>
    <col min="14349" max="14353" width="9.42578125" style="170" customWidth="1"/>
    <col min="14354" max="14356" width="8.5703125" style="170" customWidth="1"/>
    <col min="14357" max="14357" width="10.85546875" style="170" customWidth="1"/>
    <col min="14358" max="14358" width="9.5703125" style="170" customWidth="1"/>
    <col min="14359" max="14360" width="10.140625" style="170" customWidth="1"/>
    <col min="14361" max="14364" width="9.140625" style="170" customWidth="1"/>
    <col min="14365" max="14365" width="5.7109375" style="170" customWidth="1"/>
    <col min="14366" max="14367" width="9.140625" style="170" customWidth="1"/>
    <col min="14368" max="14370" width="9.7109375" style="170" customWidth="1"/>
    <col min="14371" max="14593" width="9.140625" style="170"/>
    <col min="14594" max="14594" width="27" style="170" customWidth="1"/>
    <col min="14595" max="14595" width="9" style="170" customWidth="1"/>
    <col min="14596" max="14596" width="8.42578125" style="170" customWidth="1"/>
    <col min="14597" max="14598" width="9.140625" style="170" customWidth="1"/>
    <col min="14599" max="14599" width="5.42578125" style="170" customWidth="1"/>
    <col min="14600" max="14600" width="10.140625" style="170" customWidth="1"/>
    <col min="14601" max="14603" width="10.42578125" style="170" customWidth="1"/>
    <col min="14604" max="14604" width="11.28515625" style="170" customWidth="1"/>
    <col min="14605" max="14609" width="9.42578125" style="170" customWidth="1"/>
    <col min="14610" max="14612" width="8.5703125" style="170" customWidth="1"/>
    <col min="14613" max="14613" width="10.85546875" style="170" customWidth="1"/>
    <col min="14614" max="14614" width="9.5703125" style="170" customWidth="1"/>
    <col min="14615" max="14616" width="10.140625" style="170" customWidth="1"/>
    <col min="14617" max="14620" width="9.140625" style="170" customWidth="1"/>
    <col min="14621" max="14621" width="5.7109375" style="170" customWidth="1"/>
    <col min="14622" max="14623" width="9.140625" style="170" customWidth="1"/>
    <col min="14624" max="14626" width="9.7109375" style="170" customWidth="1"/>
    <col min="14627" max="14849" width="9.140625" style="170"/>
    <col min="14850" max="14850" width="27" style="170" customWidth="1"/>
    <col min="14851" max="14851" width="9" style="170" customWidth="1"/>
    <col min="14852" max="14852" width="8.42578125" style="170" customWidth="1"/>
    <col min="14853" max="14854" width="9.140625" style="170" customWidth="1"/>
    <col min="14855" max="14855" width="5.42578125" style="170" customWidth="1"/>
    <col min="14856" max="14856" width="10.140625" style="170" customWidth="1"/>
    <col min="14857" max="14859" width="10.42578125" style="170" customWidth="1"/>
    <col min="14860" max="14860" width="11.28515625" style="170" customWidth="1"/>
    <col min="14861" max="14865" width="9.42578125" style="170" customWidth="1"/>
    <col min="14866" max="14868" width="8.5703125" style="170" customWidth="1"/>
    <col min="14869" max="14869" width="10.85546875" style="170" customWidth="1"/>
    <col min="14870" max="14870" width="9.5703125" style="170" customWidth="1"/>
    <col min="14871" max="14872" width="10.140625" style="170" customWidth="1"/>
    <col min="14873" max="14876" width="9.140625" style="170" customWidth="1"/>
    <col min="14877" max="14877" width="5.7109375" style="170" customWidth="1"/>
    <col min="14878" max="14879" width="9.140625" style="170" customWidth="1"/>
    <col min="14880" max="14882" width="9.7109375" style="170" customWidth="1"/>
    <col min="14883" max="15105" width="9.140625" style="170"/>
    <col min="15106" max="15106" width="27" style="170" customWidth="1"/>
    <col min="15107" max="15107" width="9" style="170" customWidth="1"/>
    <col min="15108" max="15108" width="8.42578125" style="170" customWidth="1"/>
    <col min="15109" max="15110" width="9.140625" style="170" customWidth="1"/>
    <col min="15111" max="15111" width="5.42578125" style="170" customWidth="1"/>
    <col min="15112" max="15112" width="10.140625" style="170" customWidth="1"/>
    <col min="15113" max="15115" width="10.42578125" style="170" customWidth="1"/>
    <col min="15116" max="15116" width="11.28515625" style="170" customWidth="1"/>
    <col min="15117" max="15121" width="9.42578125" style="170" customWidth="1"/>
    <col min="15122" max="15124" width="8.5703125" style="170" customWidth="1"/>
    <col min="15125" max="15125" width="10.85546875" style="170" customWidth="1"/>
    <col min="15126" max="15126" width="9.5703125" style="170" customWidth="1"/>
    <col min="15127" max="15128" width="10.140625" style="170" customWidth="1"/>
    <col min="15129" max="15132" width="9.140625" style="170" customWidth="1"/>
    <col min="15133" max="15133" width="5.7109375" style="170" customWidth="1"/>
    <col min="15134" max="15135" width="9.140625" style="170" customWidth="1"/>
    <col min="15136" max="15138" width="9.7109375" style="170" customWidth="1"/>
    <col min="15139" max="15361" width="9.140625" style="170"/>
    <col min="15362" max="15362" width="27" style="170" customWidth="1"/>
    <col min="15363" max="15363" width="9" style="170" customWidth="1"/>
    <col min="15364" max="15364" width="8.42578125" style="170" customWidth="1"/>
    <col min="15365" max="15366" width="9.140625" style="170" customWidth="1"/>
    <col min="15367" max="15367" width="5.42578125" style="170" customWidth="1"/>
    <col min="15368" max="15368" width="10.140625" style="170" customWidth="1"/>
    <col min="15369" max="15371" width="10.42578125" style="170" customWidth="1"/>
    <col min="15372" max="15372" width="11.28515625" style="170" customWidth="1"/>
    <col min="15373" max="15377" width="9.42578125" style="170" customWidth="1"/>
    <col min="15378" max="15380" width="8.5703125" style="170" customWidth="1"/>
    <col min="15381" max="15381" width="10.85546875" style="170" customWidth="1"/>
    <col min="15382" max="15382" width="9.5703125" style="170" customWidth="1"/>
    <col min="15383" max="15384" width="10.140625" style="170" customWidth="1"/>
    <col min="15385" max="15388" width="9.140625" style="170" customWidth="1"/>
    <col min="15389" max="15389" width="5.7109375" style="170" customWidth="1"/>
    <col min="15390" max="15391" width="9.140625" style="170" customWidth="1"/>
    <col min="15392" max="15394" width="9.7109375" style="170" customWidth="1"/>
    <col min="15395" max="15617" width="9.140625" style="170"/>
    <col min="15618" max="15618" width="27" style="170" customWidth="1"/>
    <col min="15619" max="15619" width="9" style="170" customWidth="1"/>
    <col min="15620" max="15620" width="8.42578125" style="170" customWidth="1"/>
    <col min="15621" max="15622" width="9.140625" style="170" customWidth="1"/>
    <col min="15623" max="15623" width="5.42578125" style="170" customWidth="1"/>
    <col min="15624" max="15624" width="10.140625" style="170" customWidth="1"/>
    <col min="15625" max="15627" width="10.42578125" style="170" customWidth="1"/>
    <col min="15628" max="15628" width="11.28515625" style="170" customWidth="1"/>
    <col min="15629" max="15633" width="9.42578125" style="170" customWidth="1"/>
    <col min="15634" max="15636" width="8.5703125" style="170" customWidth="1"/>
    <col min="15637" max="15637" width="10.85546875" style="170" customWidth="1"/>
    <col min="15638" max="15638" width="9.5703125" style="170" customWidth="1"/>
    <col min="15639" max="15640" width="10.140625" style="170" customWidth="1"/>
    <col min="15641" max="15644" width="9.140625" style="170" customWidth="1"/>
    <col min="15645" max="15645" width="5.7109375" style="170" customWidth="1"/>
    <col min="15646" max="15647" width="9.140625" style="170" customWidth="1"/>
    <col min="15648" max="15650" width="9.7109375" style="170" customWidth="1"/>
    <col min="15651" max="15873" width="9.140625" style="170"/>
    <col min="15874" max="15874" width="27" style="170" customWidth="1"/>
    <col min="15875" max="15875" width="9" style="170" customWidth="1"/>
    <col min="15876" max="15876" width="8.42578125" style="170" customWidth="1"/>
    <col min="15877" max="15878" width="9.140625" style="170" customWidth="1"/>
    <col min="15879" max="15879" width="5.42578125" style="170" customWidth="1"/>
    <col min="15880" max="15880" width="10.140625" style="170" customWidth="1"/>
    <col min="15881" max="15883" width="10.42578125" style="170" customWidth="1"/>
    <col min="15884" max="15884" width="11.28515625" style="170" customWidth="1"/>
    <col min="15885" max="15889" width="9.42578125" style="170" customWidth="1"/>
    <col min="15890" max="15892" width="8.5703125" style="170" customWidth="1"/>
    <col min="15893" max="15893" width="10.85546875" style="170" customWidth="1"/>
    <col min="15894" max="15894" width="9.5703125" style="170" customWidth="1"/>
    <col min="15895" max="15896" width="10.140625" style="170" customWidth="1"/>
    <col min="15897" max="15900" width="9.140625" style="170" customWidth="1"/>
    <col min="15901" max="15901" width="5.7109375" style="170" customWidth="1"/>
    <col min="15902" max="15903" width="9.140625" style="170" customWidth="1"/>
    <col min="15904" max="15906" width="9.7109375" style="170" customWidth="1"/>
    <col min="15907" max="16129" width="9.140625" style="170"/>
    <col min="16130" max="16130" width="27" style="170" customWidth="1"/>
    <col min="16131" max="16131" width="9" style="170" customWidth="1"/>
    <col min="16132" max="16132" width="8.42578125" style="170" customWidth="1"/>
    <col min="16133" max="16134" width="9.140625" style="170" customWidth="1"/>
    <col min="16135" max="16135" width="5.42578125" style="170" customWidth="1"/>
    <col min="16136" max="16136" width="10.140625" style="170" customWidth="1"/>
    <col min="16137" max="16139" width="10.42578125" style="170" customWidth="1"/>
    <col min="16140" max="16140" width="11.28515625" style="170" customWidth="1"/>
    <col min="16141" max="16145" width="9.42578125" style="170" customWidth="1"/>
    <col min="16146" max="16148" width="8.5703125" style="170" customWidth="1"/>
    <col min="16149" max="16149" width="10.85546875" style="170" customWidth="1"/>
    <col min="16150" max="16150" width="9.5703125" style="170" customWidth="1"/>
    <col min="16151" max="16152" width="10.140625" style="170" customWidth="1"/>
    <col min="16153" max="16156" width="9.140625" style="170" customWidth="1"/>
    <col min="16157" max="16157" width="5.7109375" style="170" customWidth="1"/>
    <col min="16158" max="16159" width="9.140625" style="170" customWidth="1"/>
    <col min="16160" max="16162" width="9.7109375" style="170" customWidth="1"/>
    <col min="16163" max="16384" width="9.140625" style="170"/>
  </cols>
  <sheetData>
    <row r="1" spans="1:62" x14ac:dyDescent="0.25">
      <c r="A1" s="172" t="s">
        <v>121</v>
      </c>
      <c r="B1" s="172"/>
      <c r="C1" s="172"/>
      <c r="E1" s="185"/>
      <c r="F1" s="312"/>
      <c r="G1" s="173"/>
      <c r="H1" s="173"/>
      <c r="I1" s="313"/>
      <c r="J1" s="313"/>
      <c r="K1" s="313"/>
      <c r="L1" s="312"/>
      <c r="M1" s="312"/>
      <c r="N1" s="312"/>
      <c r="O1" s="314"/>
      <c r="P1" s="314"/>
      <c r="Q1" s="314"/>
      <c r="R1" s="315"/>
      <c r="S1" s="315"/>
      <c r="T1" s="315"/>
      <c r="U1" s="316"/>
      <c r="W1" s="174"/>
      <c r="X1" s="175" t="s">
        <v>122</v>
      </c>
      <c r="Y1" s="176"/>
      <c r="Z1" s="188" t="s">
        <v>266</v>
      </c>
      <c r="AA1" s="178"/>
      <c r="AB1" s="178"/>
      <c r="AE1" s="182"/>
      <c r="AF1" s="183"/>
      <c r="AG1" s="211"/>
      <c r="AH1" s="211"/>
      <c r="AI1" s="181"/>
      <c r="AJ1" s="181"/>
      <c r="AK1" s="181"/>
      <c r="AL1" s="181"/>
    </row>
    <row r="2" spans="1:62" x14ac:dyDescent="0.25">
      <c r="A2" s="171" t="s">
        <v>125</v>
      </c>
      <c r="B2" s="171"/>
      <c r="C2" s="171"/>
      <c r="G2" s="173"/>
      <c r="H2" s="184" t="s">
        <v>267</v>
      </c>
      <c r="I2" s="186"/>
      <c r="J2" s="186"/>
      <c r="K2" s="186"/>
      <c r="L2" s="314"/>
      <c r="M2" s="186" t="s">
        <v>268</v>
      </c>
      <c r="N2" s="317">
        <v>30</v>
      </c>
      <c r="O2" s="314" t="s">
        <v>194</v>
      </c>
      <c r="P2" s="317"/>
      <c r="Q2" s="317"/>
      <c r="R2" s="315"/>
      <c r="S2" s="315"/>
      <c r="T2" s="315"/>
      <c r="U2" s="298"/>
      <c r="W2" s="177"/>
      <c r="X2" s="177"/>
      <c r="Y2" s="178"/>
      <c r="Z2" s="178"/>
      <c r="AA2" s="178"/>
      <c r="AB2" s="178"/>
    </row>
    <row r="3" spans="1:62" ht="15.75" customHeight="1" x14ac:dyDescent="0.25">
      <c r="A3" s="171" t="s">
        <v>269</v>
      </c>
      <c r="B3" s="171"/>
      <c r="C3" s="171"/>
      <c r="G3" s="318"/>
      <c r="H3" s="319" t="s">
        <v>270</v>
      </c>
      <c r="I3" s="186"/>
      <c r="J3" s="186">
        <v>0.5</v>
      </c>
      <c r="K3" s="186" t="s">
        <v>2</v>
      </c>
      <c r="L3" s="314"/>
      <c r="M3" s="186" t="s">
        <v>271</v>
      </c>
      <c r="N3" s="317">
        <v>50</v>
      </c>
      <c r="O3" s="314" t="s">
        <v>194</v>
      </c>
      <c r="P3" s="317"/>
      <c r="Q3" s="317"/>
      <c r="W3" s="177"/>
      <c r="X3" s="177"/>
      <c r="Y3" s="178"/>
      <c r="Z3" s="178"/>
      <c r="AA3" s="178"/>
      <c r="AB3" s="178"/>
      <c r="AE3" s="167" t="s">
        <v>127</v>
      </c>
    </row>
    <row r="4" spans="1:62" ht="15.75" customHeight="1" x14ac:dyDescent="0.25">
      <c r="A4" s="313" t="s">
        <v>272</v>
      </c>
      <c r="B4" s="171"/>
      <c r="C4" s="171"/>
      <c r="G4" s="318"/>
      <c r="H4" s="320"/>
      <c r="I4" s="186"/>
      <c r="J4" s="186"/>
      <c r="K4" s="186"/>
      <c r="L4" s="314"/>
      <c r="M4" s="186" t="s">
        <v>273</v>
      </c>
      <c r="N4" s="317">
        <v>150</v>
      </c>
      <c r="O4" s="314" t="s">
        <v>194</v>
      </c>
      <c r="P4" s="317"/>
      <c r="Q4" s="317"/>
      <c r="W4" s="177"/>
      <c r="X4" s="177"/>
      <c r="Y4" s="178"/>
      <c r="Z4" s="178"/>
      <c r="AA4" s="178"/>
      <c r="AB4" s="178"/>
      <c r="AE4" s="167"/>
    </row>
    <row r="5" spans="1:62" ht="15.75" customHeight="1" x14ac:dyDescent="0.25">
      <c r="A5" s="187"/>
      <c r="B5" s="171"/>
      <c r="C5" s="171"/>
      <c r="G5" s="318"/>
      <c r="H5" s="320"/>
      <c r="I5" s="186"/>
      <c r="J5" s="186"/>
      <c r="K5" s="186"/>
      <c r="L5" s="314"/>
      <c r="M5" s="186" t="s">
        <v>274</v>
      </c>
      <c r="N5" s="317">
        <v>250</v>
      </c>
      <c r="O5" s="314" t="s">
        <v>194</v>
      </c>
      <c r="P5" s="317"/>
      <c r="Q5" s="317"/>
      <c r="W5" s="177"/>
      <c r="X5" s="177"/>
      <c r="Y5" s="298"/>
      <c r="Z5" s="298"/>
      <c r="AA5" s="298"/>
      <c r="AB5" s="298"/>
      <c r="AE5" s="167"/>
    </row>
    <row r="6" spans="1:62" ht="15.75" customHeight="1" x14ac:dyDescent="0.25">
      <c r="A6" s="187"/>
      <c r="B6" s="171"/>
      <c r="C6" s="171"/>
      <c r="G6" s="318"/>
      <c r="H6" s="320"/>
      <c r="I6" s="186"/>
      <c r="J6" s="186"/>
      <c r="K6" s="186"/>
      <c r="L6" s="314"/>
      <c r="M6" s="186" t="s">
        <v>275</v>
      </c>
      <c r="N6" s="317"/>
      <c r="O6" s="314" t="s">
        <v>194</v>
      </c>
      <c r="P6" s="317"/>
      <c r="Q6" s="317"/>
      <c r="W6" s="177"/>
      <c r="X6" s="177"/>
      <c r="Y6" s="298"/>
      <c r="Z6" s="298"/>
      <c r="AA6" s="298"/>
      <c r="AB6" s="298"/>
      <c r="AE6" s="167"/>
    </row>
    <row r="7" spans="1:62" ht="15.75" customHeight="1" x14ac:dyDescent="0.25">
      <c r="A7" s="187"/>
      <c r="B7" s="171"/>
      <c r="C7" s="171"/>
      <c r="G7" s="318"/>
      <c r="H7" s="320"/>
      <c r="I7" s="186"/>
      <c r="J7" s="186"/>
      <c r="K7" s="186"/>
      <c r="L7" s="178"/>
      <c r="M7" s="186"/>
      <c r="N7" s="188">
        <f>SUM(N2:N6)/1000</f>
        <v>0.48</v>
      </c>
      <c r="O7" s="178" t="s">
        <v>2</v>
      </c>
      <c r="P7" s="188"/>
      <c r="Q7" s="188"/>
      <c r="R7" s="321"/>
      <c r="S7" s="321"/>
      <c r="T7" s="321"/>
      <c r="U7" s="298"/>
      <c r="W7" s="177"/>
      <c r="X7" s="216"/>
      <c r="Y7" s="298"/>
      <c r="Z7" s="298"/>
      <c r="AA7" s="298"/>
      <c r="AB7" s="298"/>
      <c r="AE7" s="167"/>
    </row>
    <row r="8" spans="1:62" ht="31.5" customHeight="1" x14ac:dyDescent="0.25">
      <c r="A8" s="203"/>
      <c r="B8" s="203"/>
      <c r="C8" s="203"/>
      <c r="D8" s="203"/>
      <c r="E8" s="322"/>
      <c r="F8" s="322"/>
      <c r="G8" s="322"/>
      <c r="H8" s="323">
        <f>SUM(H10:H24)</f>
        <v>514.11650000000009</v>
      </c>
      <c r="I8" s="324"/>
      <c r="J8" s="324"/>
      <c r="K8" s="324"/>
      <c r="L8" s="366" t="s">
        <v>276</v>
      </c>
      <c r="M8" s="366"/>
      <c r="N8" s="366"/>
      <c r="O8" s="366"/>
      <c r="P8" s="325"/>
      <c r="Q8" s="325"/>
      <c r="R8" s="250"/>
      <c r="S8" s="250"/>
      <c r="T8" s="250"/>
      <c r="U8" s="269"/>
      <c r="V8" s="326"/>
      <c r="W8" s="251">
        <f t="shared" ref="W8:AB8" si="0">SUM(W10:W24)</f>
        <v>256.83679156073578</v>
      </c>
      <c r="X8" s="251">
        <f t="shared" si="0"/>
        <v>1.5008843107344361</v>
      </c>
      <c r="Y8" s="251">
        <f t="shared" si="0"/>
        <v>1.5008843107344361</v>
      </c>
      <c r="Z8" s="251">
        <f t="shared" si="0"/>
        <v>0</v>
      </c>
      <c r="AA8" s="251">
        <f t="shared" si="0"/>
        <v>42.227750000000654</v>
      </c>
      <c r="AB8" s="251">
        <f t="shared" si="0"/>
        <v>214.60904156073508</v>
      </c>
      <c r="AC8" s="252">
        <f>(W8+X8-SUM(Y8:AB8))</f>
        <v>0</v>
      </c>
      <c r="AD8" s="327">
        <f>SUM(AD10:AD24)</f>
        <v>514.11650000000009</v>
      </c>
      <c r="AE8" s="327">
        <f>SUM(AE10:AE24)</f>
        <v>506.8125</v>
      </c>
      <c r="AF8" s="328">
        <f>SUM(AF10:AF24)</f>
        <v>514.11650000000009</v>
      </c>
      <c r="AG8" s="328">
        <f>SUM(AG10:AG24)</f>
        <v>514.11650000000009</v>
      </c>
      <c r="AH8" s="328">
        <f>SUM(AH10:AH24)</f>
        <v>514.11650000000009</v>
      </c>
    </row>
    <row r="9" spans="1:62" s="202" customFormat="1" ht="99.75" customHeight="1" x14ac:dyDescent="0.25">
      <c r="A9" s="194" t="s">
        <v>277</v>
      </c>
      <c r="B9" s="194" t="s">
        <v>278</v>
      </c>
      <c r="C9" s="194" t="s">
        <v>279</v>
      </c>
      <c r="D9" s="194" t="s">
        <v>280</v>
      </c>
      <c r="E9" s="195" t="s">
        <v>126</v>
      </c>
      <c r="F9" s="196" t="s">
        <v>134</v>
      </c>
      <c r="G9" s="196" t="s">
        <v>38</v>
      </c>
      <c r="H9" s="198" t="s">
        <v>281</v>
      </c>
      <c r="I9" s="199" t="s">
        <v>282</v>
      </c>
      <c r="J9" s="199" t="s">
        <v>283</v>
      </c>
      <c r="K9" s="198" t="s">
        <v>284</v>
      </c>
      <c r="L9" s="199" t="s">
        <v>285</v>
      </c>
      <c r="M9" s="199" t="s">
        <v>286</v>
      </c>
      <c r="N9" s="199" t="s">
        <v>287</v>
      </c>
      <c r="O9" s="199" t="s">
        <v>288</v>
      </c>
      <c r="P9" s="199" t="s">
        <v>289</v>
      </c>
      <c r="Q9" s="199" t="s">
        <v>290</v>
      </c>
      <c r="R9" s="329" t="s">
        <v>291</v>
      </c>
      <c r="S9" s="329" t="s">
        <v>292</v>
      </c>
      <c r="T9" s="329" t="s">
        <v>293</v>
      </c>
      <c r="U9" s="329" t="s">
        <v>294</v>
      </c>
      <c r="V9" s="197" t="s">
        <v>295</v>
      </c>
      <c r="W9" s="197" t="s">
        <v>151</v>
      </c>
      <c r="X9" s="197" t="s">
        <v>152</v>
      </c>
      <c r="Y9" s="200" t="s">
        <v>153</v>
      </c>
      <c r="Z9" s="200" t="s">
        <v>154</v>
      </c>
      <c r="AA9" s="200" t="s">
        <v>155</v>
      </c>
      <c r="AB9" s="200" t="s">
        <v>296</v>
      </c>
      <c r="AC9" s="330" t="s">
        <v>158</v>
      </c>
      <c r="AD9" s="200" t="s">
        <v>297</v>
      </c>
      <c r="AE9" s="197" t="s">
        <v>189</v>
      </c>
      <c r="AF9" s="197" t="s">
        <v>298</v>
      </c>
      <c r="AG9" s="197" t="s">
        <v>299</v>
      </c>
      <c r="AH9" s="197" t="s">
        <v>300</v>
      </c>
      <c r="AI9" s="201"/>
      <c r="AJ9" s="201"/>
      <c r="AK9" s="201"/>
      <c r="AL9" s="201"/>
      <c r="AM9" s="201"/>
      <c r="AN9" s="201"/>
      <c r="AO9" s="201"/>
      <c r="AP9" s="201"/>
      <c r="AQ9" s="201"/>
      <c r="AR9" s="201"/>
      <c r="AS9" s="201"/>
      <c r="AT9" s="201"/>
      <c r="AU9" s="201"/>
      <c r="AV9" s="201"/>
      <c r="AW9" s="201"/>
      <c r="AX9" s="201"/>
      <c r="AY9" s="201"/>
      <c r="AZ9" s="201"/>
      <c r="BA9" s="201"/>
      <c r="BB9" s="201"/>
      <c r="BC9" s="201"/>
      <c r="BD9" s="201"/>
      <c r="BE9" s="201"/>
      <c r="BF9" s="201"/>
      <c r="BG9" s="201"/>
      <c r="BH9" s="201"/>
      <c r="BI9" s="201"/>
      <c r="BJ9" s="201"/>
    </row>
    <row r="10" spans="1:62" s="345" customFormat="1" x14ac:dyDescent="0.25">
      <c r="A10" s="331">
        <v>9</v>
      </c>
      <c r="B10" s="331" t="s">
        <v>301</v>
      </c>
      <c r="C10" s="331">
        <v>37</v>
      </c>
      <c r="D10" s="331">
        <v>40</v>
      </c>
      <c r="E10" s="332">
        <v>5</v>
      </c>
      <c r="F10" s="333">
        <f>D10-C10</f>
        <v>3</v>
      </c>
      <c r="G10" s="333"/>
      <c r="H10" s="334">
        <f t="shared" ref="H10:H24" si="1">E10*F10*IF(G10&lt;&gt;0,G10,1)</f>
        <v>15</v>
      </c>
      <c r="I10" s="335">
        <v>41.19</v>
      </c>
      <c r="J10" s="335">
        <v>41.856999999999999</v>
      </c>
      <c r="K10" s="336">
        <f t="shared" ref="K10:K20" si="2">SUM(I10:J10)/2</f>
        <v>41.523499999999999</v>
      </c>
      <c r="L10" s="337">
        <v>42.024999999999999</v>
      </c>
      <c r="M10" s="337">
        <v>42.091000000000001</v>
      </c>
      <c r="N10" s="338">
        <v>41.741999999999997</v>
      </c>
      <c r="O10" s="338">
        <v>41.805</v>
      </c>
      <c r="P10" s="338">
        <f t="shared" ref="P10:P22" si="3">SUM(L10:M10)/2</f>
        <v>42.058</v>
      </c>
      <c r="Q10" s="338">
        <f t="shared" ref="Q10:Q22" si="4">SUM(N10:O10)/2</f>
        <v>41.773499999999999</v>
      </c>
      <c r="R10" s="339">
        <f t="shared" ref="R10:R22" si="5">SUM(P10:Q10)/2</f>
        <v>41.915750000000003</v>
      </c>
      <c r="S10" s="339">
        <v>41.578000000000003</v>
      </c>
      <c r="T10" s="339">
        <v>41.293500000000002</v>
      </c>
      <c r="U10" s="336">
        <v>41.435750000000006</v>
      </c>
      <c r="V10" s="336">
        <v>-0.58774999999999267</v>
      </c>
      <c r="W10" s="340">
        <f t="shared" ref="W10:W24" si="6">IF(V10&lt;0.0001,(H10*V10)*-1,0)</f>
        <v>8.81624999999989</v>
      </c>
      <c r="X10" s="340">
        <f t="shared" ref="X10:X22" si="7">IF(W10=0,V10*H10,0)</f>
        <v>0</v>
      </c>
      <c r="Y10" s="341">
        <f t="shared" ref="Y10:Y22" si="8">IF(AND(V10&gt;0,V10&lt;0.251),X10,0)</f>
        <v>0</v>
      </c>
      <c r="Z10" s="341">
        <f t="shared" ref="Z10:Z22" si="9">IF(AND(V10&gt;0.25,V10&lt;1.01),X10,0)</f>
        <v>0</v>
      </c>
      <c r="AA10" s="342">
        <f t="shared" ref="AA10:AA22" si="10">IF(AND(V10&lt;0,V10&gt;-0.251),W10,0)</f>
        <v>0</v>
      </c>
      <c r="AB10" s="342">
        <f t="shared" ref="AB10:AB24" si="11">IF(V10&lt;-0.251,W10,0)</f>
        <v>8.81624999999989</v>
      </c>
      <c r="AC10" s="343" t="b">
        <f t="shared" ref="AC10:AC24" si="12">(W10+X10-SUM(Y10:AB10))=0</f>
        <v>1</v>
      </c>
      <c r="AD10" s="344">
        <f t="shared" ref="AD10:AD24" si="13">H10</f>
        <v>15</v>
      </c>
      <c r="AE10" s="344">
        <f t="shared" ref="AE10:AE24" si="14">IF(V10&lt;0,AD10,0)</f>
        <v>15</v>
      </c>
      <c r="AF10" s="344">
        <f t="shared" ref="AF10:AF22" si="15">AD10</f>
        <v>15</v>
      </c>
      <c r="AG10" s="344">
        <f t="shared" ref="AG10:AH18" si="16">IF($AF10&lt;&gt;0,$AF10,0)</f>
        <v>15</v>
      </c>
      <c r="AH10" s="344">
        <f t="shared" si="16"/>
        <v>15</v>
      </c>
    </row>
    <row r="11" spans="1:62" s="345" customFormat="1" x14ac:dyDescent="0.25">
      <c r="A11" s="331">
        <v>10</v>
      </c>
      <c r="B11" s="331" t="s">
        <v>301</v>
      </c>
      <c r="C11" s="331">
        <v>40</v>
      </c>
      <c r="D11" s="331">
        <v>43</v>
      </c>
      <c r="E11" s="332">
        <v>5</v>
      </c>
      <c r="F11" s="333">
        <f t="shared" ref="F11:F20" si="17">D11-C11</f>
        <v>3</v>
      </c>
      <c r="G11" s="333"/>
      <c r="H11" s="334">
        <f t="shared" si="1"/>
        <v>15</v>
      </c>
      <c r="I11" s="335">
        <v>41.856999999999999</v>
      </c>
      <c r="J11" s="335">
        <v>41.717950000000002</v>
      </c>
      <c r="K11" s="336">
        <f t="shared" si="2"/>
        <v>41.787475000000001</v>
      </c>
      <c r="L11" s="337">
        <v>41.741999999999997</v>
      </c>
      <c r="M11" s="337">
        <v>41.805</v>
      </c>
      <c r="N11" s="338">
        <v>41.540050000000001</v>
      </c>
      <c r="O11" s="338">
        <v>41.605150000000002</v>
      </c>
      <c r="P11" s="338">
        <f t="shared" si="3"/>
        <v>41.773499999999999</v>
      </c>
      <c r="Q11" s="338">
        <f t="shared" si="4"/>
        <v>41.572600000000001</v>
      </c>
      <c r="R11" s="339">
        <f t="shared" si="5"/>
        <v>41.673050000000003</v>
      </c>
      <c r="S11" s="339">
        <v>41.293500000000002</v>
      </c>
      <c r="T11" s="339">
        <v>41.092600000000004</v>
      </c>
      <c r="U11" s="336">
        <v>41.193050000000007</v>
      </c>
      <c r="V11" s="336">
        <v>-1.094424999999994</v>
      </c>
      <c r="W11" s="340">
        <f t="shared" si="6"/>
        <v>16.41637499999991</v>
      </c>
      <c r="X11" s="340">
        <f t="shared" si="7"/>
        <v>0</v>
      </c>
      <c r="Y11" s="341">
        <f t="shared" si="8"/>
        <v>0</v>
      </c>
      <c r="Z11" s="341">
        <f t="shared" si="9"/>
        <v>0</v>
      </c>
      <c r="AA11" s="342">
        <f t="shared" si="10"/>
        <v>0</v>
      </c>
      <c r="AB11" s="342">
        <f t="shared" si="11"/>
        <v>16.41637499999991</v>
      </c>
      <c r="AC11" s="343" t="b">
        <f t="shared" si="12"/>
        <v>1</v>
      </c>
      <c r="AD11" s="344">
        <f t="shared" si="13"/>
        <v>15</v>
      </c>
      <c r="AE11" s="344">
        <f t="shared" si="14"/>
        <v>15</v>
      </c>
      <c r="AF11" s="344">
        <f t="shared" si="15"/>
        <v>15</v>
      </c>
      <c r="AG11" s="344">
        <f t="shared" si="16"/>
        <v>15</v>
      </c>
      <c r="AH11" s="344">
        <f t="shared" si="16"/>
        <v>15</v>
      </c>
    </row>
    <row r="12" spans="1:62" s="345" customFormat="1" x14ac:dyDescent="0.25">
      <c r="A12" s="331">
        <v>11</v>
      </c>
      <c r="B12" s="331" t="s">
        <v>301</v>
      </c>
      <c r="C12" s="331">
        <v>43</v>
      </c>
      <c r="D12" s="331">
        <v>50</v>
      </c>
      <c r="E12" s="332">
        <v>5.25</v>
      </c>
      <c r="F12" s="333">
        <f t="shared" si="17"/>
        <v>7</v>
      </c>
      <c r="G12" s="333"/>
      <c r="H12" s="334">
        <f t="shared" si="1"/>
        <v>36.75</v>
      </c>
      <c r="I12" s="335">
        <v>41.717950000000002</v>
      </c>
      <c r="J12" s="335">
        <v>41.393500000000003</v>
      </c>
      <c r="K12" s="336">
        <f t="shared" si="2"/>
        <v>41.555725000000002</v>
      </c>
      <c r="L12" s="337">
        <v>41.540050000000001</v>
      </c>
      <c r="M12" s="337">
        <v>41.605150000000002</v>
      </c>
      <c r="N12" s="338">
        <v>41.453499999999998</v>
      </c>
      <c r="O12" s="338">
        <v>41.519500000000001</v>
      </c>
      <c r="P12" s="338">
        <f t="shared" si="3"/>
        <v>41.572600000000001</v>
      </c>
      <c r="Q12" s="338">
        <f t="shared" si="4"/>
        <v>41.486499999999999</v>
      </c>
      <c r="R12" s="339">
        <f t="shared" si="5"/>
        <v>41.52955</v>
      </c>
      <c r="S12" s="339">
        <v>41.092600000000004</v>
      </c>
      <c r="T12" s="339">
        <v>41.006500000000003</v>
      </c>
      <c r="U12" s="336">
        <v>41.049550000000004</v>
      </c>
      <c r="V12" s="336">
        <v>-1.0061749999999989</v>
      </c>
      <c r="W12" s="340">
        <f t="shared" si="6"/>
        <v>36.976931249999964</v>
      </c>
      <c r="X12" s="340">
        <f t="shared" si="7"/>
        <v>0</v>
      </c>
      <c r="Y12" s="341">
        <f t="shared" si="8"/>
        <v>0</v>
      </c>
      <c r="Z12" s="341">
        <f t="shared" si="9"/>
        <v>0</v>
      </c>
      <c r="AA12" s="342">
        <f t="shared" si="10"/>
        <v>0</v>
      </c>
      <c r="AB12" s="342">
        <f t="shared" si="11"/>
        <v>36.976931249999964</v>
      </c>
      <c r="AC12" s="343" t="b">
        <f t="shared" si="12"/>
        <v>1</v>
      </c>
      <c r="AD12" s="344">
        <f t="shared" si="13"/>
        <v>36.75</v>
      </c>
      <c r="AE12" s="344">
        <f t="shared" si="14"/>
        <v>36.75</v>
      </c>
      <c r="AF12" s="344">
        <f t="shared" si="15"/>
        <v>36.75</v>
      </c>
      <c r="AG12" s="344">
        <f t="shared" si="16"/>
        <v>36.75</v>
      </c>
      <c r="AH12" s="344">
        <f t="shared" si="16"/>
        <v>36.75</v>
      </c>
    </row>
    <row r="13" spans="1:62" s="345" customFormat="1" x14ac:dyDescent="0.25">
      <c r="A13" s="331">
        <v>12</v>
      </c>
      <c r="B13" s="331" t="s">
        <v>301</v>
      </c>
      <c r="C13" s="331">
        <v>50</v>
      </c>
      <c r="D13" s="331">
        <v>52</v>
      </c>
      <c r="E13" s="332">
        <v>5.25</v>
      </c>
      <c r="F13" s="333">
        <f t="shared" si="17"/>
        <v>2</v>
      </c>
      <c r="G13" s="333"/>
      <c r="H13" s="334">
        <f t="shared" si="1"/>
        <v>10.5</v>
      </c>
      <c r="I13" s="335">
        <v>41.393500000000003</v>
      </c>
      <c r="J13" s="335">
        <v>41.300800000000002</v>
      </c>
      <c r="K13" s="336">
        <f t="shared" si="2"/>
        <v>41.347149999999999</v>
      </c>
      <c r="L13" s="337">
        <v>41.453499999999998</v>
      </c>
      <c r="M13" s="337">
        <v>41.519500000000001</v>
      </c>
      <c r="N13" s="338">
        <v>41.395800000000001</v>
      </c>
      <c r="O13" s="338">
        <v>41.462400000000002</v>
      </c>
      <c r="P13" s="338">
        <f t="shared" si="3"/>
        <v>41.486499999999999</v>
      </c>
      <c r="Q13" s="338">
        <f t="shared" si="4"/>
        <v>41.429100000000005</v>
      </c>
      <c r="R13" s="339">
        <f t="shared" si="5"/>
        <v>41.457800000000006</v>
      </c>
      <c r="S13" s="339">
        <v>41.006500000000003</v>
      </c>
      <c r="T13" s="339">
        <v>40.949100000000008</v>
      </c>
      <c r="U13" s="336">
        <v>40.977800000000009</v>
      </c>
      <c r="V13" s="336">
        <v>-0.86934999999999008</v>
      </c>
      <c r="W13" s="340">
        <f t="shared" si="6"/>
        <v>9.1281749999998958</v>
      </c>
      <c r="X13" s="340">
        <f t="shared" si="7"/>
        <v>0</v>
      </c>
      <c r="Y13" s="341">
        <f t="shared" si="8"/>
        <v>0</v>
      </c>
      <c r="Z13" s="341">
        <f t="shared" si="9"/>
        <v>0</v>
      </c>
      <c r="AA13" s="342">
        <f t="shared" si="10"/>
        <v>0</v>
      </c>
      <c r="AB13" s="342">
        <f t="shared" si="11"/>
        <v>9.1281749999998958</v>
      </c>
      <c r="AC13" s="343" t="b">
        <f t="shared" si="12"/>
        <v>1</v>
      </c>
      <c r="AD13" s="344">
        <f t="shared" si="13"/>
        <v>10.5</v>
      </c>
      <c r="AE13" s="344">
        <f t="shared" si="14"/>
        <v>10.5</v>
      </c>
      <c r="AF13" s="344">
        <f t="shared" si="15"/>
        <v>10.5</v>
      </c>
      <c r="AG13" s="344">
        <f t="shared" si="16"/>
        <v>10.5</v>
      </c>
      <c r="AH13" s="344">
        <f t="shared" si="16"/>
        <v>10.5</v>
      </c>
    </row>
    <row r="14" spans="1:62" s="345" customFormat="1" x14ac:dyDescent="0.25">
      <c r="A14" s="331">
        <v>13</v>
      </c>
      <c r="B14" s="331" t="s">
        <v>301</v>
      </c>
      <c r="C14" s="331">
        <v>52</v>
      </c>
      <c r="D14" s="331">
        <v>60</v>
      </c>
      <c r="E14" s="332">
        <v>5.5</v>
      </c>
      <c r="F14" s="333">
        <f t="shared" si="17"/>
        <v>8</v>
      </c>
      <c r="G14" s="333"/>
      <c r="H14" s="334">
        <f t="shared" si="1"/>
        <v>44</v>
      </c>
      <c r="I14" s="335">
        <v>41.300800000000002</v>
      </c>
      <c r="J14" s="335">
        <v>40.93</v>
      </c>
      <c r="K14" s="336">
        <f t="shared" si="2"/>
        <v>41.115400000000001</v>
      </c>
      <c r="L14" s="337">
        <v>41.395800000000001</v>
      </c>
      <c r="M14" s="337">
        <v>41.462400000000002</v>
      </c>
      <c r="N14" s="338">
        <v>41.164999999999999</v>
      </c>
      <c r="O14" s="338">
        <v>41.234000000000002</v>
      </c>
      <c r="P14" s="338">
        <f t="shared" si="3"/>
        <v>41.429100000000005</v>
      </c>
      <c r="Q14" s="338">
        <f t="shared" si="4"/>
        <v>41.1995</v>
      </c>
      <c r="R14" s="339">
        <f t="shared" si="5"/>
        <v>41.314300000000003</v>
      </c>
      <c r="S14" s="339">
        <v>40.949100000000008</v>
      </c>
      <c r="T14" s="339">
        <v>40.719500000000004</v>
      </c>
      <c r="U14" s="336">
        <v>40.834300000000006</v>
      </c>
      <c r="V14" s="336">
        <v>-0.78109999999999502</v>
      </c>
      <c r="W14" s="340">
        <f t="shared" si="6"/>
        <v>34.368399999999781</v>
      </c>
      <c r="X14" s="340">
        <f t="shared" si="7"/>
        <v>0</v>
      </c>
      <c r="Y14" s="341">
        <f t="shared" si="8"/>
        <v>0</v>
      </c>
      <c r="Z14" s="341">
        <f t="shared" si="9"/>
        <v>0</v>
      </c>
      <c r="AA14" s="342">
        <f t="shared" si="10"/>
        <v>0</v>
      </c>
      <c r="AB14" s="342">
        <f t="shared" si="11"/>
        <v>34.368399999999781</v>
      </c>
      <c r="AC14" s="343" t="b">
        <f t="shared" si="12"/>
        <v>1</v>
      </c>
      <c r="AD14" s="344">
        <f t="shared" si="13"/>
        <v>44</v>
      </c>
      <c r="AE14" s="344">
        <f t="shared" si="14"/>
        <v>44</v>
      </c>
      <c r="AF14" s="344">
        <f t="shared" si="15"/>
        <v>44</v>
      </c>
      <c r="AG14" s="344">
        <f t="shared" si="16"/>
        <v>44</v>
      </c>
      <c r="AH14" s="344">
        <f t="shared" si="16"/>
        <v>44</v>
      </c>
    </row>
    <row r="15" spans="1:62" s="345" customFormat="1" x14ac:dyDescent="0.25">
      <c r="A15" s="331">
        <v>14</v>
      </c>
      <c r="B15" s="331" t="s">
        <v>301</v>
      </c>
      <c r="C15" s="331">
        <v>60</v>
      </c>
      <c r="D15" s="331">
        <v>70</v>
      </c>
      <c r="E15" s="332">
        <v>5.5</v>
      </c>
      <c r="F15" s="333">
        <f t="shared" si="17"/>
        <v>10</v>
      </c>
      <c r="G15" s="333"/>
      <c r="H15" s="334">
        <f t="shared" si="1"/>
        <v>55</v>
      </c>
      <c r="I15" s="335">
        <v>40.93</v>
      </c>
      <c r="J15" s="335">
        <v>39.981024011299439</v>
      </c>
      <c r="K15" s="336">
        <f t="shared" si="2"/>
        <v>40.455512005649723</v>
      </c>
      <c r="L15" s="337">
        <v>41.164999999999999</v>
      </c>
      <c r="M15" s="337">
        <v>41.234000000000002</v>
      </c>
      <c r="N15" s="338">
        <v>41.069000000000003</v>
      </c>
      <c r="O15" s="338">
        <v>41.137999999999998</v>
      </c>
      <c r="P15" s="338">
        <f t="shared" si="3"/>
        <v>41.1995</v>
      </c>
      <c r="Q15" s="338">
        <f t="shared" si="4"/>
        <v>41.103499999999997</v>
      </c>
      <c r="R15" s="339">
        <f t="shared" si="5"/>
        <v>41.151499999999999</v>
      </c>
      <c r="S15" s="339">
        <v>40.719500000000004</v>
      </c>
      <c r="T15" s="339">
        <v>40.6235</v>
      </c>
      <c r="U15" s="336">
        <v>40.671500000000002</v>
      </c>
      <c r="V15" s="336">
        <v>-0.28401200564972129</v>
      </c>
      <c r="W15" s="340">
        <f t="shared" si="6"/>
        <v>15.620660310734671</v>
      </c>
      <c r="X15" s="340">
        <f t="shared" si="7"/>
        <v>0</v>
      </c>
      <c r="Y15" s="341">
        <f t="shared" si="8"/>
        <v>0</v>
      </c>
      <c r="Z15" s="341">
        <f t="shared" si="9"/>
        <v>0</v>
      </c>
      <c r="AA15" s="342">
        <f t="shared" si="10"/>
        <v>0</v>
      </c>
      <c r="AB15" s="342">
        <f t="shared" si="11"/>
        <v>15.620660310734671</v>
      </c>
      <c r="AC15" s="343" t="b">
        <f t="shared" si="12"/>
        <v>1</v>
      </c>
      <c r="AD15" s="344">
        <f t="shared" si="13"/>
        <v>55</v>
      </c>
      <c r="AE15" s="344">
        <f t="shared" si="14"/>
        <v>55</v>
      </c>
      <c r="AF15" s="344">
        <f t="shared" si="15"/>
        <v>55</v>
      </c>
      <c r="AG15" s="344">
        <f t="shared" si="16"/>
        <v>55</v>
      </c>
      <c r="AH15" s="344">
        <f t="shared" si="16"/>
        <v>55</v>
      </c>
    </row>
    <row r="16" spans="1:62" s="345" customFormat="1" x14ac:dyDescent="0.25">
      <c r="A16" s="331">
        <v>15</v>
      </c>
      <c r="B16" s="331" t="s">
        <v>301</v>
      </c>
      <c r="C16" s="331">
        <v>70</v>
      </c>
      <c r="D16" s="331">
        <v>71.328000000000003</v>
      </c>
      <c r="E16" s="332">
        <v>5.5</v>
      </c>
      <c r="F16" s="333">
        <f t="shared" si="17"/>
        <v>1.328000000000003</v>
      </c>
      <c r="G16" s="333"/>
      <c r="H16" s="334">
        <f t="shared" si="1"/>
        <v>7.3040000000000163</v>
      </c>
      <c r="I16" s="335">
        <v>39.981024011299439</v>
      </c>
      <c r="J16" s="335">
        <v>39.855000000000004</v>
      </c>
      <c r="K16" s="336">
        <f t="shared" si="2"/>
        <v>39.918012005649722</v>
      </c>
      <c r="L16" s="337">
        <v>41.069000000000003</v>
      </c>
      <c r="M16" s="337">
        <v>41.137999999999998</v>
      </c>
      <c r="N16" s="338">
        <v>41.069000000000003</v>
      </c>
      <c r="O16" s="338">
        <v>41.137999999999998</v>
      </c>
      <c r="P16" s="338">
        <f t="shared" si="3"/>
        <v>41.103499999999997</v>
      </c>
      <c r="Q16" s="338">
        <f t="shared" si="4"/>
        <v>41.103499999999997</v>
      </c>
      <c r="R16" s="339">
        <f t="shared" si="5"/>
        <v>41.103499999999997</v>
      </c>
      <c r="S16" s="339">
        <v>40.6235</v>
      </c>
      <c r="T16" s="339">
        <v>40.6235</v>
      </c>
      <c r="U16" s="336">
        <v>40.6235</v>
      </c>
      <c r="V16" s="336">
        <v>0.20548799435027831</v>
      </c>
      <c r="W16" s="340">
        <f t="shared" si="6"/>
        <v>0</v>
      </c>
      <c r="X16" s="340">
        <f t="shared" si="7"/>
        <v>1.5008843107344361</v>
      </c>
      <c r="Y16" s="341">
        <f t="shared" si="8"/>
        <v>1.5008843107344361</v>
      </c>
      <c r="Z16" s="341">
        <f t="shared" si="9"/>
        <v>0</v>
      </c>
      <c r="AA16" s="342">
        <f t="shared" si="10"/>
        <v>0</v>
      </c>
      <c r="AB16" s="342">
        <f t="shared" si="11"/>
        <v>0</v>
      </c>
      <c r="AC16" s="343" t="b">
        <f t="shared" si="12"/>
        <v>1</v>
      </c>
      <c r="AD16" s="344">
        <f t="shared" si="13"/>
        <v>7.3040000000000163</v>
      </c>
      <c r="AE16" s="344">
        <f t="shared" si="14"/>
        <v>0</v>
      </c>
      <c r="AF16" s="344">
        <f t="shared" si="15"/>
        <v>7.3040000000000163</v>
      </c>
      <c r="AG16" s="344">
        <f t="shared" si="16"/>
        <v>7.3040000000000163</v>
      </c>
      <c r="AH16" s="344">
        <f t="shared" si="16"/>
        <v>7.3040000000000163</v>
      </c>
    </row>
    <row r="17" spans="1:34" s="345" customFormat="1" x14ac:dyDescent="0.25">
      <c r="A17" s="331">
        <v>16</v>
      </c>
      <c r="B17" s="346" t="s">
        <v>302</v>
      </c>
      <c r="C17" s="346">
        <v>2.75</v>
      </c>
      <c r="D17" s="346">
        <v>20</v>
      </c>
      <c r="E17" s="332">
        <v>5.5</v>
      </c>
      <c r="F17" s="333">
        <f t="shared" si="17"/>
        <v>17.25</v>
      </c>
      <c r="G17" s="333"/>
      <c r="H17" s="334">
        <f t="shared" si="1"/>
        <v>94.875</v>
      </c>
      <c r="I17" s="335">
        <v>39.855000000000004</v>
      </c>
      <c r="J17" s="335">
        <v>40.112000000000002</v>
      </c>
      <c r="K17" s="336">
        <f t="shared" si="2"/>
        <v>39.983500000000006</v>
      </c>
      <c r="L17" s="337">
        <v>40.832499999999996</v>
      </c>
      <c r="M17" s="337">
        <v>40.902499999999996</v>
      </c>
      <c r="N17" s="338">
        <v>40.024000000000001</v>
      </c>
      <c r="O17" s="338">
        <v>40.094999999999999</v>
      </c>
      <c r="P17" s="338">
        <f t="shared" si="3"/>
        <v>40.867499999999993</v>
      </c>
      <c r="Q17" s="338">
        <f t="shared" si="4"/>
        <v>40.0595</v>
      </c>
      <c r="R17" s="339">
        <f t="shared" si="5"/>
        <v>40.463499999999996</v>
      </c>
      <c r="S17" s="339">
        <v>40.387499999999996</v>
      </c>
      <c r="T17" s="339">
        <v>39.579500000000003</v>
      </c>
      <c r="U17" s="336">
        <v>39.983499999999999</v>
      </c>
      <c r="V17" s="336">
        <v>-0.50000000000000711</v>
      </c>
      <c r="W17" s="340">
        <f t="shared" si="6"/>
        <v>47.437500000000675</v>
      </c>
      <c r="X17" s="340">
        <f t="shared" si="7"/>
        <v>0</v>
      </c>
      <c r="Y17" s="341">
        <f t="shared" si="8"/>
        <v>0</v>
      </c>
      <c r="Z17" s="341">
        <f t="shared" si="9"/>
        <v>0</v>
      </c>
      <c r="AA17" s="342">
        <f t="shared" si="10"/>
        <v>0</v>
      </c>
      <c r="AB17" s="342">
        <f t="shared" si="11"/>
        <v>47.437500000000675</v>
      </c>
      <c r="AC17" s="343" t="b">
        <f t="shared" si="12"/>
        <v>1</v>
      </c>
      <c r="AD17" s="344">
        <f t="shared" si="13"/>
        <v>94.875</v>
      </c>
      <c r="AE17" s="344">
        <f t="shared" si="14"/>
        <v>94.875</v>
      </c>
      <c r="AF17" s="344">
        <f t="shared" si="15"/>
        <v>94.875</v>
      </c>
      <c r="AG17" s="344">
        <f t="shared" si="16"/>
        <v>94.875</v>
      </c>
      <c r="AH17" s="344">
        <f t="shared" si="16"/>
        <v>94.875</v>
      </c>
    </row>
    <row r="18" spans="1:34" s="345" customFormat="1" x14ac:dyDescent="0.25">
      <c r="A18" s="331">
        <v>17</v>
      </c>
      <c r="B18" s="346" t="str">
        <f>B17</f>
        <v>Road 2</v>
      </c>
      <c r="C18" s="346">
        <v>20</v>
      </c>
      <c r="D18" s="346">
        <v>35</v>
      </c>
      <c r="E18" s="332">
        <v>5.5</v>
      </c>
      <c r="F18" s="333">
        <f t="shared" si="17"/>
        <v>15</v>
      </c>
      <c r="G18" s="333"/>
      <c r="H18" s="334">
        <f t="shared" si="1"/>
        <v>82.5</v>
      </c>
      <c r="I18" s="335">
        <v>40.112000000000002</v>
      </c>
      <c r="J18" s="335">
        <v>38.847000000000001</v>
      </c>
      <c r="K18" s="336">
        <f t="shared" si="2"/>
        <v>39.479500000000002</v>
      </c>
      <c r="L18" s="337">
        <v>40.024000000000001</v>
      </c>
      <c r="M18" s="337">
        <v>40.094999999999999</v>
      </c>
      <c r="N18" s="338">
        <v>39.137</v>
      </c>
      <c r="O18" s="338">
        <v>39.206000000000003</v>
      </c>
      <c r="P18" s="338">
        <f t="shared" si="3"/>
        <v>40.0595</v>
      </c>
      <c r="Q18" s="338">
        <f t="shared" si="4"/>
        <v>39.171500000000002</v>
      </c>
      <c r="R18" s="339">
        <f t="shared" si="5"/>
        <v>39.615499999999997</v>
      </c>
      <c r="S18" s="339">
        <v>39.579500000000003</v>
      </c>
      <c r="T18" s="339">
        <v>38.691500000000005</v>
      </c>
      <c r="U18" s="336">
        <v>39.1355</v>
      </c>
      <c r="V18" s="336">
        <v>-0.84400000000000119</v>
      </c>
      <c r="W18" s="340">
        <f t="shared" si="6"/>
        <v>69.630000000000095</v>
      </c>
      <c r="X18" s="340">
        <f t="shared" si="7"/>
        <v>0</v>
      </c>
      <c r="Y18" s="341">
        <f t="shared" si="8"/>
        <v>0</v>
      </c>
      <c r="Z18" s="341">
        <f t="shared" si="9"/>
        <v>0</v>
      </c>
      <c r="AA18" s="342">
        <f t="shared" si="10"/>
        <v>0</v>
      </c>
      <c r="AB18" s="342">
        <f t="shared" si="11"/>
        <v>69.630000000000095</v>
      </c>
      <c r="AC18" s="343" t="b">
        <f t="shared" si="12"/>
        <v>1</v>
      </c>
      <c r="AD18" s="344">
        <f t="shared" si="13"/>
        <v>82.5</v>
      </c>
      <c r="AE18" s="344">
        <f t="shared" si="14"/>
        <v>82.5</v>
      </c>
      <c r="AF18" s="344">
        <f t="shared" si="15"/>
        <v>82.5</v>
      </c>
      <c r="AG18" s="344">
        <f t="shared" si="16"/>
        <v>82.5</v>
      </c>
      <c r="AH18" s="344">
        <f t="shared" si="16"/>
        <v>82.5</v>
      </c>
    </row>
    <row r="19" spans="1:34" s="345" customFormat="1" x14ac:dyDescent="0.25">
      <c r="A19" s="331">
        <v>26</v>
      </c>
      <c r="B19" s="346" t="s">
        <v>303</v>
      </c>
      <c r="C19" s="346">
        <v>2.75</v>
      </c>
      <c r="D19" s="346">
        <v>20</v>
      </c>
      <c r="E19" s="332">
        <v>5.75</v>
      </c>
      <c r="F19" s="333">
        <f t="shared" si="17"/>
        <v>17.25</v>
      </c>
      <c r="G19" s="333"/>
      <c r="H19" s="334">
        <f t="shared" si="1"/>
        <v>99.1875</v>
      </c>
      <c r="I19" s="335">
        <v>39.855000000000004</v>
      </c>
      <c r="J19" s="335">
        <v>40.542000000000002</v>
      </c>
      <c r="K19" s="336">
        <f t="shared" si="2"/>
        <v>40.198500000000003</v>
      </c>
      <c r="L19" s="337">
        <v>40.832499999999996</v>
      </c>
      <c r="M19" s="337">
        <v>40.902499999999996</v>
      </c>
      <c r="N19" s="338">
        <v>41.027999999999999</v>
      </c>
      <c r="O19" s="338">
        <v>41.103000000000002</v>
      </c>
      <c r="P19" s="338">
        <f t="shared" si="3"/>
        <v>40.867499999999993</v>
      </c>
      <c r="Q19" s="338">
        <f t="shared" si="4"/>
        <v>41.0655</v>
      </c>
      <c r="R19" s="339">
        <f t="shared" si="5"/>
        <v>40.966499999999996</v>
      </c>
      <c r="S19" s="339">
        <v>40.387499999999996</v>
      </c>
      <c r="T19" s="339">
        <v>40.585500000000003</v>
      </c>
      <c r="U19" s="336">
        <v>40.486499999999999</v>
      </c>
      <c r="V19" s="336">
        <v>-0.2120000000000033</v>
      </c>
      <c r="W19" s="340">
        <f t="shared" si="6"/>
        <v>21.027750000000328</v>
      </c>
      <c r="X19" s="340">
        <f t="shared" si="7"/>
        <v>0</v>
      </c>
      <c r="Y19" s="341">
        <f t="shared" si="8"/>
        <v>0</v>
      </c>
      <c r="Z19" s="341">
        <f t="shared" si="9"/>
        <v>0</v>
      </c>
      <c r="AA19" s="342">
        <f t="shared" si="10"/>
        <v>21.027750000000328</v>
      </c>
      <c r="AB19" s="342">
        <f t="shared" si="11"/>
        <v>0</v>
      </c>
      <c r="AC19" s="343" t="b">
        <f t="shared" si="12"/>
        <v>1</v>
      </c>
      <c r="AD19" s="344">
        <f t="shared" si="13"/>
        <v>99.1875</v>
      </c>
      <c r="AE19" s="344">
        <f t="shared" si="14"/>
        <v>99.1875</v>
      </c>
      <c r="AF19" s="344">
        <f t="shared" si="15"/>
        <v>99.1875</v>
      </c>
      <c r="AG19" s="344">
        <f t="shared" ref="AG19:AH24" si="18">IF($AF19&lt;&gt;0,$AF19,0)</f>
        <v>99.1875</v>
      </c>
      <c r="AH19" s="344">
        <f t="shared" si="18"/>
        <v>99.1875</v>
      </c>
    </row>
    <row r="20" spans="1:34" s="345" customFormat="1" x14ac:dyDescent="0.25">
      <c r="A20" s="331">
        <v>27</v>
      </c>
      <c r="B20" s="346" t="s">
        <v>303</v>
      </c>
      <c r="C20" s="346">
        <v>20</v>
      </c>
      <c r="D20" s="346">
        <v>22</v>
      </c>
      <c r="E20" s="332">
        <v>6</v>
      </c>
      <c r="F20" s="333">
        <f t="shared" si="17"/>
        <v>2</v>
      </c>
      <c r="G20" s="333"/>
      <c r="H20" s="334">
        <f t="shared" si="1"/>
        <v>12</v>
      </c>
      <c r="I20" s="335">
        <v>40.542000000000002</v>
      </c>
      <c r="J20" s="335">
        <v>40.542000000000002</v>
      </c>
      <c r="K20" s="336">
        <f t="shared" si="2"/>
        <v>40.542000000000002</v>
      </c>
      <c r="L20" s="337">
        <v>41.027999999999999</v>
      </c>
      <c r="M20" s="337">
        <v>41.103000000000002</v>
      </c>
      <c r="N20" s="338">
        <v>40.96</v>
      </c>
      <c r="O20" s="338">
        <v>41.034999999999997</v>
      </c>
      <c r="P20" s="338">
        <f t="shared" si="3"/>
        <v>41.0655</v>
      </c>
      <c r="Q20" s="338">
        <f t="shared" si="4"/>
        <v>40.997500000000002</v>
      </c>
      <c r="R20" s="339">
        <f t="shared" si="5"/>
        <v>41.031500000000001</v>
      </c>
      <c r="S20" s="339">
        <v>40.585500000000003</v>
      </c>
      <c r="T20" s="339">
        <v>40.517500000000005</v>
      </c>
      <c r="U20" s="336">
        <v>40.551500000000004</v>
      </c>
      <c r="V20" s="336">
        <v>-0.49049999999999727</v>
      </c>
      <c r="W20" s="340">
        <f t="shared" si="6"/>
        <v>5.8859999999999673</v>
      </c>
      <c r="X20" s="340">
        <f t="shared" si="7"/>
        <v>0</v>
      </c>
      <c r="Y20" s="341">
        <f t="shared" si="8"/>
        <v>0</v>
      </c>
      <c r="Z20" s="341">
        <f t="shared" si="9"/>
        <v>0</v>
      </c>
      <c r="AA20" s="342">
        <f t="shared" si="10"/>
        <v>0</v>
      </c>
      <c r="AB20" s="342">
        <f t="shared" si="11"/>
        <v>5.8859999999999673</v>
      </c>
      <c r="AC20" s="343" t="b">
        <f t="shared" si="12"/>
        <v>1</v>
      </c>
      <c r="AD20" s="344">
        <f t="shared" si="13"/>
        <v>12</v>
      </c>
      <c r="AE20" s="344">
        <f t="shared" si="14"/>
        <v>12</v>
      </c>
      <c r="AF20" s="344">
        <f t="shared" si="15"/>
        <v>12</v>
      </c>
      <c r="AG20" s="344">
        <f t="shared" si="18"/>
        <v>12</v>
      </c>
      <c r="AH20" s="344">
        <f t="shared" si="18"/>
        <v>12</v>
      </c>
    </row>
    <row r="21" spans="1:34" s="345" customFormat="1" x14ac:dyDescent="0.25">
      <c r="A21" s="331">
        <v>28</v>
      </c>
      <c r="B21" s="346" t="s">
        <v>304</v>
      </c>
      <c r="C21" s="346"/>
      <c r="D21" s="346"/>
      <c r="E21" s="332">
        <v>10</v>
      </c>
      <c r="F21" s="333">
        <v>10</v>
      </c>
      <c r="G21" s="333"/>
      <c r="H21" s="334">
        <f t="shared" si="1"/>
        <v>100</v>
      </c>
      <c r="I21" s="335">
        <v>39.855000000000004</v>
      </c>
      <c r="J21" s="335">
        <v>40.542000000000002</v>
      </c>
      <c r="K21" s="336">
        <f t="shared" ref="K21" si="19">K19</f>
        <v>40.198500000000003</v>
      </c>
      <c r="L21" s="347">
        <v>40.832499999999996</v>
      </c>
      <c r="M21" s="347">
        <v>40.902499999999996</v>
      </c>
      <c r="N21" s="335">
        <v>41.027999999999999</v>
      </c>
      <c r="O21" s="335">
        <v>41.103000000000002</v>
      </c>
      <c r="P21" s="338">
        <f t="shared" si="3"/>
        <v>40.867499999999993</v>
      </c>
      <c r="Q21" s="338">
        <f t="shared" si="4"/>
        <v>41.0655</v>
      </c>
      <c r="R21" s="339">
        <f t="shared" si="5"/>
        <v>40.966499999999996</v>
      </c>
      <c r="S21" s="339">
        <v>40.387499999999996</v>
      </c>
      <c r="T21" s="339">
        <v>40.585500000000003</v>
      </c>
      <c r="U21" s="336">
        <v>40.486499999999999</v>
      </c>
      <c r="V21" s="336">
        <v>-0.2120000000000033</v>
      </c>
      <c r="W21" s="340">
        <f t="shared" si="6"/>
        <v>21.20000000000033</v>
      </c>
      <c r="X21" s="340">
        <f t="shared" si="7"/>
        <v>0</v>
      </c>
      <c r="Y21" s="341">
        <f t="shared" si="8"/>
        <v>0</v>
      </c>
      <c r="Z21" s="341">
        <f t="shared" si="9"/>
        <v>0</v>
      </c>
      <c r="AA21" s="342">
        <f t="shared" si="10"/>
        <v>21.20000000000033</v>
      </c>
      <c r="AB21" s="342">
        <f t="shared" si="11"/>
        <v>0</v>
      </c>
      <c r="AC21" s="343" t="b">
        <f t="shared" si="12"/>
        <v>1</v>
      </c>
      <c r="AD21" s="344">
        <f t="shared" si="13"/>
        <v>100</v>
      </c>
      <c r="AE21" s="344">
        <f t="shared" si="14"/>
        <v>100</v>
      </c>
      <c r="AF21" s="344">
        <f t="shared" si="15"/>
        <v>100</v>
      </c>
      <c r="AG21" s="344">
        <f t="shared" si="18"/>
        <v>100</v>
      </c>
      <c r="AH21" s="344">
        <f t="shared" si="18"/>
        <v>100</v>
      </c>
    </row>
    <row r="22" spans="1:34" s="345" customFormat="1" x14ac:dyDescent="0.25">
      <c r="A22" s="331">
        <v>29</v>
      </c>
      <c r="B22" s="346" t="s">
        <v>120</v>
      </c>
      <c r="C22" s="346"/>
      <c r="D22" s="346"/>
      <c r="E22" s="332">
        <v>-10</v>
      </c>
      <c r="F22" s="333">
        <v>10</v>
      </c>
      <c r="G22" s="333">
        <v>0.79</v>
      </c>
      <c r="H22" s="334">
        <f t="shared" si="1"/>
        <v>-79</v>
      </c>
      <c r="I22" s="335">
        <v>39.855000000000004</v>
      </c>
      <c r="J22" s="335">
        <v>40.542000000000002</v>
      </c>
      <c r="K22" s="336">
        <f>K20</f>
        <v>40.542000000000002</v>
      </c>
      <c r="L22" s="347">
        <v>40.832499999999996</v>
      </c>
      <c r="M22" s="347">
        <v>41.103000000000002</v>
      </c>
      <c r="N22" s="335">
        <v>40.96</v>
      </c>
      <c r="O22" s="335">
        <v>41.034999999999997</v>
      </c>
      <c r="P22" s="338">
        <f t="shared" si="3"/>
        <v>40.967749999999995</v>
      </c>
      <c r="Q22" s="338">
        <f t="shared" si="4"/>
        <v>40.997500000000002</v>
      </c>
      <c r="R22" s="339">
        <f t="shared" si="5"/>
        <v>40.982624999999999</v>
      </c>
      <c r="S22" s="339">
        <v>40.487749999999998</v>
      </c>
      <c r="T22" s="339">
        <v>40.517500000000005</v>
      </c>
      <c r="U22" s="336">
        <v>40.502625000000002</v>
      </c>
      <c r="V22" s="336">
        <v>-0.53937499999999972</v>
      </c>
      <c r="W22" s="340">
        <f t="shared" si="6"/>
        <v>-42.610624999999978</v>
      </c>
      <c r="X22" s="340">
        <f t="shared" si="7"/>
        <v>0</v>
      </c>
      <c r="Y22" s="341">
        <f t="shared" si="8"/>
        <v>0</v>
      </c>
      <c r="Z22" s="341">
        <f t="shared" si="9"/>
        <v>0</v>
      </c>
      <c r="AA22" s="342">
        <f t="shared" si="10"/>
        <v>0</v>
      </c>
      <c r="AB22" s="342">
        <f t="shared" si="11"/>
        <v>-42.610624999999978</v>
      </c>
      <c r="AC22" s="343" t="b">
        <f t="shared" si="12"/>
        <v>1</v>
      </c>
      <c r="AD22" s="344">
        <f t="shared" si="13"/>
        <v>-79</v>
      </c>
      <c r="AE22" s="344">
        <f t="shared" si="14"/>
        <v>-79</v>
      </c>
      <c r="AF22" s="344">
        <f t="shared" si="15"/>
        <v>-79</v>
      </c>
      <c r="AG22" s="344">
        <f t="shared" si="18"/>
        <v>-79</v>
      </c>
      <c r="AH22" s="344">
        <f t="shared" si="18"/>
        <v>-79</v>
      </c>
    </row>
    <row r="23" spans="1:34" s="345" customFormat="1" x14ac:dyDescent="0.25">
      <c r="A23" s="331">
        <v>30</v>
      </c>
      <c r="B23" s="346" t="s">
        <v>304</v>
      </c>
      <c r="C23" s="346"/>
      <c r="D23" s="346"/>
      <c r="E23" s="332">
        <v>10</v>
      </c>
      <c r="F23" s="333">
        <v>10</v>
      </c>
      <c r="G23" s="333"/>
      <c r="H23" s="334">
        <f t="shared" si="1"/>
        <v>100</v>
      </c>
      <c r="I23" s="335">
        <v>39.855000000000004</v>
      </c>
      <c r="J23" s="335">
        <v>40.542000000000002</v>
      </c>
      <c r="K23" s="336">
        <f>K22</f>
        <v>40.542000000000002</v>
      </c>
      <c r="L23" s="347">
        <v>40.832499999999996</v>
      </c>
      <c r="M23" s="347">
        <v>40.902499999999996</v>
      </c>
      <c r="N23" s="335">
        <v>41.027999999999999</v>
      </c>
      <c r="O23" s="335">
        <v>41.103000000000002</v>
      </c>
      <c r="P23" s="338">
        <f>SUM(L23:M23)/2</f>
        <v>40.867499999999993</v>
      </c>
      <c r="Q23" s="338">
        <f>SUM(N23:O23)/2</f>
        <v>41.0655</v>
      </c>
      <c r="R23" s="339">
        <f>SUM(P23:Q23)/2</f>
        <v>40.966499999999996</v>
      </c>
      <c r="S23" s="339">
        <v>40.387499999999996</v>
      </c>
      <c r="T23" s="339">
        <v>40.585500000000003</v>
      </c>
      <c r="U23" s="336">
        <v>40.486499999999999</v>
      </c>
      <c r="V23" s="336">
        <v>-0.5555000000000021</v>
      </c>
      <c r="W23" s="340">
        <f t="shared" si="6"/>
        <v>55.55000000000021</v>
      </c>
      <c r="X23" s="340">
        <f>IF(W23=0,V23*H23,0)</f>
        <v>0</v>
      </c>
      <c r="Y23" s="341">
        <f>IF(AND(V23&gt;0,V23&lt;0.251),X23,0)</f>
        <v>0</v>
      </c>
      <c r="Z23" s="341">
        <f>IF(AND(V23&gt;0.25,V23&lt;1.01),X23,0)</f>
        <v>0</v>
      </c>
      <c r="AA23" s="342">
        <f>IF(AND(V23&lt;0,V23&gt;-0.251),W23,0)</f>
        <v>0</v>
      </c>
      <c r="AB23" s="342">
        <f t="shared" si="11"/>
        <v>55.55000000000021</v>
      </c>
      <c r="AC23" s="343" t="b">
        <f t="shared" si="12"/>
        <v>1</v>
      </c>
      <c r="AD23" s="344">
        <f t="shared" si="13"/>
        <v>100</v>
      </c>
      <c r="AE23" s="344">
        <f t="shared" si="14"/>
        <v>100</v>
      </c>
      <c r="AF23" s="344">
        <f>AD23</f>
        <v>100</v>
      </c>
      <c r="AG23" s="344">
        <f t="shared" si="18"/>
        <v>100</v>
      </c>
      <c r="AH23" s="344">
        <f t="shared" si="18"/>
        <v>100</v>
      </c>
    </row>
    <row r="24" spans="1:34" s="345" customFormat="1" x14ac:dyDescent="0.25">
      <c r="A24" s="331">
        <v>31</v>
      </c>
      <c r="B24" s="346" t="s">
        <v>120</v>
      </c>
      <c r="C24" s="346"/>
      <c r="D24" s="346"/>
      <c r="E24" s="332">
        <v>-10</v>
      </c>
      <c r="F24" s="333">
        <v>10</v>
      </c>
      <c r="G24" s="333">
        <v>0.79</v>
      </c>
      <c r="H24" s="334">
        <f t="shared" si="1"/>
        <v>-79</v>
      </c>
      <c r="I24" s="335">
        <v>39.855000000000004</v>
      </c>
      <c r="J24" s="335">
        <v>40.542000000000002</v>
      </c>
      <c r="K24" s="336">
        <f>K22</f>
        <v>40.542000000000002</v>
      </c>
      <c r="L24" s="347">
        <v>40.832499999999996</v>
      </c>
      <c r="M24" s="347">
        <v>41.103000000000002</v>
      </c>
      <c r="N24" s="335">
        <v>40.96</v>
      </c>
      <c r="O24" s="335">
        <v>41.034999999999997</v>
      </c>
      <c r="P24" s="338">
        <f>SUM(L24:M24)/2</f>
        <v>40.967749999999995</v>
      </c>
      <c r="Q24" s="338">
        <f>SUM(N24:O24)/2</f>
        <v>40.997500000000002</v>
      </c>
      <c r="R24" s="339">
        <f>SUM(P24:Q24)/2</f>
        <v>40.982624999999999</v>
      </c>
      <c r="S24" s="339">
        <v>40.487749999999998</v>
      </c>
      <c r="T24" s="339">
        <v>40.517500000000005</v>
      </c>
      <c r="U24" s="336">
        <v>40.502625000000002</v>
      </c>
      <c r="V24" s="336">
        <v>-0.53937499999999972</v>
      </c>
      <c r="W24" s="340">
        <f t="shared" si="6"/>
        <v>-42.610624999999978</v>
      </c>
      <c r="X24" s="340">
        <f>IF(W24=0,V24*H24,0)</f>
        <v>0</v>
      </c>
      <c r="Y24" s="341">
        <f>IF(AND(V24&gt;0,V24&lt;0.251),X24,0)</f>
        <v>0</v>
      </c>
      <c r="Z24" s="341">
        <f>IF(AND(V24&gt;0.25,V24&lt;1.01),X24,0)</f>
        <v>0</v>
      </c>
      <c r="AA24" s="342">
        <f>IF(AND(V24&lt;0,V24&gt;-0.251),W24,0)</f>
        <v>0</v>
      </c>
      <c r="AB24" s="342">
        <f t="shared" si="11"/>
        <v>-42.610624999999978</v>
      </c>
      <c r="AC24" s="343" t="b">
        <f t="shared" si="12"/>
        <v>1</v>
      </c>
      <c r="AD24" s="344">
        <f t="shared" si="13"/>
        <v>-79</v>
      </c>
      <c r="AE24" s="344">
        <f t="shared" si="14"/>
        <v>-79</v>
      </c>
      <c r="AF24" s="344">
        <f>AD24</f>
        <v>-79</v>
      </c>
      <c r="AG24" s="344">
        <f t="shared" si="18"/>
        <v>-79</v>
      </c>
      <c r="AH24" s="344">
        <f t="shared" si="18"/>
        <v>-79</v>
      </c>
    </row>
    <row r="31" spans="1:34" x14ac:dyDescent="0.25">
      <c r="A31" s="367"/>
      <c r="B31" s="368"/>
      <c r="C31" s="223"/>
      <c r="D31" s="223"/>
      <c r="E31" s="219"/>
    </row>
  </sheetData>
  <autoFilter ref="A9:AH24" xr:uid="{00000000-0009-0000-0000-000004000000}"/>
  <mergeCells count="2">
    <mergeCell ref="L8:O8"/>
    <mergeCell ref="A31:B3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tabColor rgb="FFFF0000"/>
    <pageSetUpPr fitToPage="1"/>
  </sheetPr>
  <dimension ref="A1:BG35"/>
  <sheetViews>
    <sheetView zoomScale="75" zoomScaleNormal="75" workbookViewId="0">
      <pane xSplit="3" ySplit="5" topLeftCell="F6" activePane="bottomRight" state="frozen"/>
      <selection pane="topRight" activeCell="D1" sqref="D1"/>
      <selection pane="bottomLeft" activeCell="A6" sqref="A6"/>
      <selection pane="bottomRight" activeCell="AA6" sqref="AA6"/>
    </sheetView>
  </sheetViews>
  <sheetFormatPr defaultRowHeight="15" x14ac:dyDescent="0.25"/>
  <cols>
    <col min="1" max="1" width="9.140625" style="170" customWidth="1"/>
    <col min="2" max="3" width="6.28515625" style="170" customWidth="1"/>
    <col min="4" max="4" width="10.5703125" style="167" customWidth="1"/>
    <col min="5" max="11" width="10.5703125" style="170" customWidth="1"/>
    <col min="12" max="14" width="10.5703125" style="184" customWidth="1"/>
    <col min="15" max="16" width="10.5703125" style="185" customWidth="1"/>
    <col min="17" max="17" width="10.5703125" style="184" customWidth="1"/>
    <col min="18" max="18" width="8.5703125" style="218" customWidth="1"/>
    <col min="19" max="19" width="11" style="180" customWidth="1"/>
    <col min="20" max="20" width="9.5703125" style="170" customWidth="1"/>
    <col min="21" max="22" width="10.140625" style="180" customWidth="1"/>
    <col min="23" max="27" width="9.140625" style="170" customWidth="1"/>
    <col min="28" max="28" width="5.7109375" style="179" customWidth="1"/>
    <col min="29" max="31" width="10.42578125" style="180" customWidth="1"/>
    <col min="32" max="32" width="12.5703125" style="170" customWidth="1"/>
    <col min="33" max="37" width="9.85546875" style="170" customWidth="1"/>
    <col min="38" max="38" width="11.42578125" style="170" customWidth="1"/>
    <col min="39" max="41" width="9.85546875" style="170" customWidth="1"/>
    <col min="42" max="51" width="9.140625" style="170" customWidth="1"/>
    <col min="52" max="52" width="11" style="170" customWidth="1"/>
    <col min="53" max="55" width="9.140625" style="170" customWidth="1"/>
    <col min="56" max="56" width="13.85546875" style="170" customWidth="1"/>
    <col min="57" max="60" width="9.140625" style="170" customWidth="1"/>
    <col min="61" max="183" width="9.140625" style="170"/>
    <col min="184" max="184" width="9.140625" style="170" customWidth="1"/>
    <col min="185" max="186" width="6.28515625" style="170" customWidth="1"/>
    <col min="187" max="188" width="9.140625" style="170" customWidth="1"/>
    <col min="189" max="189" width="10.7109375" style="170" customWidth="1"/>
    <col min="190" max="195" width="9.140625" style="170" customWidth="1"/>
    <col min="196" max="196" width="9.42578125" style="170" customWidth="1"/>
    <col min="197" max="197" width="8.140625" style="170" customWidth="1"/>
    <col min="198" max="198" width="9.140625" style="170" customWidth="1"/>
    <col min="199" max="199" width="9.28515625" style="170" customWidth="1"/>
    <col min="200" max="200" width="9.140625" style="170" customWidth="1"/>
    <col min="201" max="202" width="8.85546875" style="170" customWidth="1"/>
    <col min="203" max="203" width="9.42578125" style="170" customWidth="1"/>
    <col min="204" max="204" width="8.5703125" style="170" customWidth="1"/>
    <col min="205" max="205" width="11" style="170" customWidth="1"/>
    <col min="206" max="206" width="9.5703125" style="170" customWidth="1"/>
    <col min="207" max="208" width="10.140625" style="170" customWidth="1"/>
    <col min="209" max="213" width="9.140625" style="170" customWidth="1"/>
    <col min="214" max="214" width="5.7109375" style="170" customWidth="1"/>
    <col min="215" max="217" width="10.42578125" style="170" customWidth="1"/>
    <col min="218" max="218" width="12.5703125" style="170" customWidth="1"/>
    <col min="219" max="223" width="9.85546875" style="170" customWidth="1"/>
    <col min="224" max="224" width="11.42578125" style="170" customWidth="1"/>
    <col min="225" max="227" width="9.85546875" style="170" customWidth="1"/>
    <col min="228" max="237" width="9.140625" style="170" customWidth="1"/>
    <col min="238" max="238" width="11" style="170" customWidth="1"/>
    <col min="239" max="250" width="9.140625" style="170" customWidth="1"/>
    <col min="251" max="252" width="11" style="170" customWidth="1"/>
    <col min="253" max="253" width="9.140625" style="170" customWidth="1"/>
    <col min="254" max="439" width="9.140625" style="170"/>
    <col min="440" max="440" width="9.140625" style="170" customWidth="1"/>
    <col min="441" max="442" width="6.28515625" style="170" customWidth="1"/>
    <col min="443" max="444" width="9.140625" style="170" customWidth="1"/>
    <col min="445" max="445" width="10.7109375" style="170" customWidth="1"/>
    <col min="446" max="451" width="9.140625" style="170" customWidth="1"/>
    <col min="452" max="452" width="9.42578125" style="170" customWidth="1"/>
    <col min="453" max="453" width="8.140625" style="170" customWidth="1"/>
    <col min="454" max="454" width="9.140625" style="170" customWidth="1"/>
    <col min="455" max="455" width="9.28515625" style="170" customWidth="1"/>
    <col min="456" max="456" width="9.140625" style="170" customWidth="1"/>
    <col min="457" max="458" width="8.85546875" style="170" customWidth="1"/>
    <col min="459" max="459" width="9.42578125" style="170" customWidth="1"/>
    <col min="460" max="460" width="8.5703125" style="170" customWidth="1"/>
    <col min="461" max="461" width="11" style="170" customWidth="1"/>
    <col min="462" max="462" width="9.5703125" style="170" customWidth="1"/>
    <col min="463" max="464" width="10.140625" style="170" customWidth="1"/>
    <col min="465" max="469" width="9.140625" style="170" customWidth="1"/>
    <col min="470" max="470" width="5.7109375" style="170" customWidth="1"/>
    <col min="471" max="473" width="10.42578125" style="170" customWidth="1"/>
    <col min="474" max="474" width="12.5703125" style="170" customWidth="1"/>
    <col min="475" max="479" width="9.85546875" style="170" customWidth="1"/>
    <col min="480" max="480" width="11.42578125" style="170" customWidth="1"/>
    <col min="481" max="483" width="9.85546875" style="170" customWidth="1"/>
    <col min="484" max="493" width="9.140625" style="170" customWidth="1"/>
    <col min="494" max="494" width="11" style="170" customWidth="1"/>
    <col min="495" max="506" width="9.140625" style="170" customWidth="1"/>
    <col min="507" max="508" width="11" style="170" customWidth="1"/>
    <col min="509" max="509" width="9.140625" style="170" customWidth="1"/>
    <col min="510" max="695" width="9.140625" style="170"/>
    <col min="696" max="696" width="9.140625" style="170" customWidth="1"/>
    <col min="697" max="698" width="6.28515625" style="170" customWidth="1"/>
    <col min="699" max="700" width="9.140625" style="170" customWidth="1"/>
    <col min="701" max="701" width="10.7109375" style="170" customWidth="1"/>
    <col min="702" max="707" width="9.140625" style="170" customWidth="1"/>
    <col min="708" max="708" width="9.42578125" style="170" customWidth="1"/>
    <col min="709" max="709" width="8.140625" style="170" customWidth="1"/>
    <col min="710" max="710" width="9.140625" style="170" customWidth="1"/>
    <col min="711" max="711" width="9.28515625" style="170" customWidth="1"/>
    <col min="712" max="712" width="9.140625" style="170" customWidth="1"/>
    <col min="713" max="714" width="8.85546875" style="170" customWidth="1"/>
    <col min="715" max="715" width="9.42578125" style="170" customWidth="1"/>
    <col min="716" max="716" width="8.5703125" style="170" customWidth="1"/>
    <col min="717" max="717" width="11" style="170" customWidth="1"/>
    <col min="718" max="718" width="9.5703125" style="170" customWidth="1"/>
    <col min="719" max="720" width="10.140625" style="170" customWidth="1"/>
    <col min="721" max="725" width="9.140625" style="170" customWidth="1"/>
    <col min="726" max="726" width="5.7109375" style="170" customWidth="1"/>
    <col min="727" max="729" width="10.42578125" style="170" customWidth="1"/>
    <col min="730" max="730" width="12.5703125" style="170" customWidth="1"/>
    <col min="731" max="735" width="9.85546875" style="170" customWidth="1"/>
    <col min="736" max="736" width="11.42578125" style="170" customWidth="1"/>
    <col min="737" max="739" width="9.85546875" style="170" customWidth="1"/>
    <col min="740" max="749" width="9.140625" style="170" customWidth="1"/>
    <col min="750" max="750" width="11" style="170" customWidth="1"/>
    <col min="751" max="762" width="9.140625" style="170" customWidth="1"/>
    <col min="763" max="764" width="11" style="170" customWidth="1"/>
    <col min="765" max="765" width="9.140625" style="170" customWidth="1"/>
    <col min="766" max="951" width="9.140625" style="170"/>
    <col min="952" max="952" width="9.140625" style="170" customWidth="1"/>
    <col min="953" max="954" width="6.28515625" style="170" customWidth="1"/>
    <col min="955" max="956" width="9.140625" style="170" customWidth="1"/>
    <col min="957" max="957" width="10.7109375" style="170" customWidth="1"/>
    <col min="958" max="963" width="9.140625" style="170" customWidth="1"/>
    <col min="964" max="964" width="9.42578125" style="170" customWidth="1"/>
    <col min="965" max="965" width="8.140625" style="170" customWidth="1"/>
    <col min="966" max="966" width="9.140625" style="170" customWidth="1"/>
    <col min="967" max="967" width="9.28515625" style="170" customWidth="1"/>
    <col min="968" max="968" width="9.140625" style="170" customWidth="1"/>
    <col min="969" max="970" width="8.85546875" style="170" customWidth="1"/>
    <col min="971" max="971" width="9.42578125" style="170" customWidth="1"/>
    <col min="972" max="972" width="8.5703125" style="170" customWidth="1"/>
    <col min="973" max="973" width="11" style="170" customWidth="1"/>
    <col min="974" max="974" width="9.5703125" style="170" customWidth="1"/>
    <col min="975" max="976" width="10.140625" style="170" customWidth="1"/>
    <col min="977" max="981" width="9.140625" style="170" customWidth="1"/>
    <col min="982" max="982" width="5.7109375" style="170" customWidth="1"/>
    <col min="983" max="985" width="10.42578125" style="170" customWidth="1"/>
    <col min="986" max="986" width="12.5703125" style="170" customWidth="1"/>
    <col min="987" max="991" width="9.85546875" style="170" customWidth="1"/>
    <col min="992" max="992" width="11.42578125" style="170" customWidth="1"/>
    <col min="993" max="995" width="9.85546875" style="170" customWidth="1"/>
    <col min="996" max="1005" width="9.140625" style="170" customWidth="1"/>
    <col min="1006" max="1006" width="11" style="170" customWidth="1"/>
    <col min="1007" max="1018" width="9.140625" style="170" customWidth="1"/>
    <col min="1019" max="1020" width="11" style="170" customWidth="1"/>
    <col min="1021" max="1021" width="9.140625" style="170" customWidth="1"/>
    <col min="1022" max="1207" width="9.140625" style="170"/>
    <col min="1208" max="1208" width="9.140625" style="170" customWidth="1"/>
    <col min="1209" max="1210" width="6.28515625" style="170" customWidth="1"/>
    <col min="1211" max="1212" width="9.140625" style="170" customWidth="1"/>
    <col min="1213" max="1213" width="10.7109375" style="170" customWidth="1"/>
    <col min="1214" max="1219" width="9.140625" style="170" customWidth="1"/>
    <col min="1220" max="1220" width="9.42578125" style="170" customWidth="1"/>
    <col min="1221" max="1221" width="8.140625" style="170" customWidth="1"/>
    <col min="1222" max="1222" width="9.140625" style="170" customWidth="1"/>
    <col min="1223" max="1223" width="9.28515625" style="170" customWidth="1"/>
    <col min="1224" max="1224" width="9.140625" style="170" customWidth="1"/>
    <col min="1225" max="1226" width="8.85546875" style="170" customWidth="1"/>
    <col min="1227" max="1227" width="9.42578125" style="170" customWidth="1"/>
    <col min="1228" max="1228" width="8.5703125" style="170" customWidth="1"/>
    <col min="1229" max="1229" width="11" style="170" customWidth="1"/>
    <col min="1230" max="1230" width="9.5703125" style="170" customWidth="1"/>
    <col min="1231" max="1232" width="10.140625" style="170" customWidth="1"/>
    <col min="1233" max="1237" width="9.140625" style="170" customWidth="1"/>
    <col min="1238" max="1238" width="5.7109375" style="170" customWidth="1"/>
    <col min="1239" max="1241" width="10.42578125" style="170" customWidth="1"/>
    <col min="1242" max="1242" width="12.5703125" style="170" customWidth="1"/>
    <col min="1243" max="1247" width="9.85546875" style="170" customWidth="1"/>
    <col min="1248" max="1248" width="11.42578125" style="170" customWidth="1"/>
    <col min="1249" max="1251" width="9.85546875" style="170" customWidth="1"/>
    <col min="1252" max="1261" width="9.140625" style="170" customWidth="1"/>
    <col min="1262" max="1262" width="11" style="170" customWidth="1"/>
    <col min="1263" max="1274" width="9.140625" style="170" customWidth="1"/>
    <col min="1275" max="1276" width="11" style="170" customWidth="1"/>
    <col min="1277" max="1277" width="9.140625" style="170" customWidth="1"/>
    <col min="1278" max="1463" width="9.140625" style="170"/>
    <col min="1464" max="1464" width="9.140625" style="170" customWidth="1"/>
    <col min="1465" max="1466" width="6.28515625" style="170" customWidth="1"/>
    <col min="1467" max="1468" width="9.140625" style="170" customWidth="1"/>
    <col min="1469" max="1469" width="10.7109375" style="170" customWidth="1"/>
    <col min="1470" max="1475" width="9.140625" style="170" customWidth="1"/>
    <col min="1476" max="1476" width="9.42578125" style="170" customWidth="1"/>
    <col min="1477" max="1477" width="8.140625" style="170" customWidth="1"/>
    <col min="1478" max="1478" width="9.140625" style="170" customWidth="1"/>
    <col min="1479" max="1479" width="9.28515625" style="170" customWidth="1"/>
    <col min="1480" max="1480" width="9.140625" style="170" customWidth="1"/>
    <col min="1481" max="1482" width="8.85546875" style="170" customWidth="1"/>
    <col min="1483" max="1483" width="9.42578125" style="170" customWidth="1"/>
    <col min="1484" max="1484" width="8.5703125" style="170" customWidth="1"/>
    <col min="1485" max="1485" width="11" style="170" customWidth="1"/>
    <col min="1486" max="1486" width="9.5703125" style="170" customWidth="1"/>
    <col min="1487" max="1488" width="10.140625" style="170" customWidth="1"/>
    <col min="1489" max="1493" width="9.140625" style="170" customWidth="1"/>
    <col min="1494" max="1494" width="5.7109375" style="170" customWidth="1"/>
    <col min="1495" max="1497" width="10.42578125" style="170" customWidth="1"/>
    <col min="1498" max="1498" width="12.5703125" style="170" customWidth="1"/>
    <col min="1499" max="1503" width="9.85546875" style="170" customWidth="1"/>
    <col min="1504" max="1504" width="11.42578125" style="170" customWidth="1"/>
    <col min="1505" max="1507" width="9.85546875" style="170" customWidth="1"/>
    <col min="1508" max="1517" width="9.140625" style="170" customWidth="1"/>
    <col min="1518" max="1518" width="11" style="170" customWidth="1"/>
    <col min="1519" max="1530" width="9.140625" style="170" customWidth="1"/>
    <col min="1531" max="1532" width="11" style="170" customWidth="1"/>
    <col min="1533" max="1533" width="9.140625" style="170" customWidth="1"/>
    <col min="1534" max="1719" width="9.140625" style="170"/>
    <col min="1720" max="1720" width="9.140625" style="170" customWidth="1"/>
    <col min="1721" max="1722" width="6.28515625" style="170" customWidth="1"/>
    <col min="1723" max="1724" width="9.140625" style="170" customWidth="1"/>
    <col min="1725" max="1725" width="10.7109375" style="170" customWidth="1"/>
    <col min="1726" max="1731" width="9.140625" style="170" customWidth="1"/>
    <col min="1732" max="1732" width="9.42578125" style="170" customWidth="1"/>
    <col min="1733" max="1733" width="8.140625" style="170" customWidth="1"/>
    <col min="1734" max="1734" width="9.140625" style="170" customWidth="1"/>
    <col min="1735" max="1735" width="9.28515625" style="170" customWidth="1"/>
    <col min="1736" max="1736" width="9.140625" style="170" customWidth="1"/>
    <col min="1737" max="1738" width="8.85546875" style="170" customWidth="1"/>
    <col min="1739" max="1739" width="9.42578125" style="170" customWidth="1"/>
    <col min="1740" max="1740" width="8.5703125" style="170" customWidth="1"/>
    <col min="1741" max="1741" width="11" style="170" customWidth="1"/>
    <col min="1742" max="1742" width="9.5703125" style="170" customWidth="1"/>
    <col min="1743" max="1744" width="10.140625" style="170" customWidth="1"/>
    <col min="1745" max="1749" width="9.140625" style="170" customWidth="1"/>
    <col min="1750" max="1750" width="5.7109375" style="170" customWidth="1"/>
    <col min="1751" max="1753" width="10.42578125" style="170" customWidth="1"/>
    <col min="1754" max="1754" width="12.5703125" style="170" customWidth="1"/>
    <col min="1755" max="1759" width="9.85546875" style="170" customWidth="1"/>
    <col min="1760" max="1760" width="11.42578125" style="170" customWidth="1"/>
    <col min="1761" max="1763" width="9.85546875" style="170" customWidth="1"/>
    <col min="1764" max="1773" width="9.140625" style="170" customWidth="1"/>
    <col min="1774" max="1774" width="11" style="170" customWidth="1"/>
    <col min="1775" max="1786" width="9.140625" style="170" customWidth="1"/>
    <col min="1787" max="1788" width="11" style="170" customWidth="1"/>
    <col min="1789" max="1789" width="9.140625" style="170" customWidth="1"/>
    <col min="1790" max="1975" width="9.140625" style="170"/>
    <col min="1976" max="1976" width="9.140625" style="170" customWidth="1"/>
    <col min="1977" max="1978" width="6.28515625" style="170" customWidth="1"/>
    <col min="1979" max="1980" width="9.140625" style="170" customWidth="1"/>
    <col min="1981" max="1981" width="10.7109375" style="170" customWidth="1"/>
    <col min="1982" max="1987" width="9.140625" style="170" customWidth="1"/>
    <col min="1988" max="1988" width="9.42578125" style="170" customWidth="1"/>
    <col min="1989" max="1989" width="8.140625" style="170" customWidth="1"/>
    <col min="1990" max="1990" width="9.140625" style="170" customWidth="1"/>
    <col min="1991" max="1991" width="9.28515625" style="170" customWidth="1"/>
    <col min="1992" max="1992" width="9.140625" style="170" customWidth="1"/>
    <col min="1993" max="1994" width="8.85546875" style="170" customWidth="1"/>
    <col min="1995" max="1995" width="9.42578125" style="170" customWidth="1"/>
    <col min="1996" max="1996" width="8.5703125" style="170" customWidth="1"/>
    <col min="1997" max="1997" width="11" style="170" customWidth="1"/>
    <col min="1998" max="1998" width="9.5703125" style="170" customWidth="1"/>
    <col min="1999" max="2000" width="10.140625" style="170" customWidth="1"/>
    <col min="2001" max="2005" width="9.140625" style="170" customWidth="1"/>
    <col min="2006" max="2006" width="5.7109375" style="170" customWidth="1"/>
    <col min="2007" max="2009" width="10.42578125" style="170" customWidth="1"/>
    <col min="2010" max="2010" width="12.5703125" style="170" customWidth="1"/>
    <col min="2011" max="2015" width="9.85546875" style="170" customWidth="1"/>
    <col min="2016" max="2016" width="11.42578125" style="170" customWidth="1"/>
    <col min="2017" max="2019" width="9.85546875" style="170" customWidth="1"/>
    <col min="2020" max="2029" width="9.140625" style="170" customWidth="1"/>
    <col min="2030" max="2030" width="11" style="170" customWidth="1"/>
    <col min="2031" max="2042" width="9.140625" style="170" customWidth="1"/>
    <col min="2043" max="2044" width="11" style="170" customWidth="1"/>
    <col min="2045" max="2045" width="9.140625" style="170" customWidth="1"/>
    <col min="2046" max="2231" width="9.140625" style="170"/>
    <col min="2232" max="2232" width="9.140625" style="170" customWidth="1"/>
    <col min="2233" max="2234" width="6.28515625" style="170" customWidth="1"/>
    <col min="2235" max="2236" width="9.140625" style="170" customWidth="1"/>
    <col min="2237" max="2237" width="10.7109375" style="170" customWidth="1"/>
    <col min="2238" max="2243" width="9.140625" style="170" customWidth="1"/>
    <col min="2244" max="2244" width="9.42578125" style="170" customWidth="1"/>
    <col min="2245" max="2245" width="8.140625" style="170" customWidth="1"/>
    <col min="2246" max="2246" width="9.140625" style="170" customWidth="1"/>
    <col min="2247" max="2247" width="9.28515625" style="170" customWidth="1"/>
    <col min="2248" max="2248" width="9.140625" style="170" customWidth="1"/>
    <col min="2249" max="2250" width="8.85546875" style="170" customWidth="1"/>
    <col min="2251" max="2251" width="9.42578125" style="170" customWidth="1"/>
    <col min="2252" max="2252" width="8.5703125" style="170" customWidth="1"/>
    <col min="2253" max="2253" width="11" style="170" customWidth="1"/>
    <col min="2254" max="2254" width="9.5703125" style="170" customWidth="1"/>
    <col min="2255" max="2256" width="10.140625" style="170" customWidth="1"/>
    <col min="2257" max="2261" width="9.140625" style="170" customWidth="1"/>
    <col min="2262" max="2262" width="5.7109375" style="170" customWidth="1"/>
    <col min="2263" max="2265" width="10.42578125" style="170" customWidth="1"/>
    <col min="2266" max="2266" width="12.5703125" style="170" customWidth="1"/>
    <col min="2267" max="2271" width="9.85546875" style="170" customWidth="1"/>
    <col min="2272" max="2272" width="11.42578125" style="170" customWidth="1"/>
    <col min="2273" max="2275" width="9.85546875" style="170" customWidth="1"/>
    <col min="2276" max="2285" width="9.140625" style="170" customWidth="1"/>
    <col min="2286" max="2286" width="11" style="170" customWidth="1"/>
    <col min="2287" max="2298" width="9.140625" style="170" customWidth="1"/>
    <col min="2299" max="2300" width="11" style="170" customWidth="1"/>
    <col min="2301" max="2301" width="9.140625" style="170" customWidth="1"/>
    <col min="2302" max="2487" width="9.140625" style="170"/>
    <col min="2488" max="2488" width="9.140625" style="170" customWidth="1"/>
    <col min="2489" max="2490" width="6.28515625" style="170" customWidth="1"/>
    <col min="2491" max="2492" width="9.140625" style="170" customWidth="1"/>
    <col min="2493" max="2493" width="10.7109375" style="170" customWidth="1"/>
    <col min="2494" max="2499" width="9.140625" style="170" customWidth="1"/>
    <col min="2500" max="2500" width="9.42578125" style="170" customWidth="1"/>
    <col min="2501" max="2501" width="8.140625" style="170" customWidth="1"/>
    <col min="2502" max="2502" width="9.140625" style="170" customWidth="1"/>
    <col min="2503" max="2503" width="9.28515625" style="170" customWidth="1"/>
    <col min="2504" max="2504" width="9.140625" style="170" customWidth="1"/>
    <col min="2505" max="2506" width="8.85546875" style="170" customWidth="1"/>
    <col min="2507" max="2507" width="9.42578125" style="170" customWidth="1"/>
    <col min="2508" max="2508" width="8.5703125" style="170" customWidth="1"/>
    <col min="2509" max="2509" width="11" style="170" customWidth="1"/>
    <col min="2510" max="2510" width="9.5703125" style="170" customWidth="1"/>
    <col min="2511" max="2512" width="10.140625" style="170" customWidth="1"/>
    <col min="2513" max="2517" width="9.140625" style="170" customWidth="1"/>
    <col min="2518" max="2518" width="5.7109375" style="170" customWidth="1"/>
    <col min="2519" max="2521" width="10.42578125" style="170" customWidth="1"/>
    <col min="2522" max="2522" width="12.5703125" style="170" customWidth="1"/>
    <col min="2523" max="2527" width="9.85546875" style="170" customWidth="1"/>
    <col min="2528" max="2528" width="11.42578125" style="170" customWidth="1"/>
    <col min="2529" max="2531" width="9.85546875" style="170" customWidth="1"/>
    <col min="2532" max="2541" width="9.140625" style="170" customWidth="1"/>
    <col min="2542" max="2542" width="11" style="170" customWidth="1"/>
    <col min="2543" max="2554" width="9.140625" style="170" customWidth="1"/>
    <col min="2555" max="2556" width="11" style="170" customWidth="1"/>
    <col min="2557" max="2557" width="9.140625" style="170" customWidth="1"/>
    <col min="2558" max="2743" width="9.140625" style="170"/>
    <col min="2744" max="2744" width="9.140625" style="170" customWidth="1"/>
    <col min="2745" max="2746" width="6.28515625" style="170" customWidth="1"/>
    <col min="2747" max="2748" width="9.140625" style="170" customWidth="1"/>
    <col min="2749" max="2749" width="10.7109375" style="170" customWidth="1"/>
    <col min="2750" max="2755" width="9.140625" style="170" customWidth="1"/>
    <col min="2756" max="2756" width="9.42578125" style="170" customWidth="1"/>
    <col min="2757" max="2757" width="8.140625" style="170" customWidth="1"/>
    <col min="2758" max="2758" width="9.140625" style="170" customWidth="1"/>
    <col min="2759" max="2759" width="9.28515625" style="170" customWidth="1"/>
    <col min="2760" max="2760" width="9.140625" style="170" customWidth="1"/>
    <col min="2761" max="2762" width="8.85546875" style="170" customWidth="1"/>
    <col min="2763" max="2763" width="9.42578125" style="170" customWidth="1"/>
    <col min="2764" max="2764" width="8.5703125" style="170" customWidth="1"/>
    <col min="2765" max="2765" width="11" style="170" customWidth="1"/>
    <col min="2766" max="2766" width="9.5703125" style="170" customWidth="1"/>
    <col min="2767" max="2768" width="10.140625" style="170" customWidth="1"/>
    <col min="2769" max="2773" width="9.140625" style="170" customWidth="1"/>
    <col min="2774" max="2774" width="5.7109375" style="170" customWidth="1"/>
    <col min="2775" max="2777" width="10.42578125" style="170" customWidth="1"/>
    <col min="2778" max="2778" width="12.5703125" style="170" customWidth="1"/>
    <col min="2779" max="2783" width="9.85546875" style="170" customWidth="1"/>
    <col min="2784" max="2784" width="11.42578125" style="170" customWidth="1"/>
    <col min="2785" max="2787" width="9.85546875" style="170" customWidth="1"/>
    <col min="2788" max="2797" width="9.140625" style="170" customWidth="1"/>
    <col min="2798" max="2798" width="11" style="170" customWidth="1"/>
    <col min="2799" max="2810" width="9.140625" style="170" customWidth="1"/>
    <col min="2811" max="2812" width="11" style="170" customWidth="1"/>
    <col min="2813" max="2813" width="9.140625" style="170" customWidth="1"/>
    <col min="2814" max="2999" width="9.140625" style="170"/>
    <col min="3000" max="3000" width="9.140625" style="170" customWidth="1"/>
    <col min="3001" max="3002" width="6.28515625" style="170" customWidth="1"/>
    <col min="3003" max="3004" width="9.140625" style="170" customWidth="1"/>
    <col min="3005" max="3005" width="10.7109375" style="170" customWidth="1"/>
    <col min="3006" max="3011" width="9.140625" style="170" customWidth="1"/>
    <col min="3012" max="3012" width="9.42578125" style="170" customWidth="1"/>
    <col min="3013" max="3013" width="8.140625" style="170" customWidth="1"/>
    <col min="3014" max="3014" width="9.140625" style="170" customWidth="1"/>
    <col min="3015" max="3015" width="9.28515625" style="170" customWidth="1"/>
    <col min="3016" max="3016" width="9.140625" style="170" customWidth="1"/>
    <col min="3017" max="3018" width="8.85546875" style="170" customWidth="1"/>
    <col min="3019" max="3019" width="9.42578125" style="170" customWidth="1"/>
    <col min="3020" max="3020" width="8.5703125" style="170" customWidth="1"/>
    <col min="3021" max="3021" width="11" style="170" customWidth="1"/>
    <col min="3022" max="3022" width="9.5703125" style="170" customWidth="1"/>
    <col min="3023" max="3024" width="10.140625" style="170" customWidth="1"/>
    <col min="3025" max="3029" width="9.140625" style="170" customWidth="1"/>
    <col min="3030" max="3030" width="5.7109375" style="170" customWidth="1"/>
    <col min="3031" max="3033" width="10.42578125" style="170" customWidth="1"/>
    <col min="3034" max="3034" width="12.5703125" style="170" customWidth="1"/>
    <col min="3035" max="3039" width="9.85546875" style="170" customWidth="1"/>
    <col min="3040" max="3040" width="11.42578125" style="170" customWidth="1"/>
    <col min="3041" max="3043" width="9.85546875" style="170" customWidth="1"/>
    <col min="3044" max="3053" width="9.140625" style="170" customWidth="1"/>
    <col min="3054" max="3054" width="11" style="170" customWidth="1"/>
    <col min="3055" max="3066" width="9.140625" style="170" customWidth="1"/>
    <col min="3067" max="3068" width="11" style="170" customWidth="1"/>
    <col min="3069" max="3069" width="9.140625" style="170" customWidth="1"/>
    <col min="3070" max="3255" width="9.140625" style="170"/>
    <col min="3256" max="3256" width="9.140625" style="170" customWidth="1"/>
    <col min="3257" max="3258" width="6.28515625" style="170" customWidth="1"/>
    <col min="3259" max="3260" width="9.140625" style="170" customWidth="1"/>
    <col min="3261" max="3261" width="10.7109375" style="170" customWidth="1"/>
    <col min="3262" max="3267" width="9.140625" style="170" customWidth="1"/>
    <col min="3268" max="3268" width="9.42578125" style="170" customWidth="1"/>
    <col min="3269" max="3269" width="8.140625" style="170" customWidth="1"/>
    <col min="3270" max="3270" width="9.140625" style="170" customWidth="1"/>
    <col min="3271" max="3271" width="9.28515625" style="170" customWidth="1"/>
    <col min="3272" max="3272" width="9.140625" style="170" customWidth="1"/>
    <col min="3273" max="3274" width="8.85546875" style="170" customWidth="1"/>
    <col min="3275" max="3275" width="9.42578125" style="170" customWidth="1"/>
    <col min="3276" max="3276" width="8.5703125" style="170" customWidth="1"/>
    <col min="3277" max="3277" width="11" style="170" customWidth="1"/>
    <col min="3278" max="3278" width="9.5703125" style="170" customWidth="1"/>
    <col min="3279" max="3280" width="10.140625" style="170" customWidth="1"/>
    <col min="3281" max="3285" width="9.140625" style="170" customWidth="1"/>
    <col min="3286" max="3286" width="5.7109375" style="170" customWidth="1"/>
    <col min="3287" max="3289" width="10.42578125" style="170" customWidth="1"/>
    <col min="3290" max="3290" width="12.5703125" style="170" customWidth="1"/>
    <col min="3291" max="3295" width="9.85546875" style="170" customWidth="1"/>
    <col min="3296" max="3296" width="11.42578125" style="170" customWidth="1"/>
    <col min="3297" max="3299" width="9.85546875" style="170" customWidth="1"/>
    <col min="3300" max="3309" width="9.140625" style="170" customWidth="1"/>
    <col min="3310" max="3310" width="11" style="170" customWidth="1"/>
    <col min="3311" max="3322" width="9.140625" style="170" customWidth="1"/>
    <col min="3323" max="3324" width="11" style="170" customWidth="1"/>
    <col min="3325" max="3325" width="9.140625" style="170" customWidth="1"/>
    <col min="3326" max="3511" width="9.140625" style="170"/>
    <col min="3512" max="3512" width="9.140625" style="170" customWidth="1"/>
    <col min="3513" max="3514" width="6.28515625" style="170" customWidth="1"/>
    <col min="3515" max="3516" width="9.140625" style="170" customWidth="1"/>
    <col min="3517" max="3517" width="10.7109375" style="170" customWidth="1"/>
    <col min="3518" max="3523" width="9.140625" style="170" customWidth="1"/>
    <col min="3524" max="3524" width="9.42578125" style="170" customWidth="1"/>
    <col min="3525" max="3525" width="8.140625" style="170" customWidth="1"/>
    <col min="3526" max="3526" width="9.140625" style="170" customWidth="1"/>
    <col min="3527" max="3527" width="9.28515625" style="170" customWidth="1"/>
    <col min="3528" max="3528" width="9.140625" style="170" customWidth="1"/>
    <col min="3529" max="3530" width="8.85546875" style="170" customWidth="1"/>
    <col min="3531" max="3531" width="9.42578125" style="170" customWidth="1"/>
    <col min="3532" max="3532" width="8.5703125" style="170" customWidth="1"/>
    <col min="3533" max="3533" width="11" style="170" customWidth="1"/>
    <col min="3534" max="3534" width="9.5703125" style="170" customWidth="1"/>
    <col min="3535" max="3536" width="10.140625" style="170" customWidth="1"/>
    <col min="3537" max="3541" width="9.140625" style="170" customWidth="1"/>
    <col min="3542" max="3542" width="5.7109375" style="170" customWidth="1"/>
    <col min="3543" max="3545" width="10.42578125" style="170" customWidth="1"/>
    <col min="3546" max="3546" width="12.5703125" style="170" customWidth="1"/>
    <col min="3547" max="3551" width="9.85546875" style="170" customWidth="1"/>
    <col min="3552" max="3552" width="11.42578125" style="170" customWidth="1"/>
    <col min="3553" max="3555" width="9.85546875" style="170" customWidth="1"/>
    <col min="3556" max="3565" width="9.140625" style="170" customWidth="1"/>
    <col min="3566" max="3566" width="11" style="170" customWidth="1"/>
    <col min="3567" max="3578" width="9.140625" style="170" customWidth="1"/>
    <col min="3579" max="3580" width="11" style="170" customWidth="1"/>
    <col min="3581" max="3581" width="9.140625" style="170" customWidth="1"/>
    <col min="3582" max="3767" width="9.140625" style="170"/>
    <col min="3768" max="3768" width="9.140625" style="170" customWidth="1"/>
    <col min="3769" max="3770" width="6.28515625" style="170" customWidth="1"/>
    <col min="3771" max="3772" width="9.140625" style="170" customWidth="1"/>
    <col min="3773" max="3773" width="10.7109375" style="170" customWidth="1"/>
    <col min="3774" max="3779" width="9.140625" style="170" customWidth="1"/>
    <col min="3780" max="3780" width="9.42578125" style="170" customWidth="1"/>
    <col min="3781" max="3781" width="8.140625" style="170" customWidth="1"/>
    <col min="3782" max="3782" width="9.140625" style="170" customWidth="1"/>
    <col min="3783" max="3783" width="9.28515625" style="170" customWidth="1"/>
    <col min="3784" max="3784" width="9.140625" style="170" customWidth="1"/>
    <col min="3785" max="3786" width="8.85546875" style="170" customWidth="1"/>
    <col min="3787" max="3787" width="9.42578125" style="170" customWidth="1"/>
    <col min="3788" max="3788" width="8.5703125" style="170" customWidth="1"/>
    <col min="3789" max="3789" width="11" style="170" customWidth="1"/>
    <col min="3790" max="3790" width="9.5703125" style="170" customWidth="1"/>
    <col min="3791" max="3792" width="10.140625" style="170" customWidth="1"/>
    <col min="3793" max="3797" width="9.140625" style="170" customWidth="1"/>
    <col min="3798" max="3798" width="5.7109375" style="170" customWidth="1"/>
    <col min="3799" max="3801" width="10.42578125" style="170" customWidth="1"/>
    <col min="3802" max="3802" width="12.5703125" style="170" customWidth="1"/>
    <col min="3803" max="3807" width="9.85546875" style="170" customWidth="1"/>
    <col min="3808" max="3808" width="11.42578125" style="170" customWidth="1"/>
    <col min="3809" max="3811" width="9.85546875" style="170" customWidth="1"/>
    <col min="3812" max="3821" width="9.140625" style="170" customWidth="1"/>
    <col min="3822" max="3822" width="11" style="170" customWidth="1"/>
    <col min="3823" max="3834" width="9.140625" style="170" customWidth="1"/>
    <col min="3835" max="3836" width="11" style="170" customWidth="1"/>
    <col min="3837" max="3837" width="9.140625" style="170" customWidth="1"/>
    <col min="3838" max="4023" width="9.140625" style="170"/>
    <col min="4024" max="4024" width="9.140625" style="170" customWidth="1"/>
    <col min="4025" max="4026" width="6.28515625" style="170" customWidth="1"/>
    <col min="4027" max="4028" width="9.140625" style="170" customWidth="1"/>
    <col min="4029" max="4029" width="10.7109375" style="170" customWidth="1"/>
    <col min="4030" max="4035" width="9.140625" style="170" customWidth="1"/>
    <col min="4036" max="4036" width="9.42578125" style="170" customWidth="1"/>
    <col min="4037" max="4037" width="8.140625" style="170" customWidth="1"/>
    <col min="4038" max="4038" width="9.140625" style="170" customWidth="1"/>
    <col min="4039" max="4039" width="9.28515625" style="170" customWidth="1"/>
    <col min="4040" max="4040" width="9.140625" style="170" customWidth="1"/>
    <col min="4041" max="4042" width="8.85546875" style="170" customWidth="1"/>
    <col min="4043" max="4043" width="9.42578125" style="170" customWidth="1"/>
    <col min="4044" max="4044" width="8.5703125" style="170" customWidth="1"/>
    <col min="4045" max="4045" width="11" style="170" customWidth="1"/>
    <col min="4046" max="4046" width="9.5703125" style="170" customWidth="1"/>
    <col min="4047" max="4048" width="10.140625" style="170" customWidth="1"/>
    <col min="4049" max="4053" width="9.140625" style="170" customWidth="1"/>
    <col min="4054" max="4054" width="5.7109375" style="170" customWidth="1"/>
    <col min="4055" max="4057" width="10.42578125" style="170" customWidth="1"/>
    <col min="4058" max="4058" width="12.5703125" style="170" customWidth="1"/>
    <col min="4059" max="4063" width="9.85546875" style="170" customWidth="1"/>
    <col min="4064" max="4064" width="11.42578125" style="170" customWidth="1"/>
    <col min="4065" max="4067" width="9.85546875" style="170" customWidth="1"/>
    <col min="4068" max="4077" width="9.140625" style="170" customWidth="1"/>
    <col min="4078" max="4078" width="11" style="170" customWidth="1"/>
    <col min="4079" max="4090" width="9.140625" style="170" customWidth="1"/>
    <col min="4091" max="4092" width="11" style="170" customWidth="1"/>
    <col min="4093" max="4093" width="9.140625" style="170" customWidth="1"/>
    <col min="4094" max="4279" width="9.140625" style="170"/>
    <col min="4280" max="4280" width="9.140625" style="170" customWidth="1"/>
    <col min="4281" max="4282" width="6.28515625" style="170" customWidth="1"/>
    <col min="4283" max="4284" width="9.140625" style="170" customWidth="1"/>
    <col min="4285" max="4285" width="10.7109375" style="170" customWidth="1"/>
    <col min="4286" max="4291" width="9.140625" style="170" customWidth="1"/>
    <col min="4292" max="4292" width="9.42578125" style="170" customWidth="1"/>
    <col min="4293" max="4293" width="8.140625" style="170" customWidth="1"/>
    <col min="4294" max="4294" width="9.140625" style="170" customWidth="1"/>
    <col min="4295" max="4295" width="9.28515625" style="170" customWidth="1"/>
    <col min="4296" max="4296" width="9.140625" style="170" customWidth="1"/>
    <col min="4297" max="4298" width="8.85546875" style="170" customWidth="1"/>
    <col min="4299" max="4299" width="9.42578125" style="170" customWidth="1"/>
    <col min="4300" max="4300" width="8.5703125" style="170" customWidth="1"/>
    <col min="4301" max="4301" width="11" style="170" customWidth="1"/>
    <col min="4302" max="4302" width="9.5703125" style="170" customWidth="1"/>
    <col min="4303" max="4304" width="10.140625" style="170" customWidth="1"/>
    <col min="4305" max="4309" width="9.140625" style="170" customWidth="1"/>
    <col min="4310" max="4310" width="5.7109375" style="170" customWidth="1"/>
    <col min="4311" max="4313" width="10.42578125" style="170" customWidth="1"/>
    <col min="4314" max="4314" width="12.5703125" style="170" customWidth="1"/>
    <col min="4315" max="4319" width="9.85546875" style="170" customWidth="1"/>
    <col min="4320" max="4320" width="11.42578125" style="170" customWidth="1"/>
    <col min="4321" max="4323" width="9.85546875" style="170" customWidth="1"/>
    <col min="4324" max="4333" width="9.140625" style="170" customWidth="1"/>
    <col min="4334" max="4334" width="11" style="170" customWidth="1"/>
    <col min="4335" max="4346" width="9.140625" style="170" customWidth="1"/>
    <col min="4347" max="4348" width="11" style="170" customWidth="1"/>
    <col min="4349" max="4349" width="9.140625" style="170" customWidth="1"/>
    <col min="4350" max="4535" width="9.140625" style="170"/>
    <col min="4536" max="4536" width="9.140625" style="170" customWidth="1"/>
    <col min="4537" max="4538" width="6.28515625" style="170" customWidth="1"/>
    <col min="4539" max="4540" width="9.140625" style="170" customWidth="1"/>
    <col min="4541" max="4541" width="10.7109375" style="170" customWidth="1"/>
    <col min="4542" max="4547" width="9.140625" style="170" customWidth="1"/>
    <col min="4548" max="4548" width="9.42578125" style="170" customWidth="1"/>
    <col min="4549" max="4549" width="8.140625" style="170" customWidth="1"/>
    <col min="4550" max="4550" width="9.140625" style="170" customWidth="1"/>
    <col min="4551" max="4551" width="9.28515625" style="170" customWidth="1"/>
    <col min="4552" max="4552" width="9.140625" style="170" customWidth="1"/>
    <col min="4553" max="4554" width="8.85546875" style="170" customWidth="1"/>
    <col min="4555" max="4555" width="9.42578125" style="170" customWidth="1"/>
    <col min="4556" max="4556" width="8.5703125" style="170" customWidth="1"/>
    <col min="4557" max="4557" width="11" style="170" customWidth="1"/>
    <col min="4558" max="4558" width="9.5703125" style="170" customWidth="1"/>
    <col min="4559" max="4560" width="10.140625" style="170" customWidth="1"/>
    <col min="4561" max="4565" width="9.140625" style="170" customWidth="1"/>
    <col min="4566" max="4566" width="5.7109375" style="170" customWidth="1"/>
    <col min="4567" max="4569" width="10.42578125" style="170" customWidth="1"/>
    <col min="4570" max="4570" width="12.5703125" style="170" customWidth="1"/>
    <col min="4571" max="4575" width="9.85546875" style="170" customWidth="1"/>
    <col min="4576" max="4576" width="11.42578125" style="170" customWidth="1"/>
    <col min="4577" max="4579" width="9.85546875" style="170" customWidth="1"/>
    <col min="4580" max="4589" width="9.140625" style="170" customWidth="1"/>
    <col min="4590" max="4590" width="11" style="170" customWidth="1"/>
    <col min="4591" max="4602" width="9.140625" style="170" customWidth="1"/>
    <col min="4603" max="4604" width="11" style="170" customWidth="1"/>
    <col min="4605" max="4605" width="9.140625" style="170" customWidth="1"/>
    <col min="4606" max="4791" width="9.140625" style="170"/>
    <col min="4792" max="4792" width="9.140625" style="170" customWidth="1"/>
    <col min="4793" max="4794" width="6.28515625" style="170" customWidth="1"/>
    <col min="4795" max="4796" width="9.140625" style="170" customWidth="1"/>
    <col min="4797" max="4797" width="10.7109375" style="170" customWidth="1"/>
    <col min="4798" max="4803" width="9.140625" style="170" customWidth="1"/>
    <col min="4804" max="4804" width="9.42578125" style="170" customWidth="1"/>
    <col min="4805" max="4805" width="8.140625" style="170" customWidth="1"/>
    <col min="4806" max="4806" width="9.140625" style="170" customWidth="1"/>
    <col min="4807" max="4807" width="9.28515625" style="170" customWidth="1"/>
    <col min="4808" max="4808" width="9.140625" style="170" customWidth="1"/>
    <col min="4809" max="4810" width="8.85546875" style="170" customWidth="1"/>
    <col min="4811" max="4811" width="9.42578125" style="170" customWidth="1"/>
    <col min="4812" max="4812" width="8.5703125" style="170" customWidth="1"/>
    <col min="4813" max="4813" width="11" style="170" customWidth="1"/>
    <col min="4814" max="4814" width="9.5703125" style="170" customWidth="1"/>
    <col min="4815" max="4816" width="10.140625" style="170" customWidth="1"/>
    <col min="4817" max="4821" width="9.140625" style="170" customWidth="1"/>
    <col min="4822" max="4822" width="5.7109375" style="170" customWidth="1"/>
    <col min="4823" max="4825" width="10.42578125" style="170" customWidth="1"/>
    <col min="4826" max="4826" width="12.5703125" style="170" customWidth="1"/>
    <col min="4827" max="4831" width="9.85546875" style="170" customWidth="1"/>
    <col min="4832" max="4832" width="11.42578125" style="170" customWidth="1"/>
    <col min="4833" max="4835" width="9.85546875" style="170" customWidth="1"/>
    <col min="4836" max="4845" width="9.140625" style="170" customWidth="1"/>
    <col min="4846" max="4846" width="11" style="170" customWidth="1"/>
    <col min="4847" max="4858" width="9.140625" style="170" customWidth="1"/>
    <col min="4859" max="4860" width="11" style="170" customWidth="1"/>
    <col min="4861" max="4861" width="9.140625" style="170" customWidth="1"/>
    <col min="4862" max="5047" width="9.140625" style="170"/>
    <col min="5048" max="5048" width="9.140625" style="170" customWidth="1"/>
    <col min="5049" max="5050" width="6.28515625" style="170" customWidth="1"/>
    <col min="5051" max="5052" width="9.140625" style="170" customWidth="1"/>
    <col min="5053" max="5053" width="10.7109375" style="170" customWidth="1"/>
    <col min="5054" max="5059" width="9.140625" style="170" customWidth="1"/>
    <col min="5060" max="5060" width="9.42578125" style="170" customWidth="1"/>
    <col min="5061" max="5061" width="8.140625" style="170" customWidth="1"/>
    <col min="5062" max="5062" width="9.140625" style="170" customWidth="1"/>
    <col min="5063" max="5063" width="9.28515625" style="170" customWidth="1"/>
    <col min="5064" max="5064" width="9.140625" style="170" customWidth="1"/>
    <col min="5065" max="5066" width="8.85546875" style="170" customWidth="1"/>
    <col min="5067" max="5067" width="9.42578125" style="170" customWidth="1"/>
    <col min="5068" max="5068" width="8.5703125" style="170" customWidth="1"/>
    <col min="5069" max="5069" width="11" style="170" customWidth="1"/>
    <col min="5070" max="5070" width="9.5703125" style="170" customWidth="1"/>
    <col min="5071" max="5072" width="10.140625" style="170" customWidth="1"/>
    <col min="5073" max="5077" width="9.140625" style="170" customWidth="1"/>
    <col min="5078" max="5078" width="5.7109375" style="170" customWidth="1"/>
    <col min="5079" max="5081" width="10.42578125" style="170" customWidth="1"/>
    <col min="5082" max="5082" width="12.5703125" style="170" customWidth="1"/>
    <col min="5083" max="5087" width="9.85546875" style="170" customWidth="1"/>
    <col min="5088" max="5088" width="11.42578125" style="170" customWidth="1"/>
    <col min="5089" max="5091" width="9.85546875" style="170" customWidth="1"/>
    <col min="5092" max="5101" width="9.140625" style="170" customWidth="1"/>
    <col min="5102" max="5102" width="11" style="170" customWidth="1"/>
    <col min="5103" max="5114" width="9.140625" style="170" customWidth="1"/>
    <col min="5115" max="5116" width="11" style="170" customWidth="1"/>
    <col min="5117" max="5117" width="9.140625" style="170" customWidth="1"/>
    <col min="5118" max="5303" width="9.140625" style="170"/>
    <col min="5304" max="5304" width="9.140625" style="170" customWidth="1"/>
    <col min="5305" max="5306" width="6.28515625" style="170" customWidth="1"/>
    <col min="5307" max="5308" width="9.140625" style="170" customWidth="1"/>
    <col min="5309" max="5309" width="10.7109375" style="170" customWidth="1"/>
    <col min="5310" max="5315" width="9.140625" style="170" customWidth="1"/>
    <col min="5316" max="5316" width="9.42578125" style="170" customWidth="1"/>
    <col min="5317" max="5317" width="8.140625" style="170" customWidth="1"/>
    <col min="5318" max="5318" width="9.140625" style="170" customWidth="1"/>
    <col min="5319" max="5319" width="9.28515625" style="170" customWidth="1"/>
    <col min="5320" max="5320" width="9.140625" style="170" customWidth="1"/>
    <col min="5321" max="5322" width="8.85546875" style="170" customWidth="1"/>
    <col min="5323" max="5323" width="9.42578125" style="170" customWidth="1"/>
    <col min="5324" max="5324" width="8.5703125" style="170" customWidth="1"/>
    <col min="5325" max="5325" width="11" style="170" customWidth="1"/>
    <col min="5326" max="5326" width="9.5703125" style="170" customWidth="1"/>
    <col min="5327" max="5328" width="10.140625" style="170" customWidth="1"/>
    <col min="5329" max="5333" width="9.140625" style="170" customWidth="1"/>
    <col min="5334" max="5334" width="5.7109375" style="170" customWidth="1"/>
    <col min="5335" max="5337" width="10.42578125" style="170" customWidth="1"/>
    <col min="5338" max="5338" width="12.5703125" style="170" customWidth="1"/>
    <col min="5339" max="5343" width="9.85546875" style="170" customWidth="1"/>
    <col min="5344" max="5344" width="11.42578125" style="170" customWidth="1"/>
    <col min="5345" max="5347" width="9.85546875" style="170" customWidth="1"/>
    <col min="5348" max="5357" width="9.140625" style="170" customWidth="1"/>
    <col min="5358" max="5358" width="11" style="170" customWidth="1"/>
    <col min="5359" max="5370" width="9.140625" style="170" customWidth="1"/>
    <col min="5371" max="5372" width="11" style="170" customWidth="1"/>
    <col min="5373" max="5373" width="9.140625" style="170" customWidth="1"/>
    <col min="5374" max="5559" width="9.140625" style="170"/>
    <col min="5560" max="5560" width="9.140625" style="170" customWidth="1"/>
    <col min="5561" max="5562" width="6.28515625" style="170" customWidth="1"/>
    <col min="5563" max="5564" width="9.140625" style="170" customWidth="1"/>
    <col min="5565" max="5565" width="10.7109375" style="170" customWidth="1"/>
    <col min="5566" max="5571" width="9.140625" style="170" customWidth="1"/>
    <col min="5572" max="5572" width="9.42578125" style="170" customWidth="1"/>
    <col min="5573" max="5573" width="8.140625" style="170" customWidth="1"/>
    <col min="5574" max="5574" width="9.140625" style="170" customWidth="1"/>
    <col min="5575" max="5575" width="9.28515625" style="170" customWidth="1"/>
    <col min="5576" max="5576" width="9.140625" style="170" customWidth="1"/>
    <col min="5577" max="5578" width="8.85546875" style="170" customWidth="1"/>
    <col min="5579" max="5579" width="9.42578125" style="170" customWidth="1"/>
    <col min="5580" max="5580" width="8.5703125" style="170" customWidth="1"/>
    <col min="5581" max="5581" width="11" style="170" customWidth="1"/>
    <col min="5582" max="5582" width="9.5703125" style="170" customWidth="1"/>
    <col min="5583" max="5584" width="10.140625" style="170" customWidth="1"/>
    <col min="5585" max="5589" width="9.140625" style="170" customWidth="1"/>
    <col min="5590" max="5590" width="5.7109375" style="170" customWidth="1"/>
    <col min="5591" max="5593" width="10.42578125" style="170" customWidth="1"/>
    <col min="5594" max="5594" width="12.5703125" style="170" customWidth="1"/>
    <col min="5595" max="5599" width="9.85546875" style="170" customWidth="1"/>
    <col min="5600" max="5600" width="11.42578125" style="170" customWidth="1"/>
    <col min="5601" max="5603" width="9.85546875" style="170" customWidth="1"/>
    <col min="5604" max="5613" width="9.140625" style="170" customWidth="1"/>
    <col min="5614" max="5614" width="11" style="170" customWidth="1"/>
    <col min="5615" max="5626" width="9.140625" style="170" customWidth="1"/>
    <col min="5627" max="5628" width="11" style="170" customWidth="1"/>
    <col min="5629" max="5629" width="9.140625" style="170" customWidth="1"/>
    <col min="5630" max="5815" width="9.140625" style="170"/>
    <col min="5816" max="5816" width="9.140625" style="170" customWidth="1"/>
    <col min="5817" max="5818" width="6.28515625" style="170" customWidth="1"/>
    <col min="5819" max="5820" width="9.140625" style="170" customWidth="1"/>
    <col min="5821" max="5821" width="10.7109375" style="170" customWidth="1"/>
    <col min="5822" max="5827" width="9.140625" style="170" customWidth="1"/>
    <col min="5828" max="5828" width="9.42578125" style="170" customWidth="1"/>
    <col min="5829" max="5829" width="8.140625" style="170" customWidth="1"/>
    <col min="5830" max="5830" width="9.140625" style="170" customWidth="1"/>
    <col min="5831" max="5831" width="9.28515625" style="170" customWidth="1"/>
    <col min="5832" max="5832" width="9.140625" style="170" customWidth="1"/>
    <col min="5833" max="5834" width="8.85546875" style="170" customWidth="1"/>
    <col min="5835" max="5835" width="9.42578125" style="170" customWidth="1"/>
    <col min="5836" max="5836" width="8.5703125" style="170" customWidth="1"/>
    <col min="5837" max="5837" width="11" style="170" customWidth="1"/>
    <col min="5838" max="5838" width="9.5703125" style="170" customWidth="1"/>
    <col min="5839" max="5840" width="10.140625" style="170" customWidth="1"/>
    <col min="5841" max="5845" width="9.140625" style="170" customWidth="1"/>
    <col min="5846" max="5846" width="5.7109375" style="170" customWidth="1"/>
    <col min="5847" max="5849" width="10.42578125" style="170" customWidth="1"/>
    <col min="5850" max="5850" width="12.5703125" style="170" customWidth="1"/>
    <col min="5851" max="5855" width="9.85546875" style="170" customWidth="1"/>
    <col min="5856" max="5856" width="11.42578125" style="170" customWidth="1"/>
    <col min="5857" max="5859" width="9.85546875" style="170" customWidth="1"/>
    <col min="5860" max="5869" width="9.140625" style="170" customWidth="1"/>
    <col min="5870" max="5870" width="11" style="170" customWidth="1"/>
    <col min="5871" max="5882" width="9.140625" style="170" customWidth="1"/>
    <col min="5883" max="5884" width="11" style="170" customWidth="1"/>
    <col min="5885" max="5885" width="9.140625" style="170" customWidth="1"/>
    <col min="5886" max="6071" width="9.140625" style="170"/>
    <col min="6072" max="6072" width="9.140625" style="170" customWidth="1"/>
    <col min="6073" max="6074" width="6.28515625" style="170" customWidth="1"/>
    <col min="6075" max="6076" width="9.140625" style="170" customWidth="1"/>
    <col min="6077" max="6077" width="10.7109375" style="170" customWidth="1"/>
    <col min="6078" max="6083" width="9.140625" style="170" customWidth="1"/>
    <col min="6084" max="6084" width="9.42578125" style="170" customWidth="1"/>
    <col min="6085" max="6085" width="8.140625" style="170" customWidth="1"/>
    <col min="6086" max="6086" width="9.140625" style="170" customWidth="1"/>
    <col min="6087" max="6087" width="9.28515625" style="170" customWidth="1"/>
    <col min="6088" max="6088" width="9.140625" style="170" customWidth="1"/>
    <col min="6089" max="6090" width="8.85546875" style="170" customWidth="1"/>
    <col min="6091" max="6091" width="9.42578125" style="170" customWidth="1"/>
    <col min="6092" max="6092" width="8.5703125" style="170" customWidth="1"/>
    <col min="6093" max="6093" width="11" style="170" customWidth="1"/>
    <col min="6094" max="6094" width="9.5703125" style="170" customWidth="1"/>
    <col min="6095" max="6096" width="10.140625" style="170" customWidth="1"/>
    <col min="6097" max="6101" width="9.140625" style="170" customWidth="1"/>
    <col min="6102" max="6102" width="5.7109375" style="170" customWidth="1"/>
    <col min="6103" max="6105" width="10.42578125" style="170" customWidth="1"/>
    <col min="6106" max="6106" width="12.5703125" style="170" customWidth="1"/>
    <col min="6107" max="6111" width="9.85546875" style="170" customWidth="1"/>
    <col min="6112" max="6112" width="11.42578125" style="170" customWidth="1"/>
    <col min="6113" max="6115" width="9.85546875" style="170" customWidth="1"/>
    <col min="6116" max="6125" width="9.140625" style="170" customWidth="1"/>
    <col min="6126" max="6126" width="11" style="170" customWidth="1"/>
    <col min="6127" max="6138" width="9.140625" style="170" customWidth="1"/>
    <col min="6139" max="6140" width="11" style="170" customWidth="1"/>
    <col min="6141" max="6141" width="9.140625" style="170" customWidth="1"/>
    <col min="6142" max="6327" width="9.140625" style="170"/>
    <col min="6328" max="6328" width="9.140625" style="170" customWidth="1"/>
    <col min="6329" max="6330" width="6.28515625" style="170" customWidth="1"/>
    <col min="6331" max="6332" width="9.140625" style="170" customWidth="1"/>
    <col min="6333" max="6333" width="10.7109375" style="170" customWidth="1"/>
    <col min="6334" max="6339" width="9.140625" style="170" customWidth="1"/>
    <col min="6340" max="6340" width="9.42578125" style="170" customWidth="1"/>
    <col min="6341" max="6341" width="8.140625" style="170" customWidth="1"/>
    <col min="6342" max="6342" width="9.140625" style="170" customWidth="1"/>
    <col min="6343" max="6343" width="9.28515625" style="170" customWidth="1"/>
    <col min="6344" max="6344" width="9.140625" style="170" customWidth="1"/>
    <col min="6345" max="6346" width="8.85546875" style="170" customWidth="1"/>
    <col min="6347" max="6347" width="9.42578125" style="170" customWidth="1"/>
    <col min="6348" max="6348" width="8.5703125" style="170" customWidth="1"/>
    <col min="6349" max="6349" width="11" style="170" customWidth="1"/>
    <col min="6350" max="6350" width="9.5703125" style="170" customWidth="1"/>
    <col min="6351" max="6352" width="10.140625" style="170" customWidth="1"/>
    <col min="6353" max="6357" width="9.140625" style="170" customWidth="1"/>
    <col min="6358" max="6358" width="5.7109375" style="170" customWidth="1"/>
    <col min="6359" max="6361" width="10.42578125" style="170" customWidth="1"/>
    <col min="6362" max="6362" width="12.5703125" style="170" customWidth="1"/>
    <col min="6363" max="6367" width="9.85546875" style="170" customWidth="1"/>
    <col min="6368" max="6368" width="11.42578125" style="170" customWidth="1"/>
    <col min="6369" max="6371" width="9.85546875" style="170" customWidth="1"/>
    <col min="6372" max="6381" width="9.140625" style="170" customWidth="1"/>
    <col min="6382" max="6382" width="11" style="170" customWidth="1"/>
    <col min="6383" max="6394" width="9.140625" style="170" customWidth="1"/>
    <col min="6395" max="6396" width="11" style="170" customWidth="1"/>
    <col min="6397" max="6397" width="9.140625" style="170" customWidth="1"/>
    <col min="6398" max="6583" width="9.140625" style="170"/>
    <col min="6584" max="6584" width="9.140625" style="170" customWidth="1"/>
    <col min="6585" max="6586" width="6.28515625" style="170" customWidth="1"/>
    <col min="6587" max="6588" width="9.140625" style="170" customWidth="1"/>
    <col min="6589" max="6589" width="10.7109375" style="170" customWidth="1"/>
    <col min="6590" max="6595" width="9.140625" style="170" customWidth="1"/>
    <col min="6596" max="6596" width="9.42578125" style="170" customWidth="1"/>
    <col min="6597" max="6597" width="8.140625" style="170" customWidth="1"/>
    <col min="6598" max="6598" width="9.140625" style="170" customWidth="1"/>
    <col min="6599" max="6599" width="9.28515625" style="170" customWidth="1"/>
    <col min="6600" max="6600" width="9.140625" style="170" customWidth="1"/>
    <col min="6601" max="6602" width="8.85546875" style="170" customWidth="1"/>
    <col min="6603" max="6603" width="9.42578125" style="170" customWidth="1"/>
    <col min="6604" max="6604" width="8.5703125" style="170" customWidth="1"/>
    <col min="6605" max="6605" width="11" style="170" customWidth="1"/>
    <col min="6606" max="6606" width="9.5703125" style="170" customWidth="1"/>
    <col min="6607" max="6608" width="10.140625" style="170" customWidth="1"/>
    <col min="6609" max="6613" width="9.140625" style="170" customWidth="1"/>
    <col min="6614" max="6614" width="5.7109375" style="170" customWidth="1"/>
    <col min="6615" max="6617" width="10.42578125" style="170" customWidth="1"/>
    <col min="6618" max="6618" width="12.5703125" style="170" customWidth="1"/>
    <col min="6619" max="6623" width="9.85546875" style="170" customWidth="1"/>
    <col min="6624" max="6624" width="11.42578125" style="170" customWidth="1"/>
    <col min="6625" max="6627" width="9.85546875" style="170" customWidth="1"/>
    <col min="6628" max="6637" width="9.140625" style="170" customWidth="1"/>
    <col min="6638" max="6638" width="11" style="170" customWidth="1"/>
    <col min="6639" max="6650" width="9.140625" style="170" customWidth="1"/>
    <col min="6651" max="6652" width="11" style="170" customWidth="1"/>
    <col min="6653" max="6653" width="9.140625" style="170" customWidth="1"/>
    <col min="6654" max="6839" width="9.140625" style="170"/>
    <col min="6840" max="6840" width="9.140625" style="170" customWidth="1"/>
    <col min="6841" max="6842" width="6.28515625" style="170" customWidth="1"/>
    <col min="6843" max="6844" width="9.140625" style="170" customWidth="1"/>
    <col min="6845" max="6845" width="10.7109375" style="170" customWidth="1"/>
    <col min="6846" max="6851" width="9.140625" style="170" customWidth="1"/>
    <col min="6852" max="6852" width="9.42578125" style="170" customWidth="1"/>
    <col min="6853" max="6853" width="8.140625" style="170" customWidth="1"/>
    <col min="6854" max="6854" width="9.140625" style="170" customWidth="1"/>
    <col min="6855" max="6855" width="9.28515625" style="170" customWidth="1"/>
    <col min="6856" max="6856" width="9.140625" style="170" customWidth="1"/>
    <col min="6857" max="6858" width="8.85546875" style="170" customWidth="1"/>
    <col min="6859" max="6859" width="9.42578125" style="170" customWidth="1"/>
    <col min="6860" max="6860" width="8.5703125" style="170" customWidth="1"/>
    <col min="6861" max="6861" width="11" style="170" customWidth="1"/>
    <col min="6862" max="6862" width="9.5703125" style="170" customWidth="1"/>
    <col min="6863" max="6864" width="10.140625" style="170" customWidth="1"/>
    <col min="6865" max="6869" width="9.140625" style="170" customWidth="1"/>
    <col min="6870" max="6870" width="5.7109375" style="170" customWidth="1"/>
    <col min="6871" max="6873" width="10.42578125" style="170" customWidth="1"/>
    <col min="6874" max="6874" width="12.5703125" style="170" customWidth="1"/>
    <col min="6875" max="6879" width="9.85546875" style="170" customWidth="1"/>
    <col min="6880" max="6880" width="11.42578125" style="170" customWidth="1"/>
    <col min="6881" max="6883" width="9.85546875" style="170" customWidth="1"/>
    <col min="6884" max="6893" width="9.140625" style="170" customWidth="1"/>
    <col min="6894" max="6894" width="11" style="170" customWidth="1"/>
    <col min="6895" max="6906" width="9.140625" style="170" customWidth="1"/>
    <col min="6907" max="6908" width="11" style="170" customWidth="1"/>
    <col min="6909" max="6909" width="9.140625" style="170" customWidth="1"/>
    <col min="6910" max="7095" width="9.140625" style="170"/>
    <col min="7096" max="7096" width="9.140625" style="170" customWidth="1"/>
    <col min="7097" max="7098" width="6.28515625" style="170" customWidth="1"/>
    <col min="7099" max="7100" width="9.140625" style="170" customWidth="1"/>
    <col min="7101" max="7101" width="10.7109375" style="170" customWidth="1"/>
    <col min="7102" max="7107" width="9.140625" style="170" customWidth="1"/>
    <col min="7108" max="7108" width="9.42578125" style="170" customWidth="1"/>
    <col min="7109" max="7109" width="8.140625" style="170" customWidth="1"/>
    <col min="7110" max="7110" width="9.140625" style="170" customWidth="1"/>
    <col min="7111" max="7111" width="9.28515625" style="170" customWidth="1"/>
    <col min="7112" max="7112" width="9.140625" style="170" customWidth="1"/>
    <col min="7113" max="7114" width="8.85546875" style="170" customWidth="1"/>
    <col min="7115" max="7115" width="9.42578125" style="170" customWidth="1"/>
    <col min="7116" max="7116" width="8.5703125" style="170" customWidth="1"/>
    <col min="7117" max="7117" width="11" style="170" customWidth="1"/>
    <col min="7118" max="7118" width="9.5703125" style="170" customWidth="1"/>
    <col min="7119" max="7120" width="10.140625" style="170" customWidth="1"/>
    <col min="7121" max="7125" width="9.140625" style="170" customWidth="1"/>
    <col min="7126" max="7126" width="5.7109375" style="170" customWidth="1"/>
    <col min="7127" max="7129" width="10.42578125" style="170" customWidth="1"/>
    <col min="7130" max="7130" width="12.5703125" style="170" customWidth="1"/>
    <col min="7131" max="7135" width="9.85546875" style="170" customWidth="1"/>
    <col min="7136" max="7136" width="11.42578125" style="170" customWidth="1"/>
    <col min="7137" max="7139" width="9.85546875" style="170" customWidth="1"/>
    <col min="7140" max="7149" width="9.140625" style="170" customWidth="1"/>
    <col min="7150" max="7150" width="11" style="170" customWidth="1"/>
    <col min="7151" max="7162" width="9.140625" style="170" customWidth="1"/>
    <col min="7163" max="7164" width="11" style="170" customWidth="1"/>
    <col min="7165" max="7165" width="9.140625" style="170" customWidth="1"/>
    <col min="7166" max="7351" width="9.140625" style="170"/>
    <col min="7352" max="7352" width="9.140625" style="170" customWidth="1"/>
    <col min="7353" max="7354" width="6.28515625" style="170" customWidth="1"/>
    <col min="7355" max="7356" width="9.140625" style="170" customWidth="1"/>
    <col min="7357" max="7357" width="10.7109375" style="170" customWidth="1"/>
    <col min="7358" max="7363" width="9.140625" style="170" customWidth="1"/>
    <col min="7364" max="7364" width="9.42578125" style="170" customWidth="1"/>
    <col min="7365" max="7365" width="8.140625" style="170" customWidth="1"/>
    <col min="7366" max="7366" width="9.140625" style="170" customWidth="1"/>
    <col min="7367" max="7367" width="9.28515625" style="170" customWidth="1"/>
    <col min="7368" max="7368" width="9.140625" style="170" customWidth="1"/>
    <col min="7369" max="7370" width="8.85546875" style="170" customWidth="1"/>
    <col min="7371" max="7371" width="9.42578125" style="170" customWidth="1"/>
    <col min="7372" max="7372" width="8.5703125" style="170" customWidth="1"/>
    <col min="7373" max="7373" width="11" style="170" customWidth="1"/>
    <col min="7374" max="7374" width="9.5703125" style="170" customWidth="1"/>
    <col min="7375" max="7376" width="10.140625" style="170" customWidth="1"/>
    <col min="7377" max="7381" width="9.140625" style="170" customWidth="1"/>
    <col min="7382" max="7382" width="5.7109375" style="170" customWidth="1"/>
    <col min="7383" max="7385" width="10.42578125" style="170" customWidth="1"/>
    <col min="7386" max="7386" width="12.5703125" style="170" customWidth="1"/>
    <col min="7387" max="7391" width="9.85546875" style="170" customWidth="1"/>
    <col min="7392" max="7392" width="11.42578125" style="170" customWidth="1"/>
    <col min="7393" max="7395" width="9.85546875" style="170" customWidth="1"/>
    <col min="7396" max="7405" width="9.140625" style="170" customWidth="1"/>
    <col min="7406" max="7406" width="11" style="170" customWidth="1"/>
    <col min="7407" max="7418" width="9.140625" style="170" customWidth="1"/>
    <col min="7419" max="7420" width="11" style="170" customWidth="1"/>
    <col min="7421" max="7421" width="9.140625" style="170" customWidth="1"/>
    <col min="7422" max="7607" width="9.140625" style="170"/>
    <col min="7608" max="7608" width="9.140625" style="170" customWidth="1"/>
    <col min="7609" max="7610" width="6.28515625" style="170" customWidth="1"/>
    <col min="7611" max="7612" width="9.140625" style="170" customWidth="1"/>
    <col min="7613" max="7613" width="10.7109375" style="170" customWidth="1"/>
    <col min="7614" max="7619" width="9.140625" style="170" customWidth="1"/>
    <col min="7620" max="7620" width="9.42578125" style="170" customWidth="1"/>
    <col min="7621" max="7621" width="8.140625" style="170" customWidth="1"/>
    <col min="7622" max="7622" width="9.140625" style="170" customWidth="1"/>
    <col min="7623" max="7623" width="9.28515625" style="170" customWidth="1"/>
    <col min="7624" max="7624" width="9.140625" style="170" customWidth="1"/>
    <col min="7625" max="7626" width="8.85546875" style="170" customWidth="1"/>
    <col min="7627" max="7627" width="9.42578125" style="170" customWidth="1"/>
    <col min="7628" max="7628" width="8.5703125" style="170" customWidth="1"/>
    <col min="7629" max="7629" width="11" style="170" customWidth="1"/>
    <col min="7630" max="7630" width="9.5703125" style="170" customWidth="1"/>
    <col min="7631" max="7632" width="10.140625" style="170" customWidth="1"/>
    <col min="7633" max="7637" width="9.140625" style="170" customWidth="1"/>
    <col min="7638" max="7638" width="5.7109375" style="170" customWidth="1"/>
    <col min="7639" max="7641" width="10.42578125" style="170" customWidth="1"/>
    <col min="7642" max="7642" width="12.5703125" style="170" customWidth="1"/>
    <col min="7643" max="7647" width="9.85546875" style="170" customWidth="1"/>
    <col min="7648" max="7648" width="11.42578125" style="170" customWidth="1"/>
    <col min="7649" max="7651" width="9.85546875" style="170" customWidth="1"/>
    <col min="7652" max="7661" width="9.140625" style="170" customWidth="1"/>
    <col min="7662" max="7662" width="11" style="170" customWidth="1"/>
    <col min="7663" max="7674" width="9.140625" style="170" customWidth="1"/>
    <col min="7675" max="7676" width="11" style="170" customWidth="1"/>
    <col min="7677" max="7677" width="9.140625" style="170" customWidth="1"/>
    <col min="7678" max="7863" width="9.140625" style="170"/>
    <col min="7864" max="7864" width="9.140625" style="170" customWidth="1"/>
    <col min="7865" max="7866" width="6.28515625" style="170" customWidth="1"/>
    <col min="7867" max="7868" width="9.140625" style="170" customWidth="1"/>
    <col min="7869" max="7869" width="10.7109375" style="170" customWidth="1"/>
    <col min="7870" max="7875" width="9.140625" style="170" customWidth="1"/>
    <col min="7876" max="7876" width="9.42578125" style="170" customWidth="1"/>
    <col min="7877" max="7877" width="8.140625" style="170" customWidth="1"/>
    <col min="7878" max="7878" width="9.140625" style="170" customWidth="1"/>
    <col min="7879" max="7879" width="9.28515625" style="170" customWidth="1"/>
    <col min="7880" max="7880" width="9.140625" style="170" customWidth="1"/>
    <col min="7881" max="7882" width="8.85546875" style="170" customWidth="1"/>
    <col min="7883" max="7883" width="9.42578125" style="170" customWidth="1"/>
    <col min="7884" max="7884" width="8.5703125" style="170" customWidth="1"/>
    <col min="7885" max="7885" width="11" style="170" customWidth="1"/>
    <col min="7886" max="7886" width="9.5703125" style="170" customWidth="1"/>
    <col min="7887" max="7888" width="10.140625" style="170" customWidth="1"/>
    <col min="7889" max="7893" width="9.140625" style="170" customWidth="1"/>
    <col min="7894" max="7894" width="5.7109375" style="170" customWidth="1"/>
    <col min="7895" max="7897" width="10.42578125" style="170" customWidth="1"/>
    <col min="7898" max="7898" width="12.5703125" style="170" customWidth="1"/>
    <col min="7899" max="7903" width="9.85546875" style="170" customWidth="1"/>
    <col min="7904" max="7904" width="11.42578125" style="170" customWidth="1"/>
    <col min="7905" max="7907" width="9.85546875" style="170" customWidth="1"/>
    <col min="7908" max="7917" width="9.140625" style="170" customWidth="1"/>
    <col min="7918" max="7918" width="11" style="170" customWidth="1"/>
    <col min="7919" max="7930" width="9.140625" style="170" customWidth="1"/>
    <col min="7931" max="7932" width="11" style="170" customWidth="1"/>
    <col min="7933" max="7933" width="9.140625" style="170" customWidth="1"/>
    <col min="7934" max="8119" width="9.140625" style="170"/>
    <col min="8120" max="8120" width="9.140625" style="170" customWidth="1"/>
    <col min="8121" max="8122" width="6.28515625" style="170" customWidth="1"/>
    <col min="8123" max="8124" width="9.140625" style="170" customWidth="1"/>
    <col min="8125" max="8125" width="10.7109375" style="170" customWidth="1"/>
    <col min="8126" max="8131" width="9.140625" style="170" customWidth="1"/>
    <col min="8132" max="8132" width="9.42578125" style="170" customWidth="1"/>
    <col min="8133" max="8133" width="8.140625" style="170" customWidth="1"/>
    <col min="8134" max="8134" width="9.140625" style="170" customWidth="1"/>
    <col min="8135" max="8135" width="9.28515625" style="170" customWidth="1"/>
    <col min="8136" max="8136" width="9.140625" style="170" customWidth="1"/>
    <col min="8137" max="8138" width="8.85546875" style="170" customWidth="1"/>
    <col min="8139" max="8139" width="9.42578125" style="170" customWidth="1"/>
    <col min="8140" max="8140" width="8.5703125" style="170" customWidth="1"/>
    <col min="8141" max="8141" width="11" style="170" customWidth="1"/>
    <col min="8142" max="8142" width="9.5703125" style="170" customWidth="1"/>
    <col min="8143" max="8144" width="10.140625" style="170" customWidth="1"/>
    <col min="8145" max="8149" width="9.140625" style="170" customWidth="1"/>
    <col min="8150" max="8150" width="5.7109375" style="170" customWidth="1"/>
    <col min="8151" max="8153" width="10.42578125" style="170" customWidth="1"/>
    <col min="8154" max="8154" width="12.5703125" style="170" customWidth="1"/>
    <col min="8155" max="8159" width="9.85546875" style="170" customWidth="1"/>
    <col min="8160" max="8160" width="11.42578125" style="170" customWidth="1"/>
    <col min="8161" max="8163" width="9.85546875" style="170" customWidth="1"/>
    <col min="8164" max="8173" width="9.140625" style="170" customWidth="1"/>
    <col min="8174" max="8174" width="11" style="170" customWidth="1"/>
    <col min="8175" max="8186" width="9.140625" style="170" customWidth="1"/>
    <col min="8187" max="8188" width="11" style="170" customWidth="1"/>
    <col min="8189" max="8189" width="9.140625" style="170" customWidth="1"/>
    <col min="8190" max="8375" width="9.140625" style="170"/>
    <col min="8376" max="8376" width="9.140625" style="170" customWidth="1"/>
    <col min="8377" max="8378" width="6.28515625" style="170" customWidth="1"/>
    <col min="8379" max="8380" width="9.140625" style="170" customWidth="1"/>
    <col min="8381" max="8381" width="10.7109375" style="170" customWidth="1"/>
    <col min="8382" max="8387" width="9.140625" style="170" customWidth="1"/>
    <col min="8388" max="8388" width="9.42578125" style="170" customWidth="1"/>
    <col min="8389" max="8389" width="8.140625" style="170" customWidth="1"/>
    <col min="8390" max="8390" width="9.140625" style="170" customWidth="1"/>
    <col min="8391" max="8391" width="9.28515625" style="170" customWidth="1"/>
    <col min="8392" max="8392" width="9.140625" style="170" customWidth="1"/>
    <col min="8393" max="8394" width="8.85546875" style="170" customWidth="1"/>
    <col min="8395" max="8395" width="9.42578125" style="170" customWidth="1"/>
    <col min="8396" max="8396" width="8.5703125" style="170" customWidth="1"/>
    <col min="8397" max="8397" width="11" style="170" customWidth="1"/>
    <col min="8398" max="8398" width="9.5703125" style="170" customWidth="1"/>
    <col min="8399" max="8400" width="10.140625" style="170" customWidth="1"/>
    <col min="8401" max="8405" width="9.140625" style="170" customWidth="1"/>
    <col min="8406" max="8406" width="5.7109375" style="170" customWidth="1"/>
    <col min="8407" max="8409" width="10.42578125" style="170" customWidth="1"/>
    <col min="8410" max="8410" width="12.5703125" style="170" customWidth="1"/>
    <col min="8411" max="8415" width="9.85546875" style="170" customWidth="1"/>
    <col min="8416" max="8416" width="11.42578125" style="170" customWidth="1"/>
    <col min="8417" max="8419" width="9.85546875" style="170" customWidth="1"/>
    <col min="8420" max="8429" width="9.140625" style="170" customWidth="1"/>
    <col min="8430" max="8430" width="11" style="170" customWidth="1"/>
    <col min="8431" max="8442" width="9.140625" style="170" customWidth="1"/>
    <col min="8443" max="8444" width="11" style="170" customWidth="1"/>
    <col min="8445" max="8445" width="9.140625" style="170" customWidth="1"/>
    <col min="8446" max="8631" width="9.140625" style="170"/>
    <col min="8632" max="8632" width="9.140625" style="170" customWidth="1"/>
    <col min="8633" max="8634" width="6.28515625" style="170" customWidth="1"/>
    <col min="8635" max="8636" width="9.140625" style="170" customWidth="1"/>
    <col min="8637" max="8637" width="10.7109375" style="170" customWidth="1"/>
    <col min="8638" max="8643" width="9.140625" style="170" customWidth="1"/>
    <col min="8644" max="8644" width="9.42578125" style="170" customWidth="1"/>
    <col min="8645" max="8645" width="8.140625" style="170" customWidth="1"/>
    <col min="8646" max="8646" width="9.140625" style="170" customWidth="1"/>
    <col min="8647" max="8647" width="9.28515625" style="170" customWidth="1"/>
    <col min="8648" max="8648" width="9.140625" style="170" customWidth="1"/>
    <col min="8649" max="8650" width="8.85546875" style="170" customWidth="1"/>
    <col min="8651" max="8651" width="9.42578125" style="170" customWidth="1"/>
    <col min="8652" max="8652" width="8.5703125" style="170" customWidth="1"/>
    <col min="8653" max="8653" width="11" style="170" customWidth="1"/>
    <col min="8654" max="8654" width="9.5703125" style="170" customWidth="1"/>
    <col min="8655" max="8656" width="10.140625" style="170" customWidth="1"/>
    <col min="8657" max="8661" width="9.140625" style="170" customWidth="1"/>
    <col min="8662" max="8662" width="5.7109375" style="170" customWidth="1"/>
    <col min="8663" max="8665" width="10.42578125" style="170" customWidth="1"/>
    <col min="8666" max="8666" width="12.5703125" style="170" customWidth="1"/>
    <col min="8667" max="8671" width="9.85546875" style="170" customWidth="1"/>
    <col min="8672" max="8672" width="11.42578125" style="170" customWidth="1"/>
    <col min="8673" max="8675" width="9.85546875" style="170" customWidth="1"/>
    <col min="8676" max="8685" width="9.140625" style="170" customWidth="1"/>
    <col min="8686" max="8686" width="11" style="170" customWidth="1"/>
    <col min="8687" max="8698" width="9.140625" style="170" customWidth="1"/>
    <col min="8699" max="8700" width="11" style="170" customWidth="1"/>
    <col min="8701" max="8701" width="9.140625" style="170" customWidth="1"/>
    <col min="8702" max="8887" width="9.140625" style="170"/>
    <col min="8888" max="8888" width="9.140625" style="170" customWidth="1"/>
    <col min="8889" max="8890" width="6.28515625" style="170" customWidth="1"/>
    <col min="8891" max="8892" width="9.140625" style="170" customWidth="1"/>
    <col min="8893" max="8893" width="10.7109375" style="170" customWidth="1"/>
    <col min="8894" max="8899" width="9.140625" style="170" customWidth="1"/>
    <col min="8900" max="8900" width="9.42578125" style="170" customWidth="1"/>
    <col min="8901" max="8901" width="8.140625" style="170" customWidth="1"/>
    <col min="8902" max="8902" width="9.140625" style="170" customWidth="1"/>
    <col min="8903" max="8903" width="9.28515625" style="170" customWidth="1"/>
    <col min="8904" max="8904" width="9.140625" style="170" customWidth="1"/>
    <col min="8905" max="8906" width="8.85546875" style="170" customWidth="1"/>
    <col min="8907" max="8907" width="9.42578125" style="170" customWidth="1"/>
    <col min="8908" max="8908" width="8.5703125" style="170" customWidth="1"/>
    <col min="8909" max="8909" width="11" style="170" customWidth="1"/>
    <col min="8910" max="8910" width="9.5703125" style="170" customWidth="1"/>
    <col min="8911" max="8912" width="10.140625" style="170" customWidth="1"/>
    <col min="8913" max="8917" width="9.140625" style="170" customWidth="1"/>
    <col min="8918" max="8918" width="5.7109375" style="170" customWidth="1"/>
    <col min="8919" max="8921" width="10.42578125" style="170" customWidth="1"/>
    <col min="8922" max="8922" width="12.5703125" style="170" customWidth="1"/>
    <col min="8923" max="8927" width="9.85546875" style="170" customWidth="1"/>
    <col min="8928" max="8928" width="11.42578125" style="170" customWidth="1"/>
    <col min="8929" max="8931" width="9.85546875" style="170" customWidth="1"/>
    <col min="8932" max="8941" width="9.140625" style="170" customWidth="1"/>
    <col min="8942" max="8942" width="11" style="170" customWidth="1"/>
    <col min="8943" max="8954" width="9.140625" style="170" customWidth="1"/>
    <col min="8955" max="8956" width="11" style="170" customWidth="1"/>
    <col min="8957" max="8957" width="9.140625" style="170" customWidth="1"/>
    <col min="8958" max="9143" width="9.140625" style="170"/>
    <col min="9144" max="9144" width="9.140625" style="170" customWidth="1"/>
    <col min="9145" max="9146" width="6.28515625" style="170" customWidth="1"/>
    <col min="9147" max="9148" width="9.140625" style="170" customWidth="1"/>
    <col min="9149" max="9149" width="10.7109375" style="170" customWidth="1"/>
    <col min="9150" max="9155" width="9.140625" style="170" customWidth="1"/>
    <col min="9156" max="9156" width="9.42578125" style="170" customWidth="1"/>
    <col min="9157" max="9157" width="8.140625" style="170" customWidth="1"/>
    <col min="9158" max="9158" width="9.140625" style="170" customWidth="1"/>
    <col min="9159" max="9159" width="9.28515625" style="170" customWidth="1"/>
    <col min="9160" max="9160" width="9.140625" style="170" customWidth="1"/>
    <col min="9161" max="9162" width="8.85546875" style="170" customWidth="1"/>
    <col min="9163" max="9163" width="9.42578125" style="170" customWidth="1"/>
    <col min="9164" max="9164" width="8.5703125" style="170" customWidth="1"/>
    <col min="9165" max="9165" width="11" style="170" customWidth="1"/>
    <col min="9166" max="9166" width="9.5703125" style="170" customWidth="1"/>
    <col min="9167" max="9168" width="10.140625" style="170" customWidth="1"/>
    <col min="9169" max="9173" width="9.140625" style="170" customWidth="1"/>
    <col min="9174" max="9174" width="5.7109375" style="170" customWidth="1"/>
    <col min="9175" max="9177" width="10.42578125" style="170" customWidth="1"/>
    <col min="9178" max="9178" width="12.5703125" style="170" customWidth="1"/>
    <col min="9179" max="9183" width="9.85546875" style="170" customWidth="1"/>
    <col min="9184" max="9184" width="11.42578125" style="170" customWidth="1"/>
    <col min="9185" max="9187" width="9.85546875" style="170" customWidth="1"/>
    <col min="9188" max="9197" width="9.140625" style="170" customWidth="1"/>
    <col min="9198" max="9198" width="11" style="170" customWidth="1"/>
    <col min="9199" max="9210" width="9.140625" style="170" customWidth="1"/>
    <col min="9211" max="9212" width="11" style="170" customWidth="1"/>
    <col min="9213" max="9213" width="9.140625" style="170" customWidth="1"/>
    <col min="9214" max="9399" width="9.140625" style="170"/>
    <col min="9400" max="9400" width="9.140625" style="170" customWidth="1"/>
    <col min="9401" max="9402" width="6.28515625" style="170" customWidth="1"/>
    <col min="9403" max="9404" width="9.140625" style="170" customWidth="1"/>
    <col min="9405" max="9405" width="10.7109375" style="170" customWidth="1"/>
    <col min="9406" max="9411" width="9.140625" style="170" customWidth="1"/>
    <col min="9412" max="9412" width="9.42578125" style="170" customWidth="1"/>
    <col min="9413" max="9413" width="8.140625" style="170" customWidth="1"/>
    <col min="9414" max="9414" width="9.140625" style="170" customWidth="1"/>
    <col min="9415" max="9415" width="9.28515625" style="170" customWidth="1"/>
    <col min="9416" max="9416" width="9.140625" style="170" customWidth="1"/>
    <col min="9417" max="9418" width="8.85546875" style="170" customWidth="1"/>
    <col min="9419" max="9419" width="9.42578125" style="170" customWidth="1"/>
    <col min="9420" max="9420" width="8.5703125" style="170" customWidth="1"/>
    <col min="9421" max="9421" width="11" style="170" customWidth="1"/>
    <col min="9422" max="9422" width="9.5703125" style="170" customWidth="1"/>
    <col min="9423" max="9424" width="10.140625" style="170" customWidth="1"/>
    <col min="9425" max="9429" width="9.140625" style="170" customWidth="1"/>
    <col min="9430" max="9430" width="5.7109375" style="170" customWidth="1"/>
    <col min="9431" max="9433" width="10.42578125" style="170" customWidth="1"/>
    <col min="9434" max="9434" width="12.5703125" style="170" customWidth="1"/>
    <col min="9435" max="9439" width="9.85546875" style="170" customWidth="1"/>
    <col min="9440" max="9440" width="11.42578125" style="170" customWidth="1"/>
    <col min="9441" max="9443" width="9.85546875" style="170" customWidth="1"/>
    <col min="9444" max="9453" width="9.140625" style="170" customWidth="1"/>
    <col min="9454" max="9454" width="11" style="170" customWidth="1"/>
    <col min="9455" max="9466" width="9.140625" style="170" customWidth="1"/>
    <col min="9467" max="9468" width="11" style="170" customWidth="1"/>
    <col min="9469" max="9469" width="9.140625" style="170" customWidth="1"/>
    <col min="9470" max="9655" width="9.140625" style="170"/>
    <col min="9656" max="9656" width="9.140625" style="170" customWidth="1"/>
    <col min="9657" max="9658" width="6.28515625" style="170" customWidth="1"/>
    <col min="9659" max="9660" width="9.140625" style="170" customWidth="1"/>
    <col min="9661" max="9661" width="10.7109375" style="170" customWidth="1"/>
    <col min="9662" max="9667" width="9.140625" style="170" customWidth="1"/>
    <col min="9668" max="9668" width="9.42578125" style="170" customWidth="1"/>
    <col min="9669" max="9669" width="8.140625" style="170" customWidth="1"/>
    <col min="9670" max="9670" width="9.140625" style="170" customWidth="1"/>
    <col min="9671" max="9671" width="9.28515625" style="170" customWidth="1"/>
    <col min="9672" max="9672" width="9.140625" style="170" customWidth="1"/>
    <col min="9673" max="9674" width="8.85546875" style="170" customWidth="1"/>
    <col min="9675" max="9675" width="9.42578125" style="170" customWidth="1"/>
    <col min="9676" max="9676" width="8.5703125" style="170" customWidth="1"/>
    <col min="9677" max="9677" width="11" style="170" customWidth="1"/>
    <col min="9678" max="9678" width="9.5703125" style="170" customWidth="1"/>
    <col min="9679" max="9680" width="10.140625" style="170" customWidth="1"/>
    <col min="9681" max="9685" width="9.140625" style="170" customWidth="1"/>
    <col min="9686" max="9686" width="5.7109375" style="170" customWidth="1"/>
    <col min="9687" max="9689" width="10.42578125" style="170" customWidth="1"/>
    <col min="9690" max="9690" width="12.5703125" style="170" customWidth="1"/>
    <col min="9691" max="9695" width="9.85546875" style="170" customWidth="1"/>
    <col min="9696" max="9696" width="11.42578125" style="170" customWidth="1"/>
    <col min="9697" max="9699" width="9.85546875" style="170" customWidth="1"/>
    <col min="9700" max="9709" width="9.140625" style="170" customWidth="1"/>
    <col min="9710" max="9710" width="11" style="170" customWidth="1"/>
    <col min="9711" max="9722" width="9.140625" style="170" customWidth="1"/>
    <col min="9723" max="9724" width="11" style="170" customWidth="1"/>
    <col min="9725" max="9725" width="9.140625" style="170" customWidth="1"/>
    <col min="9726" max="9911" width="9.140625" style="170"/>
    <col min="9912" max="9912" width="9.140625" style="170" customWidth="1"/>
    <col min="9913" max="9914" width="6.28515625" style="170" customWidth="1"/>
    <col min="9915" max="9916" width="9.140625" style="170" customWidth="1"/>
    <col min="9917" max="9917" width="10.7109375" style="170" customWidth="1"/>
    <col min="9918" max="9923" width="9.140625" style="170" customWidth="1"/>
    <col min="9924" max="9924" width="9.42578125" style="170" customWidth="1"/>
    <col min="9925" max="9925" width="8.140625" style="170" customWidth="1"/>
    <col min="9926" max="9926" width="9.140625" style="170" customWidth="1"/>
    <col min="9927" max="9927" width="9.28515625" style="170" customWidth="1"/>
    <col min="9928" max="9928" width="9.140625" style="170" customWidth="1"/>
    <col min="9929" max="9930" width="8.85546875" style="170" customWidth="1"/>
    <col min="9931" max="9931" width="9.42578125" style="170" customWidth="1"/>
    <col min="9932" max="9932" width="8.5703125" style="170" customWidth="1"/>
    <col min="9933" max="9933" width="11" style="170" customWidth="1"/>
    <col min="9934" max="9934" width="9.5703125" style="170" customWidth="1"/>
    <col min="9935" max="9936" width="10.140625" style="170" customWidth="1"/>
    <col min="9937" max="9941" width="9.140625" style="170" customWidth="1"/>
    <col min="9942" max="9942" width="5.7109375" style="170" customWidth="1"/>
    <col min="9943" max="9945" width="10.42578125" style="170" customWidth="1"/>
    <col min="9946" max="9946" width="12.5703125" style="170" customWidth="1"/>
    <col min="9947" max="9951" width="9.85546875" style="170" customWidth="1"/>
    <col min="9952" max="9952" width="11.42578125" style="170" customWidth="1"/>
    <col min="9953" max="9955" width="9.85546875" style="170" customWidth="1"/>
    <col min="9956" max="9965" width="9.140625" style="170" customWidth="1"/>
    <col min="9966" max="9966" width="11" style="170" customWidth="1"/>
    <col min="9967" max="9978" width="9.140625" style="170" customWidth="1"/>
    <col min="9979" max="9980" width="11" style="170" customWidth="1"/>
    <col min="9981" max="9981" width="9.140625" style="170" customWidth="1"/>
    <col min="9982" max="10167" width="9.140625" style="170"/>
    <col min="10168" max="10168" width="9.140625" style="170" customWidth="1"/>
    <col min="10169" max="10170" width="6.28515625" style="170" customWidth="1"/>
    <col min="10171" max="10172" width="9.140625" style="170" customWidth="1"/>
    <col min="10173" max="10173" width="10.7109375" style="170" customWidth="1"/>
    <col min="10174" max="10179" width="9.140625" style="170" customWidth="1"/>
    <col min="10180" max="10180" width="9.42578125" style="170" customWidth="1"/>
    <col min="10181" max="10181" width="8.140625" style="170" customWidth="1"/>
    <col min="10182" max="10182" width="9.140625" style="170" customWidth="1"/>
    <col min="10183" max="10183" width="9.28515625" style="170" customWidth="1"/>
    <col min="10184" max="10184" width="9.140625" style="170" customWidth="1"/>
    <col min="10185" max="10186" width="8.85546875" style="170" customWidth="1"/>
    <col min="10187" max="10187" width="9.42578125" style="170" customWidth="1"/>
    <col min="10188" max="10188" width="8.5703125" style="170" customWidth="1"/>
    <col min="10189" max="10189" width="11" style="170" customWidth="1"/>
    <col min="10190" max="10190" width="9.5703125" style="170" customWidth="1"/>
    <col min="10191" max="10192" width="10.140625" style="170" customWidth="1"/>
    <col min="10193" max="10197" width="9.140625" style="170" customWidth="1"/>
    <col min="10198" max="10198" width="5.7109375" style="170" customWidth="1"/>
    <col min="10199" max="10201" width="10.42578125" style="170" customWidth="1"/>
    <col min="10202" max="10202" width="12.5703125" style="170" customWidth="1"/>
    <col min="10203" max="10207" width="9.85546875" style="170" customWidth="1"/>
    <col min="10208" max="10208" width="11.42578125" style="170" customWidth="1"/>
    <col min="10209" max="10211" width="9.85546875" style="170" customWidth="1"/>
    <col min="10212" max="10221" width="9.140625" style="170" customWidth="1"/>
    <col min="10222" max="10222" width="11" style="170" customWidth="1"/>
    <col min="10223" max="10234" width="9.140625" style="170" customWidth="1"/>
    <col min="10235" max="10236" width="11" style="170" customWidth="1"/>
    <col min="10237" max="10237" width="9.140625" style="170" customWidth="1"/>
    <col min="10238" max="10423" width="9.140625" style="170"/>
    <col min="10424" max="10424" width="9.140625" style="170" customWidth="1"/>
    <col min="10425" max="10426" width="6.28515625" style="170" customWidth="1"/>
    <col min="10427" max="10428" width="9.140625" style="170" customWidth="1"/>
    <col min="10429" max="10429" width="10.7109375" style="170" customWidth="1"/>
    <col min="10430" max="10435" width="9.140625" style="170" customWidth="1"/>
    <col min="10436" max="10436" width="9.42578125" style="170" customWidth="1"/>
    <col min="10437" max="10437" width="8.140625" style="170" customWidth="1"/>
    <col min="10438" max="10438" width="9.140625" style="170" customWidth="1"/>
    <col min="10439" max="10439" width="9.28515625" style="170" customWidth="1"/>
    <col min="10440" max="10440" width="9.140625" style="170" customWidth="1"/>
    <col min="10441" max="10442" width="8.85546875" style="170" customWidth="1"/>
    <col min="10443" max="10443" width="9.42578125" style="170" customWidth="1"/>
    <col min="10444" max="10444" width="8.5703125" style="170" customWidth="1"/>
    <col min="10445" max="10445" width="11" style="170" customWidth="1"/>
    <col min="10446" max="10446" width="9.5703125" style="170" customWidth="1"/>
    <col min="10447" max="10448" width="10.140625" style="170" customWidth="1"/>
    <col min="10449" max="10453" width="9.140625" style="170" customWidth="1"/>
    <col min="10454" max="10454" width="5.7109375" style="170" customWidth="1"/>
    <col min="10455" max="10457" width="10.42578125" style="170" customWidth="1"/>
    <col min="10458" max="10458" width="12.5703125" style="170" customWidth="1"/>
    <col min="10459" max="10463" width="9.85546875" style="170" customWidth="1"/>
    <col min="10464" max="10464" width="11.42578125" style="170" customWidth="1"/>
    <col min="10465" max="10467" width="9.85546875" style="170" customWidth="1"/>
    <col min="10468" max="10477" width="9.140625" style="170" customWidth="1"/>
    <col min="10478" max="10478" width="11" style="170" customWidth="1"/>
    <col min="10479" max="10490" width="9.140625" style="170" customWidth="1"/>
    <col min="10491" max="10492" width="11" style="170" customWidth="1"/>
    <col min="10493" max="10493" width="9.140625" style="170" customWidth="1"/>
    <col min="10494" max="10679" width="9.140625" style="170"/>
    <col min="10680" max="10680" width="9.140625" style="170" customWidth="1"/>
    <col min="10681" max="10682" width="6.28515625" style="170" customWidth="1"/>
    <col min="10683" max="10684" width="9.140625" style="170" customWidth="1"/>
    <col min="10685" max="10685" width="10.7109375" style="170" customWidth="1"/>
    <col min="10686" max="10691" width="9.140625" style="170" customWidth="1"/>
    <col min="10692" max="10692" width="9.42578125" style="170" customWidth="1"/>
    <col min="10693" max="10693" width="8.140625" style="170" customWidth="1"/>
    <col min="10694" max="10694" width="9.140625" style="170" customWidth="1"/>
    <col min="10695" max="10695" width="9.28515625" style="170" customWidth="1"/>
    <col min="10696" max="10696" width="9.140625" style="170" customWidth="1"/>
    <col min="10697" max="10698" width="8.85546875" style="170" customWidth="1"/>
    <col min="10699" max="10699" width="9.42578125" style="170" customWidth="1"/>
    <col min="10700" max="10700" width="8.5703125" style="170" customWidth="1"/>
    <col min="10701" max="10701" width="11" style="170" customWidth="1"/>
    <col min="10702" max="10702" width="9.5703125" style="170" customWidth="1"/>
    <col min="10703" max="10704" width="10.140625" style="170" customWidth="1"/>
    <col min="10705" max="10709" width="9.140625" style="170" customWidth="1"/>
    <col min="10710" max="10710" width="5.7109375" style="170" customWidth="1"/>
    <col min="10711" max="10713" width="10.42578125" style="170" customWidth="1"/>
    <col min="10714" max="10714" width="12.5703125" style="170" customWidth="1"/>
    <col min="10715" max="10719" width="9.85546875" style="170" customWidth="1"/>
    <col min="10720" max="10720" width="11.42578125" style="170" customWidth="1"/>
    <col min="10721" max="10723" width="9.85546875" style="170" customWidth="1"/>
    <col min="10724" max="10733" width="9.140625" style="170" customWidth="1"/>
    <col min="10734" max="10734" width="11" style="170" customWidth="1"/>
    <col min="10735" max="10746" width="9.140625" style="170" customWidth="1"/>
    <col min="10747" max="10748" width="11" style="170" customWidth="1"/>
    <col min="10749" max="10749" width="9.140625" style="170" customWidth="1"/>
    <col min="10750" max="10935" width="9.140625" style="170"/>
    <col min="10936" max="10936" width="9.140625" style="170" customWidth="1"/>
    <col min="10937" max="10938" width="6.28515625" style="170" customWidth="1"/>
    <col min="10939" max="10940" width="9.140625" style="170" customWidth="1"/>
    <col min="10941" max="10941" width="10.7109375" style="170" customWidth="1"/>
    <col min="10942" max="10947" width="9.140625" style="170" customWidth="1"/>
    <col min="10948" max="10948" width="9.42578125" style="170" customWidth="1"/>
    <col min="10949" max="10949" width="8.140625" style="170" customWidth="1"/>
    <col min="10950" max="10950" width="9.140625" style="170" customWidth="1"/>
    <col min="10951" max="10951" width="9.28515625" style="170" customWidth="1"/>
    <col min="10952" max="10952" width="9.140625" style="170" customWidth="1"/>
    <col min="10953" max="10954" width="8.85546875" style="170" customWidth="1"/>
    <col min="10955" max="10955" width="9.42578125" style="170" customWidth="1"/>
    <col min="10956" max="10956" width="8.5703125" style="170" customWidth="1"/>
    <col min="10957" max="10957" width="11" style="170" customWidth="1"/>
    <col min="10958" max="10958" width="9.5703125" style="170" customWidth="1"/>
    <col min="10959" max="10960" width="10.140625" style="170" customWidth="1"/>
    <col min="10961" max="10965" width="9.140625" style="170" customWidth="1"/>
    <col min="10966" max="10966" width="5.7109375" style="170" customWidth="1"/>
    <col min="10967" max="10969" width="10.42578125" style="170" customWidth="1"/>
    <col min="10970" max="10970" width="12.5703125" style="170" customWidth="1"/>
    <col min="10971" max="10975" width="9.85546875" style="170" customWidth="1"/>
    <col min="10976" max="10976" width="11.42578125" style="170" customWidth="1"/>
    <col min="10977" max="10979" width="9.85546875" style="170" customWidth="1"/>
    <col min="10980" max="10989" width="9.140625" style="170" customWidth="1"/>
    <col min="10990" max="10990" width="11" style="170" customWidth="1"/>
    <col min="10991" max="11002" width="9.140625" style="170" customWidth="1"/>
    <col min="11003" max="11004" width="11" style="170" customWidth="1"/>
    <col min="11005" max="11005" width="9.140625" style="170" customWidth="1"/>
    <col min="11006" max="11191" width="9.140625" style="170"/>
    <col min="11192" max="11192" width="9.140625" style="170" customWidth="1"/>
    <col min="11193" max="11194" width="6.28515625" style="170" customWidth="1"/>
    <col min="11195" max="11196" width="9.140625" style="170" customWidth="1"/>
    <col min="11197" max="11197" width="10.7109375" style="170" customWidth="1"/>
    <col min="11198" max="11203" width="9.140625" style="170" customWidth="1"/>
    <col min="11204" max="11204" width="9.42578125" style="170" customWidth="1"/>
    <col min="11205" max="11205" width="8.140625" style="170" customWidth="1"/>
    <col min="11206" max="11206" width="9.140625" style="170" customWidth="1"/>
    <col min="11207" max="11207" width="9.28515625" style="170" customWidth="1"/>
    <col min="11208" max="11208" width="9.140625" style="170" customWidth="1"/>
    <col min="11209" max="11210" width="8.85546875" style="170" customWidth="1"/>
    <col min="11211" max="11211" width="9.42578125" style="170" customWidth="1"/>
    <col min="11212" max="11212" width="8.5703125" style="170" customWidth="1"/>
    <col min="11213" max="11213" width="11" style="170" customWidth="1"/>
    <col min="11214" max="11214" width="9.5703125" style="170" customWidth="1"/>
    <col min="11215" max="11216" width="10.140625" style="170" customWidth="1"/>
    <col min="11217" max="11221" width="9.140625" style="170" customWidth="1"/>
    <col min="11222" max="11222" width="5.7109375" style="170" customWidth="1"/>
    <col min="11223" max="11225" width="10.42578125" style="170" customWidth="1"/>
    <col min="11226" max="11226" width="12.5703125" style="170" customWidth="1"/>
    <col min="11227" max="11231" width="9.85546875" style="170" customWidth="1"/>
    <col min="11232" max="11232" width="11.42578125" style="170" customWidth="1"/>
    <col min="11233" max="11235" width="9.85546875" style="170" customWidth="1"/>
    <col min="11236" max="11245" width="9.140625" style="170" customWidth="1"/>
    <col min="11246" max="11246" width="11" style="170" customWidth="1"/>
    <col min="11247" max="11258" width="9.140625" style="170" customWidth="1"/>
    <col min="11259" max="11260" width="11" style="170" customWidth="1"/>
    <col min="11261" max="11261" width="9.140625" style="170" customWidth="1"/>
    <col min="11262" max="11447" width="9.140625" style="170"/>
    <col min="11448" max="11448" width="9.140625" style="170" customWidth="1"/>
    <col min="11449" max="11450" width="6.28515625" style="170" customWidth="1"/>
    <col min="11451" max="11452" width="9.140625" style="170" customWidth="1"/>
    <col min="11453" max="11453" width="10.7109375" style="170" customWidth="1"/>
    <col min="11454" max="11459" width="9.140625" style="170" customWidth="1"/>
    <col min="11460" max="11460" width="9.42578125" style="170" customWidth="1"/>
    <col min="11461" max="11461" width="8.140625" style="170" customWidth="1"/>
    <col min="11462" max="11462" width="9.140625" style="170" customWidth="1"/>
    <col min="11463" max="11463" width="9.28515625" style="170" customWidth="1"/>
    <col min="11464" max="11464" width="9.140625" style="170" customWidth="1"/>
    <col min="11465" max="11466" width="8.85546875" style="170" customWidth="1"/>
    <col min="11467" max="11467" width="9.42578125" style="170" customWidth="1"/>
    <col min="11468" max="11468" width="8.5703125" style="170" customWidth="1"/>
    <col min="11469" max="11469" width="11" style="170" customWidth="1"/>
    <col min="11470" max="11470" width="9.5703125" style="170" customWidth="1"/>
    <col min="11471" max="11472" width="10.140625" style="170" customWidth="1"/>
    <col min="11473" max="11477" width="9.140625" style="170" customWidth="1"/>
    <col min="11478" max="11478" width="5.7109375" style="170" customWidth="1"/>
    <col min="11479" max="11481" width="10.42578125" style="170" customWidth="1"/>
    <col min="11482" max="11482" width="12.5703125" style="170" customWidth="1"/>
    <col min="11483" max="11487" width="9.85546875" style="170" customWidth="1"/>
    <col min="11488" max="11488" width="11.42578125" style="170" customWidth="1"/>
    <col min="11489" max="11491" width="9.85546875" style="170" customWidth="1"/>
    <col min="11492" max="11501" width="9.140625" style="170" customWidth="1"/>
    <col min="11502" max="11502" width="11" style="170" customWidth="1"/>
    <col min="11503" max="11514" width="9.140625" style="170" customWidth="1"/>
    <col min="11515" max="11516" width="11" style="170" customWidth="1"/>
    <col min="11517" max="11517" width="9.140625" style="170" customWidth="1"/>
    <col min="11518" max="11703" width="9.140625" style="170"/>
    <col min="11704" max="11704" width="9.140625" style="170" customWidth="1"/>
    <col min="11705" max="11706" width="6.28515625" style="170" customWidth="1"/>
    <col min="11707" max="11708" width="9.140625" style="170" customWidth="1"/>
    <col min="11709" max="11709" width="10.7109375" style="170" customWidth="1"/>
    <col min="11710" max="11715" width="9.140625" style="170" customWidth="1"/>
    <col min="11716" max="11716" width="9.42578125" style="170" customWidth="1"/>
    <col min="11717" max="11717" width="8.140625" style="170" customWidth="1"/>
    <col min="11718" max="11718" width="9.140625" style="170" customWidth="1"/>
    <col min="11719" max="11719" width="9.28515625" style="170" customWidth="1"/>
    <col min="11720" max="11720" width="9.140625" style="170" customWidth="1"/>
    <col min="11721" max="11722" width="8.85546875" style="170" customWidth="1"/>
    <col min="11723" max="11723" width="9.42578125" style="170" customWidth="1"/>
    <col min="11724" max="11724" width="8.5703125" style="170" customWidth="1"/>
    <col min="11725" max="11725" width="11" style="170" customWidth="1"/>
    <col min="11726" max="11726" width="9.5703125" style="170" customWidth="1"/>
    <col min="11727" max="11728" width="10.140625" style="170" customWidth="1"/>
    <col min="11729" max="11733" width="9.140625" style="170" customWidth="1"/>
    <col min="11734" max="11734" width="5.7109375" style="170" customWidth="1"/>
    <col min="11735" max="11737" width="10.42578125" style="170" customWidth="1"/>
    <col min="11738" max="11738" width="12.5703125" style="170" customWidth="1"/>
    <col min="11739" max="11743" width="9.85546875" style="170" customWidth="1"/>
    <col min="11744" max="11744" width="11.42578125" style="170" customWidth="1"/>
    <col min="11745" max="11747" width="9.85546875" style="170" customWidth="1"/>
    <col min="11748" max="11757" width="9.140625" style="170" customWidth="1"/>
    <col min="11758" max="11758" width="11" style="170" customWidth="1"/>
    <col min="11759" max="11770" width="9.140625" style="170" customWidth="1"/>
    <col min="11771" max="11772" width="11" style="170" customWidth="1"/>
    <col min="11773" max="11773" width="9.140625" style="170" customWidth="1"/>
    <col min="11774" max="11959" width="9.140625" style="170"/>
    <col min="11960" max="11960" width="9.140625" style="170" customWidth="1"/>
    <col min="11961" max="11962" width="6.28515625" style="170" customWidth="1"/>
    <col min="11963" max="11964" width="9.140625" style="170" customWidth="1"/>
    <col min="11965" max="11965" width="10.7109375" style="170" customWidth="1"/>
    <col min="11966" max="11971" width="9.140625" style="170" customWidth="1"/>
    <col min="11972" max="11972" width="9.42578125" style="170" customWidth="1"/>
    <col min="11973" max="11973" width="8.140625" style="170" customWidth="1"/>
    <col min="11974" max="11974" width="9.140625" style="170" customWidth="1"/>
    <col min="11975" max="11975" width="9.28515625" style="170" customWidth="1"/>
    <col min="11976" max="11976" width="9.140625" style="170" customWidth="1"/>
    <col min="11977" max="11978" width="8.85546875" style="170" customWidth="1"/>
    <col min="11979" max="11979" width="9.42578125" style="170" customWidth="1"/>
    <col min="11980" max="11980" width="8.5703125" style="170" customWidth="1"/>
    <col min="11981" max="11981" width="11" style="170" customWidth="1"/>
    <col min="11982" max="11982" width="9.5703125" style="170" customWidth="1"/>
    <col min="11983" max="11984" width="10.140625" style="170" customWidth="1"/>
    <col min="11985" max="11989" width="9.140625" style="170" customWidth="1"/>
    <col min="11990" max="11990" width="5.7109375" style="170" customWidth="1"/>
    <col min="11991" max="11993" width="10.42578125" style="170" customWidth="1"/>
    <col min="11994" max="11994" width="12.5703125" style="170" customWidth="1"/>
    <col min="11995" max="11999" width="9.85546875" style="170" customWidth="1"/>
    <col min="12000" max="12000" width="11.42578125" style="170" customWidth="1"/>
    <col min="12001" max="12003" width="9.85546875" style="170" customWidth="1"/>
    <col min="12004" max="12013" width="9.140625" style="170" customWidth="1"/>
    <col min="12014" max="12014" width="11" style="170" customWidth="1"/>
    <col min="12015" max="12026" width="9.140625" style="170" customWidth="1"/>
    <col min="12027" max="12028" width="11" style="170" customWidth="1"/>
    <col min="12029" max="12029" width="9.140625" style="170" customWidth="1"/>
    <col min="12030" max="12215" width="9.140625" style="170"/>
    <col min="12216" max="12216" width="9.140625" style="170" customWidth="1"/>
    <col min="12217" max="12218" width="6.28515625" style="170" customWidth="1"/>
    <col min="12219" max="12220" width="9.140625" style="170" customWidth="1"/>
    <col min="12221" max="12221" width="10.7109375" style="170" customWidth="1"/>
    <col min="12222" max="12227" width="9.140625" style="170" customWidth="1"/>
    <col min="12228" max="12228" width="9.42578125" style="170" customWidth="1"/>
    <col min="12229" max="12229" width="8.140625" style="170" customWidth="1"/>
    <col min="12230" max="12230" width="9.140625" style="170" customWidth="1"/>
    <col min="12231" max="12231" width="9.28515625" style="170" customWidth="1"/>
    <col min="12232" max="12232" width="9.140625" style="170" customWidth="1"/>
    <col min="12233" max="12234" width="8.85546875" style="170" customWidth="1"/>
    <col min="12235" max="12235" width="9.42578125" style="170" customWidth="1"/>
    <col min="12236" max="12236" width="8.5703125" style="170" customWidth="1"/>
    <col min="12237" max="12237" width="11" style="170" customWidth="1"/>
    <col min="12238" max="12238" width="9.5703125" style="170" customWidth="1"/>
    <col min="12239" max="12240" width="10.140625" style="170" customWidth="1"/>
    <col min="12241" max="12245" width="9.140625" style="170" customWidth="1"/>
    <col min="12246" max="12246" width="5.7109375" style="170" customWidth="1"/>
    <col min="12247" max="12249" width="10.42578125" style="170" customWidth="1"/>
    <col min="12250" max="12250" width="12.5703125" style="170" customWidth="1"/>
    <col min="12251" max="12255" width="9.85546875" style="170" customWidth="1"/>
    <col min="12256" max="12256" width="11.42578125" style="170" customWidth="1"/>
    <col min="12257" max="12259" width="9.85546875" style="170" customWidth="1"/>
    <col min="12260" max="12269" width="9.140625" style="170" customWidth="1"/>
    <col min="12270" max="12270" width="11" style="170" customWidth="1"/>
    <col min="12271" max="12282" width="9.140625" style="170" customWidth="1"/>
    <col min="12283" max="12284" width="11" style="170" customWidth="1"/>
    <col min="12285" max="12285" width="9.140625" style="170" customWidth="1"/>
    <col min="12286" max="12471" width="9.140625" style="170"/>
    <col min="12472" max="12472" width="9.140625" style="170" customWidth="1"/>
    <col min="12473" max="12474" width="6.28515625" style="170" customWidth="1"/>
    <col min="12475" max="12476" width="9.140625" style="170" customWidth="1"/>
    <col min="12477" max="12477" width="10.7109375" style="170" customWidth="1"/>
    <col min="12478" max="12483" width="9.140625" style="170" customWidth="1"/>
    <col min="12484" max="12484" width="9.42578125" style="170" customWidth="1"/>
    <col min="12485" max="12485" width="8.140625" style="170" customWidth="1"/>
    <col min="12486" max="12486" width="9.140625" style="170" customWidth="1"/>
    <col min="12487" max="12487" width="9.28515625" style="170" customWidth="1"/>
    <col min="12488" max="12488" width="9.140625" style="170" customWidth="1"/>
    <col min="12489" max="12490" width="8.85546875" style="170" customWidth="1"/>
    <col min="12491" max="12491" width="9.42578125" style="170" customWidth="1"/>
    <col min="12492" max="12492" width="8.5703125" style="170" customWidth="1"/>
    <col min="12493" max="12493" width="11" style="170" customWidth="1"/>
    <col min="12494" max="12494" width="9.5703125" style="170" customWidth="1"/>
    <col min="12495" max="12496" width="10.140625" style="170" customWidth="1"/>
    <col min="12497" max="12501" width="9.140625" style="170" customWidth="1"/>
    <col min="12502" max="12502" width="5.7109375" style="170" customWidth="1"/>
    <col min="12503" max="12505" width="10.42578125" style="170" customWidth="1"/>
    <col min="12506" max="12506" width="12.5703125" style="170" customWidth="1"/>
    <col min="12507" max="12511" width="9.85546875" style="170" customWidth="1"/>
    <col min="12512" max="12512" width="11.42578125" style="170" customWidth="1"/>
    <col min="12513" max="12515" width="9.85546875" style="170" customWidth="1"/>
    <col min="12516" max="12525" width="9.140625" style="170" customWidth="1"/>
    <col min="12526" max="12526" width="11" style="170" customWidth="1"/>
    <col min="12527" max="12538" width="9.140625" style="170" customWidth="1"/>
    <col min="12539" max="12540" width="11" style="170" customWidth="1"/>
    <col min="12541" max="12541" width="9.140625" style="170" customWidth="1"/>
    <col min="12542" max="12727" width="9.140625" style="170"/>
    <col min="12728" max="12728" width="9.140625" style="170" customWidth="1"/>
    <col min="12729" max="12730" width="6.28515625" style="170" customWidth="1"/>
    <col min="12731" max="12732" width="9.140625" style="170" customWidth="1"/>
    <col min="12733" max="12733" width="10.7109375" style="170" customWidth="1"/>
    <col min="12734" max="12739" width="9.140625" style="170" customWidth="1"/>
    <col min="12740" max="12740" width="9.42578125" style="170" customWidth="1"/>
    <col min="12741" max="12741" width="8.140625" style="170" customWidth="1"/>
    <col min="12742" max="12742" width="9.140625" style="170" customWidth="1"/>
    <col min="12743" max="12743" width="9.28515625" style="170" customWidth="1"/>
    <col min="12744" max="12744" width="9.140625" style="170" customWidth="1"/>
    <col min="12745" max="12746" width="8.85546875" style="170" customWidth="1"/>
    <col min="12747" max="12747" width="9.42578125" style="170" customWidth="1"/>
    <col min="12748" max="12748" width="8.5703125" style="170" customWidth="1"/>
    <col min="12749" max="12749" width="11" style="170" customWidth="1"/>
    <col min="12750" max="12750" width="9.5703125" style="170" customWidth="1"/>
    <col min="12751" max="12752" width="10.140625" style="170" customWidth="1"/>
    <col min="12753" max="12757" width="9.140625" style="170" customWidth="1"/>
    <col min="12758" max="12758" width="5.7109375" style="170" customWidth="1"/>
    <col min="12759" max="12761" width="10.42578125" style="170" customWidth="1"/>
    <col min="12762" max="12762" width="12.5703125" style="170" customWidth="1"/>
    <col min="12763" max="12767" width="9.85546875" style="170" customWidth="1"/>
    <col min="12768" max="12768" width="11.42578125" style="170" customWidth="1"/>
    <col min="12769" max="12771" width="9.85546875" style="170" customWidth="1"/>
    <col min="12772" max="12781" width="9.140625" style="170" customWidth="1"/>
    <col min="12782" max="12782" width="11" style="170" customWidth="1"/>
    <col min="12783" max="12794" width="9.140625" style="170" customWidth="1"/>
    <col min="12795" max="12796" width="11" style="170" customWidth="1"/>
    <col min="12797" max="12797" width="9.140625" style="170" customWidth="1"/>
    <col min="12798" max="12983" width="9.140625" style="170"/>
    <col min="12984" max="12984" width="9.140625" style="170" customWidth="1"/>
    <col min="12985" max="12986" width="6.28515625" style="170" customWidth="1"/>
    <col min="12987" max="12988" width="9.140625" style="170" customWidth="1"/>
    <col min="12989" max="12989" width="10.7109375" style="170" customWidth="1"/>
    <col min="12990" max="12995" width="9.140625" style="170" customWidth="1"/>
    <col min="12996" max="12996" width="9.42578125" style="170" customWidth="1"/>
    <col min="12997" max="12997" width="8.140625" style="170" customWidth="1"/>
    <col min="12998" max="12998" width="9.140625" style="170" customWidth="1"/>
    <col min="12999" max="12999" width="9.28515625" style="170" customWidth="1"/>
    <col min="13000" max="13000" width="9.140625" style="170" customWidth="1"/>
    <col min="13001" max="13002" width="8.85546875" style="170" customWidth="1"/>
    <col min="13003" max="13003" width="9.42578125" style="170" customWidth="1"/>
    <col min="13004" max="13004" width="8.5703125" style="170" customWidth="1"/>
    <col min="13005" max="13005" width="11" style="170" customWidth="1"/>
    <col min="13006" max="13006" width="9.5703125" style="170" customWidth="1"/>
    <col min="13007" max="13008" width="10.140625" style="170" customWidth="1"/>
    <col min="13009" max="13013" width="9.140625" style="170" customWidth="1"/>
    <col min="13014" max="13014" width="5.7109375" style="170" customWidth="1"/>
    <col min="13015" max="13017" width="10.42578125" style="170" customWidth="1"/>
    <col min="13018" max="13018" width="12.5703125" style="170" customWidth="1"/>
    <col min="13019" max="13023" width="9.85546875" style="170" customWidth="1"/>
    <col min="13024" max="13024" width="11.42578125" style="170" customWidth="1"/>
    <col min="13025" max="13027" width="9.85546875" style="170" customWidth="1"/>
    <col min="13028" max="13037" width="9.140625" style="170" customWidth="1"/>
    <col min="13038" max="13038" width="11" style="170" customWidth="1"/>
    <col min="13039" max="13050" width="9.140625" style="170" customWidth="1"/>
    <col min="13051" max="13052" width="11" style="170" customWidth="1"/>
    <col min="13053" max="13053" width="9.140625" style="170" customWidth="1"/>
    <col min="13054" max="13239" width="9.140625" style="170"/>
    <col min="13240" max="13240" width="9.140625" style="170" customWidth="1"/>
    <col min="13241" max="13242" width="6.28515625" style="170" customWidth="1"/>
    <col min="13243" max="13244" width="9.140625" style="170" customWidth="1"/>
    <col min="13245" max="13245" width="10.7109375" style="170" customWidth="1"/>
    <col min="13246" max="13251" width="9.140625" style="170" customWidth="1"/>
    <col min="13252" max="13252" width="9.42578125" style="170" customWidth="1"/>
    <col min="13253" max="13253" width="8.140625" style="170" customWidth="1"/>
    <col min="13254" max="13254" width="9.140625" style="170" customWidth="1"/>
    <col min="13255" max="13255" width="9.28515625" style="170" customWidth="1"/>
    <col min="13256" max="13256" width="9.140625" style="170" customWidth="1"/>
    <col min="13257" max="13258" width="8.85546875" style="170" customWidth="1"/>
    <col min="13259" max="13259" width="9.42578125" style="170" customWidth="1"/>
    <col min="13260" max="13260" width="8.5703125" style="170" customWidth="1"/>
    <col min="13261" max="13261" width="11" style="170" customWidth="1"/>
    <col min="13262" max="13262" width="9.5703125" style="170" customWidth="1"/>
    <col min="13263" max="13264" width="10.140625" style="170" customWidth="1"/>
    <col min="13265" max="13269" width="9.140625" style="170" customWidth="1"/>
    <col min="13270" max="13270" width="5.7109375" style="170" customWidth="1"/>
    <col min="13271" max="13273" width="10.42578125" style="170" customWidth="1"/>
    <col min="13274" max="13274" width="12.5703125" style="170" customWidth="1"/>
    <col min="13275" max="13279" width="9.85546875" style="170" customWidth="1"/>
    <col min="13280" max="13280" width="11.42578125" style="170" customWidth="1"/>
    <col min="13281" max="13283" width="9.85546875" style="170" customWidth="1"/>
    <col min="13284" max="13293" width="9.140625" style="170" customWidth="1"/>
    <col min="13294" max="13294" width="11" style="170" customWidth="1"/>
    <col min="13295" max="13306" width="9.140625" style="170" customWidth="1"/>
    <col min="13307" max="13308" width="11" style="170" customWidth="1"/>
    <col min="13309" max="13309" width="9.140625" style="170" customWidth="1"/>
    <col min="13310" max="13495" width="9.140625" style="170"/>
    <col min="13496" max="13496" width="9.140625" style="170" customWidth="1"/>
    <col min="13497" max="13498" width="6.28515625" style="170" customWidth="1"/>
    <col min="13499" max="13500" width="9.140625" style="170" customWidth="1"/>
    <col min="13501" max="13501" width="10.7109375" style="170" customWidth="1"/>
    <col min="13502" max="13507" width="9.140625" style="170" customWidth="1"/>
    <col min="13508" max="13508" width="9.42578125" style="170" customWidth="1"/>
    <col min="13509" max="13509" width="8.140625" style="170" customWidth="1"/>
    <col min="13510" max="13510" width="9.140625" style="170" customWidth="1"/>
    <col min="13511" max="13511" width="9.28515625" style="170" customWidth="1"/>
    <col min="13512" max="13512" width="9.140625" style="170" customWidth="1"/>
    <col min="13513" max="13514" width="8.85546875" style="170" customWidth="1"/>
    <col min="13515" max="13515" width="9.42578125" style="170" customWidth="1"/>
    <col min="13516" max="13516" width="8.5703125" style="170" customWidth="1"/>
    <col min="13517" max="13517" width="11" style="170" customWidth="1"/>
    <col min="13518" max="13518" width="9.5703125" style="170" customWidth="1"/>
    <col min="13519" max="13520" width="10.140625" style="170" customWidth="1"/>
    <col min="13521" max="13525" width="9.140625" style="170" customWidth="1"/>
    <col min="13526" max="13526" width="5.7109375" style="170" customWidth="1"/>
    <col min="13527" max="13529" width="10.42578125" style="170" customWidth="1"/>
    <col min="13530" max="13530" width="12.5703125" style="170" customWidth="1"/>
    <col min="13531" max="13535" width="9.85546875" style="170" customWidth="1"/>
    <col min="13536" max="13536" width="11.42578125" style="170" customWidth="1"/>
    <col min="13537" max="13539" width="9.85546875" style="170" customWidth="1"/>
    <col min="13540" max="13549" width="9.140625" style="170" customWidth="1"/>
    <col min="13550" max="13550" width="11" style="170" customWidth="1"/>
    <col min="13551" max="13562" width="9.140625" style="170" customWidth="1"/>
    <col min="13563" max="13564" width="11" style="170" customWidth="1"/>
    <col min="13565" max="13565" width="9.140625" style="170" customWidth="1"/>
    <col min="13566" max="13751" width="9.140625" style="170"/>
    <col min="13752" max="13752" width="9.140625" style="170" customWidth="1"/>
    <col min="13753" max="13754" width="6.28515625" style="170" customWidth="1"/>
    <col min="13755" max="13756" width="9.140625" style="170" customWidth="1"/>
    <col min="13757" max="13757" width="10.7109375" style="170" customWidth="1"/>
    <col min="13758" max="13763" width="9.140625" style="170" customWidth="1"/>
    <col min="13764" max="13764" width="9.42578125" style="170" customWidth="1"/>
    <col min="13765" max="13765" width="8.140625" style="170" customWidth="1"/>
    <col min="13766" max="13766" width="9.140625" style="170" customWidth="1"/>
    <col min="13767" max="13767" width="9.28515625" style="170" customWidth="1"/>
    <col min="13768" max="13768" width="9.140625" style="170" customWidth="1"/>
    <col min="13769" max="13770" width="8.85546875" style="170" customWidth="1"/>
    <col min="13771" max="13771" width="9.42578125" style="170" customWidth="1"/>
    <col min="13772" max="13772" width="8.5703125" style="170" customWidth="1"/>
    <col min="13773" max="13773" width="11" style="170" customWidth="1"/>
    <col min="13774" max="13774" width="9.5703125" style="170" customWidth="1"/>
    <col min="13775" max="13776" width="10.140625" style="170" customWidth="1"/>
    <col min="13777" max="13781" width="9.140625" style="170" customWidth="1"/>
    <col min="13782" max="13782" width="5.7109375" style="170" customWidth="1"/>
    <col min="13783" max="13785" width="10.42578125" style="170" customWidth="1"/>
    <col min="13786" max="13786" width="12.5703125" style="170" customWidth="1"/>
    <col min="13787" max="13791" width="9.85546875" style="170" customWidth="1"/>
    <col min="13792" max="13792" width="11.42578125" style="170" customWidth="1"/>
    <col min="13793" max="13795" width="9.85546875" style="170" customWidth="1"/>
    <col min="13796" max="13805" width="9.140625" style="170" customWidth="1"/>
    <col min="13806" max="13806" width="11" style="170" customWidth="1"/>
    <col min="13807" max="13818" width="9.140625" style="170" customWidth="1"/>
    <col min="13819" max="13820" width="11" style="170" customWidth="1"/>
    <col min="13821" max="13821" width="9.140625" style="170" customWidth="1"/>
    <col min="13822" max="14007" width="9.140625" style="170"/>
    <col min="14008" max="14008" width="9.140625" style="170" customWidth="1"/>
    <col min="14009" max="14010" width="6.28515625" style="170" customWidth="1"/>
    <col min="14011" max="14012" width="9.140625" style="170" customWidth="1"/>
    <col min="14013" max="14013" width="10.7109375" style="170" customWidth="1"/>
    <col min="14014" max="14019" width="9.140625" style="170" customWidth="1"/>
    <col min="14020" max="14020" width="9.42578125" style="170" customWidth="1"/>
    <col min="14021" max="14021" width="8.140625" style="170" customWidth="1"/>
    <col min="14022" max="14022" width="9.140625" style="170" customWidth="1"/>
    <col min="14023" max="14023" width="9.28515625" style="170" customWidth="1"/>
    <col min="14024" max="14024" width="9.140625" style="170" customWidth="1"/>
    <col min="14025" max="14026" width="8.85546875" style="170" customWidth="1"/>
    <col min="14027" max="14027" width="9.42578125" style="170" customWidth="1"/>
    <col min="14028" max="14028" width="8.5703125" style="170" customWidth="1"/>
    <col min="14029" max="14029" width="11" style="170" customWidth="1"/>
    <col min="14030" max="14030" width="9.5703125" style="170" customWidth="1"/>
    <col min="14031" max="14032" width="10.140625" style="170" customWidth="1"/>
    <col min="14033" max="14037" width="9.140625" style="170" customWidth="1"/>
    <col min="14038" max="14038" width="5.7109375" style="170" customWidth="1"/>
    <col min="14039" max="14041" width="10.42578125" style="170" customWidth="1"/>
    <col min="14042" max="14042" width="12.5703125" style="170" customWidth="1"/>
    <col min="14043" max="14047" width="9.85546875" style="170" customWidth="1"/>
    <col min="14048" max="14048" width="11.42578125" style="170" customWidth="1"/>
    <col min="14049" max="14051" width="9.85546875" style="170" customWidth="1"/>
    <col min="14052" max="14061" width="9.140625" style="170" customWidth="1"/>
    <col min="14062" max="14062" width="11" style="170" customWidth="1"/>
    <col min="14063" max="14074" width="9.140625" style="170" customWidth="1"/>
    <col min="14075" max="14076" width="11" style="170" customWidth="1"/>
    <col min="14077" max="14077" width="9.140625" style="170" customWidth="1"/>
    <col min="14078" max="14263" width="9.140625" style="170"/>
    <col min="14264" max="14264" width="9.140625" style="170" customWidth="1"/>
    <col min="14265" max="14266" width="6.28515625" style="170" customWidth="1"/>
    <col min="14267" max="14268" width="9.140625" style="170" customWidth="1"/>
    <col min="14269" max="14269" width="10.7109375" style="170" customWidth="1"/>
    <col min="14270" max="14275" width="9.140625" style="170" customWidth="1"/>
    <col min="14276" max="14276" width="9.42578125" style="170" customWidth="1"/>
    <col min="14277" max="14277" width="8.140625" style="170" customWidth="1"/>
    <col min="14278" max="14278" width="9.140625" style="170" customWidth="1"/>
    <col min="14279" max="14279" width="9.28515625" style="170" customWidth="1"/>
    <col min="14280" max="14280" width="9.140625" style="170" customWidth="1"/>
    <col min="14281" max="14282" width="8.85546875" style="170" customWidth="1"/>
    <col min="14283" max="14283" width="9.42578125" style="170" customWidth="1"/>
    <col min="14284" max="14284" width="8.5703125" style="170" customWidth="1"/>
    <col min="14285" max="14285" width="11" style="170" customWidth="1"/>
    <col min="14286" max="14286" width="9.5703125" style="170" customWidth="1"/>
    <col min="14287" max="14288" width="10.140625" style="170" customWidth="1"/>
    <col min="14289" max="14293" width="9.140625" style="170" customWidth="1"/>
    <col min="14294" max="14294" width="5.7109375" style="170" customWidth="1"/>
    <col min="14295" max="14297" width="10.42578125" style="170" customWidth="1"/>
    <col min="14298" max="14298" width="12.5703125" style="170" customWidth="1"/>
    <col min="14299" max="14303" width="9.85546875" style="170" customWidth="1"/>
    <col min="14304" max="14304" width="11.42578125" style="170" customWidth="1"/>
    <col min="14305" max="14307" width="9.85546875" style="170" customWidth="1"/>
    <col min="14308" max="14317" width="9.140625" style="170" customWidth="1"/>
    <col min="14318" max="14318" width="11" style="170" customWidth="1"/>
    <col min="14319" max="14330" width="9.140625" style="170" customWidth="1"/>
    <col min="14331" max="14332" width="11" style="170" customWidth="1"/>
    <col min="14333" max="14333" width="9.140625" style="170" customWidth="1"/>
    <col min="14334" max="14519" width="9.140625" style="170"/>
    <col min="14520" max="14520" width="9.140625" style="170" customWidth="1"/>
    <col min="14521" max="14522" width="6.28515625" style="170" customWidth="1"/>
    <col min="14523" max="14524" width="9.140625" style="170" customWidth="1"/>
    <col min="14525" max="14525" width="10.7109375" style="170" customWidth="1"/>
    <col min="14526" max="14531" width="9.140625" style="170" customWidth="1"/>
    <col min="14532" max="14532" width="9.42578125" style="170" customWidth="1"/>
    <col min="14533" max="14533" width="8.140625" style="170" customWidth="1"/>
    <col min="14534" max="14534" width="9.140625" style="170" customWidth="1"/>
    <col min="14535" max="14535" width="9.28515625" style="170" customWidth="1"/>
    <col min="14536" max="14536" width="9.140625" style="170" customWidth="1"/>
    <col min="14537" max="14538" width="8.85546875" style="170" customWidth="1"/>
    <col min="14539" max="14539" width="9.42578125" style="170" customWidth="1"/>
    <col min="14540" max="14540" width="8.5703125" style="170" customWidth="1"/>
    <col min="14541" max="14541" width="11" style="170" customWidth="1"/>
    <col min="14542" max="14542" width="9.5703125" style="170" customWidth="1"/>
    <col min="14543" max="14544" width="10.140625" style="170" customWidth="1"/>
    <col min="14545" max="14549" width="9.140625" style="170" customWidth="1"/>
    <col min="14550" max="14550" width="5.7109375" style="170" customWidth="1"/>
    <col min="14551" max="14553" width="10.42578125" style="170" customWidth="1"/>
    <col min="14554" max="14554" width="12.5703125" style="170" customWidth="1"/>
    <col min="14555" max="14559" width="9.85546875" style="170" customWidth="1"/>
    <col min="14560" max="14560" width="11.42578125" style="170" customWidth="1"/>
    <col min="14561" max="14563" width="9.85546875" style="170" customWidth="1"/>
    <col min="14564" max="14573" width="9.140625" style="170" customWidth="1"/>
    <col min="14574" max="14574" width="11" style="170" customWidth="1"/>
    <col min="14575" max="14586" width="9.140625" style="170" customWidth="1"/>
    <col min="14587" max="14588" width="11" style="170" customWidth="1"/>
    <col min="14589" max="14589" width="9.140625" style="170" customWidth="1"/>
    <col min="14590" max="14775" width="9.140625" style="170"/>
    <col min="14776" max="14776" width="9.140625" style="170" customWidth="1"/>
    <col min="14777" max="14778" width="6.28515625" style="170" customWidth="1"/>
    <col min="14779" max="14780" width="9.140625" style="170" customWidth="1"/>
    <col min="14781" max="14781" width="10.7109375" style="170" customWidth="1"/>
    <col min="14782" max="14787" width="9.140625" style="170" customWidth="1"/>
    <col min="14788" max="14788" width="9.42578125" style="170" customWidth="1"/>
    <col min="14789" max="14789" width="8.140625" style="170" customWidth="1"/>
    <col min="14790" max="14790" width="9.140625" style="170" customWidth="1"/>
    <col min="14791" max="14791" width="9.28515625" style="170" customWidth="1"/>
    <col min="14792" max="14792" width="9.140625" style="170" customWidth="1"/>
    <col min="14793" max="14794" width="8.85546875" style="170" customWidth="1"/>
    <col min="14795" max="14795" width="9.42578125" style="170" customWidth="1"/>
    <col min="14796" max="14796" width="8.5703125" style="170" customWidth="1"/>
    <col min="14797" max="14797" width="11" style="170" customWidth="1"/>
    <col min="14798" max="14798" width="9.5703125" style="170" customWidth="1"/>
    <col min="14799" max="14800" width="10.140625" style="170" customWidth="1"/>
    <col min="14801" max="14805" width="9.140625" style="170" customWidth="1"/>
    <col min="14806" max="14806" width="5.7109375" style="170" customWidth="1"/>
    <col min="14807" max="14809" width="10.42578125" style="170" customWidth="1"/>
    <col min="14810" max="14810" width="12.5703125" style="170" customWidth="1"/>
    <col min="14811" max="14815" width="9.85546875" style="170" customWidth="1"/>
    <col min="14816" max="14816" width="11.42578125" style="170" customWidth="1"/>
    <col min="14817" max="14819" width="9.85546875" style="170" customWidth="1"/>
    <col min="14820" max="14829" width="9.140625" style="170" customWidth="1"/>
    <col min="14830" max="14830" width="11" style="170" customWidth="1"/>
    <col min="14831" max="14842" width="9.140625" style="170" customWidth="1"/>
    <col min="14843" max="14844" width="11" style="170" customWidth="1"/>
    <col min="14845" max="14845" width="9.140625" style="170" customWidth="1"/>
    <col min="14846" max="15031" width="9.140625" style="170"/>
    <col min="15032" max="15032" width="9.140625" style="170" customWidth="1"/>
    <col min="15033" max="15034" width="6.28515625" style="170" customWidth="1"/>
    <col min="15035" max="15036" width="9.140625" style="170" customWidth="1"/>
    <col min="15037" max="15037" width="10.7109375" style="170" customWidth="1"/>
    <col min="15038" max="15043" width="9.140625" style="170" customWidth="1"/>
    <col min="15044" max="15044" width="9.42578125" style="170" customWidth="1"/>
    <col min="15045" max="15045" width="8.140625" style="170" customWidth="1"/>
    <col min="15046" max="15046" width="9.140625" style="170" customWidth="1"/>
    <col min="15047" max="15047" width="9.28515625" style="170" customWidth="1"/>
    <col min="15048" max="15048" width="9.140625" style="170" customWidth="1"/>
    <col min="15049" max="15050" width="8.85546875" style="170" customWidth="1"/>
    <col min="15051" max="15051" width="9.42578125" style="170" customWidth="1"/>
    <col min="15052" max="15052" width="8.5703125" style="170" customWidth="1"/>
    <col min="15053" max="15053" width="11" style="170" customWidth="1"/>
    <col min="15054" max="15054" width="9.5703125" style="170" customWidth="1"/>
    <col min="15055" max="15056" width="10.140625" style="170" customWidth="1"/>
    <col min="15057" max="15061" width="9.140625" style="170" customWidth="1"/>
    <col min="15062" max="15062" width="5.7109375" style="170" customWidth="1"/>
    <col min="15063" max="15065" width="10.42578125" style="170" customWidth="1"/>
    <col min="15066" max="15066" width="12.5703125" style="170" customWidth="1"/>
    <col min="15067" max="15071" width="9.85546875" style="170" customWidth="1"/>
    <col min="15072" max="15072" width="11.42578125" style="170" customWidth="1"/>
    <col min="15073" max="15075" width="9.85546875" style="170" customWidth="1"/>
    <col min="15076" max="15085" width="9.140625" style="170" customWidth="1"/>
    <col min="15086" max="15086" width="11" style="170" customWidth="1"/>
    <col min="15087" max="15098" width="9.140625" style="170" customWidth="1"/>
    <col min="15099" max="15100" width="11" style="170" customWidth="1"/>
    <col min="15101" max="15101" width="9.140625" style="170" customWidth="1"/>
    <col min="15102" max="15287" width="9.140625" style="170"/>
    <col min="15288" max="15288" width="9.140625" style="170" customWidth="1"/>
    <col min="15289" max="15290" width="6.28515625" style="170" customWidth="1"/>
    <col min="15291" max="15292" width="9.140625" style="170" customWidth="1"/>
    <col min="15293" max="15293" width="10.7109375" style="170" customWidth="1"/>
    <col min="15294" max="15299" width="9.140625" style="170" customWidth="1"/>
    <col min="15300" max="15300" width="9.42578125" style="170" customWidth="1"/>
    <col min="15301" max="15301" width="8.140625" style="170" customWidth="1"/>
    <col min="15302" max="15302" width="9.140625" style="170" customWidth="1"/>
    <col min="15303" max="15303" width="9.28515625" style="170" customWidth="1"/>
    <col min="15304" max="15304" width="9.140625" style="170" customWidth="1"/>
    <col min="15305" max="15306" width="8.85546875" style="170" customWidth="1"/>
    <col min="15307" max="15307" width="9.42578125" style="170" customWidth="1"/>
    <col min="15308" max="15308" width="8.5703125" style="170" customWidth="1"/>
    <col min="15309" max="15309" width="11" style="170" customWidth="1"/>
    <col min="15310" max="15310" width="9.5703125" style="170" customWidth="1"/>
    <col min="15311" max="15312" width="10.140625" style="170" customWidth="1"/>
    <col min="15313" max="15317" width="9.140625" style="170" customWidth="1"/>
    <col min="15318" max="15318" width="5.7109375" style="170" customWidth="1"/>
    <col min="15319" max="15321" width="10.42578125" style="170" customWidth="1"/>
    <col min="15322" max="15322" width="12.5703125" style="170" customWidth="1"/>
    <col min="15323" max="15327" width="9.85546875" style="170" customWidth="1"/>
    <col min="15328" max="15328" width="11.42578125" style="170" customWidth="1"/>
    <col min="15329" max="15331" width="9.85546875" style="170" customWidth="1"/>
    <col min="15332" max="15341" width="9.140625" style="170" customWidth="1"/>
    <col min="15342" max="15342" width="11" style="170" customWidth="1"/>
    <col min="15343" max="15354" width="9.140625" style="170" customWidth="1"/>
    <col min="15355" max="15356" width="11" style="170" customWidth="1"/>
    <col min="15357" max="15357" width="9.140625" style="170" customWidth="1"/>
    <col min="15358" max="15543" width="9.140625" style="170"/>
    <col min="15544" max="15544" width="9.140625" style="170" customWidth="1"/>
    <col min="15545" max="15546" width="6.28515625" style="170" customWidth="1"/>
    <col min="15547" max="15548" width="9.140625" style="170" customWidth="1"/>
    <col min="15549" max="15549" width="10.7109375" style="170" customWidth="1"/>
    <col min="15550" max="15555" width="9.140625" style="170" customWidth="1"/>
    <col min="15556" max="15556" width="9.42578125" style="170" customWidth="1"/>
    <col min="15557" max="15557" width="8.140625" style="170" customWidth="1"/>
    <col min="15558" max="15558" width="9.140625" style="170" customWidth="1"/>
    <col min="15559" max="15559" width="9.28515625" style="170" customWidth="1"/>
    <col min="15560" max="15560" width="9.140625" style="170" customWidth="1"/>
    <col min="15561" max="15562" width="8.85546875" style="170" customWidth="1"/>
    <col min="15563" max="15563" width="9.42578125" style="170" customWidth="1"/>
    <col min="15564" max="15564" width="8.5703125" style="170" customWidth="1"/>
    <col min="15565" max="15565" width="11" style="170" customWidth="1"/>
    <col min="15566" max="15566" width="9.5703125" style="170" customWidth="1"/>
    <col min="15567" max="15568" width="10.140625" style="170" customWidth="1"/>
    <col min="15569" max="15573" width="9.140625" style="170" customWidth="1"/>
    <col min="15574" max="15574" width="5.7109375" style="170" customWidth="1"/>
    <col min="15575" max="15577" width="10.42578125" style="170" customWidth="1"/>
    <col min="15578" max="15578" width="12.5703125" style="170" customWidth="1"/>
    <col min="15579" max="15583" width="9.85546875" style="170" customWidth="1"/>
    <col min="15584" max="15584" width="11.42578125" style="170" customWidth="1"/>
    <col min="15585" max="15587" width="9.85546875" style="170" customWidth="1"/>
    <col min="15588" max="15597" width="9.140625" style="170" customWidth="1"/>
    <col min="15598" max="15598" width="11" style="170" customWidth="1"/>
    <col min="15599" max="15610" width="9.140625" style="170" customWidth="1"/>
    <col min="15611" max="15612" width="11" style="170" customWidth="1"/>
    <col min="15613" max="15613" width="9.140625" style="170" customWidth="1"/>
    <col min="15614" max="15799" width="9.140625" style="170"/>
    <col min="15800" max="15800" width="9.140625" style="170" customWidth="1"/>
    <col min="15801" max="15802" width="6.28515625" style="170" customWidth="1"/>
    <col min="15803" max="15804" width="9.140625" style="170" customWidth="1"/>
    <col min="15805" max="15805" width="10.7109375" style="170" customWidth="1"/>
    <col min="15806" max="15811" width="9.140625" style="170" customWidth="1"/>
    <col min="15812" max="15812" width="9.42578125" style="170" customWidth="1"/>
    <col min="15813" max="15813" width="8.140625" style="170" customWidth="1"/>
    <col min="15814" max="15814" width="9.140625" style="170" customWidth="1"/>
    <col min="15815" max="15815" width="9.28515625" style="170" customWidth="1"/>
    <col min="15816" max="15816" width="9.140625" style="170" customWidth="1"/>
    <col min="15817" max="15818" width="8.85546875" style="170" customWidth="1"/>
    <col min="15819" max="15819" width="9.42578125" style="170" customWidth="1"/>
    <col min="15820" max="15820" width="8.5703125" style="170" customWidth="1"/>
    <col min="15821" max="15821" width="11" style="170" customWidth="1"/>
    <col min="15822" max="15822" width="9.5703125" style="170" customWidth="1"/>
    <col min="15823" max="15824" width="10.140625" style="170" customWidth="1"/>
    <col min="15825" max="15829" width="9.140625" style="170" customWidth="1"/>
    <col min="15830" max="15830" width="5.7109375" style="170" customWidth="1"/>
    <col min="15831" max="15833" width="10.42578125" style="170" customWidth="1"/>
    <col min="15834" max="15834" width="12.5703125" style="170" customWidth="1"/>
    <col min="15835" max="15839" width="9.85546875" style="170" customWidth="1"/>
    <col min="15840" max="15840" width="11.42578125" style="170" customWidth="1"/>
    <col min="15841" max="15843" width="9.85546875" style="170" customWidth="1"/>
    <col min="15844" max="15853" width="9.140625" style="170" customWidth="1"/>
    <col min="15854" max="15854" width="11" style="170" customWidth="1"/>
    <col min="15855" max="15866" width="9.140625" style="170" customWidth="1"/>
    <col min="15867" max="15868" width="11" style="170" customWidth="1"/>
    <col min="15869" max="15869" width="9.140625" style="170" customWidth="1"/>
    <col min="15870" max="16055" width="9.140625" style="170"/>
    <col min="16056" max="16056" width="9.140625" style="170" customWidth="1"/>
    <col min="16057" max="16058" width="6.28515625" style="170" customWidth="1"/>
    <col min="16059" max="16060" width="9.140625" style="170" customWidth="1"/>
    <col min="16061" max="16061" width="10.7109375" style="170" customWidth="1"/>
    <col min="16062" max="16067" width="9.140625" style="170" customWidth="1"/>
    <col min="16068" max="16068" width="9.42578125" style="170" customWidth="1"/>
    <col min="16069" max="16069" width="8.140625" style="170" customWidth="1"/>
    <col min="16070" max="16070" width="9.140625" style="170" customWidth="1"/>
    <col min="16071" max="16071" width="9.28515625" style="170" customWidth="1"/>
    <col min="16072" max="16072" width="9.140625" style="170" customWidth="1"/>
    <col min="16073" max="16074" width="8.85546875" style="170" customWidth="1"/>
    <col min="16075" max="16075" width="9.42578125" style="170" customWidth="1"/>
    <col min="16076" max="16076" width="8.5703125" style="170" customWidth="1"/>
    <col min="16077" max="16077" width="11" style="170" customWidth="1"/>
    <col min="16078" max="16078" width="9.5703125" style="170" customWidth="1"/>
    <col min="16079" max="16080" width="10.140625" style="170" customWidth="1"/>
    <col min="16081" max="16085" width="9.140625" style="170" customWidth="1"/>
    <col min="16086" max="16086" width="5.7109375" style="170" customWidth="1"/>
    <col min="16087" max="16089" width="10.42578125" style="170" customWidth="1"/>
    <col min="16090" max="16090" width="12.5703125" style="170" customWidth="1"/>
    <col min="16091" max="16095" width="9.85546875" style="170" customWidth="1"/>
    <col min="16096" max="16096" width="11.42578125" style="170" customWidth="1"/>
    <col min="16097" max="16099" width="9.85546875" style="170" customWidth="1"/>
    <col min="16100" max="16109" width="9.140625" style="170" customWidth="1"/>
    <col min="16110" max="16110" width="11" style="170" customWidth="1"/>
    <col min="16111" max="16122" width="9.140625" style="170" customWidth="1"/>
    <col min="16123" max="16124" width="11" style="170" customWidth="1"/>
    <col min="16125" max="16125" width="9.140625" style="170" customWidth="1"/>
    <col min="16126" max="16384" width="9.140625" style="170"/>
  </cols>
  <sheetData>
    <row r="1" spans="1:59" s="212" customFormat="1" ht="30" x14ac:dyDescent="0.25">
      <c r="A1" s="255"/>
      <c r="B1" s="256" t="s">
        <v>121</v>
      </c>
      <c r="C1" s="256"/>
      <c r="D1" s="247"/>
      <c r="E1" s="257"/>
      <c r="F1" s="257"/>
      <c r="G1" s="257"/>
      <c r="H1" s="257"/>
      <c r="I1" s="257"/>
      <c r="J1" s="248"/>
      <c r="K1" s="258" t="s">
        <v>122</v>
      </c>
      <c r="L1" s="259"/>
      <c r="M1" s="257"/>
      <c r="N1" s="257"/>
      <c r="O1" s="257"/>
      <c r="P1" s="257"/>
      <c r="Q1" s="257"/>
      <c r="R1" s="257"/>
      <c r="S1" s="257"/>
      <c r="T1" s="257"/>
      <c r="U1" s="260"/>
      <c r="V1" s="260"/>
      <c r="W1" s="261"/>
      <c r="X1" s="261"/>
      <c r="Y1" s="261"/>
      <c r="Z1" s="261"/>
      <c r="AA1" s="248"/>
      <c r="AB1" s="262"/>
      <c r="AC1" s="263"/>
      <c r="AD1" s="263"/>
      <c r="AE1" s="263"/>
      <c r="AF1" s="248"/>
      <c r="AG1" s="248"/>
      <c r="AH1" s="248"/>
      <c r="AI1" s="248"/>
      <c r="AJ1" s="248"/>
      <c r="AK1" s="248"/>
      <c r="AL1" s="248"/>
      <c r="AM1" s="248"/>
      <c r="AN1" s="248"/>
      <c r="AO1" s="248"/>
      <c r="AP1" s="248"/>
      <c r="AQ1" s="248"/>
      <c r="AR1" s="248"/>
      <c r="AS1" s="248"/>
      <c r="AT1" s="248"/>
      <c r="AU1" s="248"/>
      <c r="AV1" s="248"/>
      <c r="AW1" s="248"/>
      <c r="AX1" s="248"/>
      <c r="AY1" s="248"/>
      <c r="AZ1" s="245" t="s">
        <v>123</v>
      </c>
      <c r="BA1" s="245" t="s">
        <v>123</v>
      </c>
      <c r="BB1" s="245" t="s">
        <v>123</v>
      </c>
      <c r="BC1" s="245" t="s">
        <v>123</v>
      </c>
      <c r="BD1" s="211" t="s">
        <v>124</v>
      </c>
      <c r="BE1" s="211" t="s">
        <v>124</v>
      </c>
      <c r="BF1" s="211"/>
      <c r="BG1" s="211"/>
    </row>
    <row r="2" spans="1:59" s="212" customFormat="1" x14ac:dyDescent="0.25">
      <c r="A2" s="255"/>
      <c r="B2" s="255" t="s">
        <v>125</v>
      </c>
      <c r="C2" s="255"/>
      <c r="D2" s="248"/>
      <c r="E2" s="257"/>
      <c r="F2" s="257"/>
      <c r="G2" s="257"/>
      <c r="H2" s="257"/>
      <c r="I2" s="257"/>
      <c r="J2" s="248"/>
      <c r="K2" s="248"/>
      <c r="L2" s="249"/>
      <c r="M2" s="249"/>
      <c r="N2" s="249"/>
      <c r="O2" s="264"/>
      <c r="P2" s="264"/>
      <c r="Q2" s="249"/>
      <c r="R2" s="265"/>
      <c r="S2" s="255" t="s">
        <v>191</v>
      </c>
      <c r="T2" s="261"/>
      <c r="U2" s="260">
        <v>500</v>
      </c>
      <c r="V2" s="260"/>
      <c r="W2" s="261"/>
      <c r="X2" s="261"/>
      <c r="Y2" s="261"/>
      <c r="Z2" s="261"/>
      <c r="AA2" s="248"/>
      <c r="AB2" s="262"/>
      <c r="AC2" s="263"/>
      <c r="AD2" s="263"/>
      <c r="AE2" s="263"/>
      <c r="AF2" s="248" t="s">
        <v>126</v>
      </c>
      <c r="AG2" s="248" t="s">
        <v>126</v>
      </c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  <c r="AV2" s="248"/>
      <c r="AW2" s="248"/>
      <c r="AX2" s="248"/>
      <c r="AY2" s="248"/>
      <c r="AZ2" s="246">
        <v>4</v>
      </c>
      <c r="BA2" s="246">
        <v>4</v>
      </c>
      <c r="BB2" s="246">
        <v>4</v>
      </c>
      <c r="BC2" s="246">
        <v>4</v>
      </c>
      <c r="BD2" s="246">
        <v>1.0249999999999999</v>
      </c>
      <c r="BE2" s="246">
        <f>BD2</f>
        <v>1.0249999999999999</v>
      </c>
    </row>
    <row r="3" spans="1:59" s="212" customFormat="1" ht="20.25" customHeight="1" x14ac:dyDescent="0.25">
      <c r="A3" s="266" t="s">
        <v>234</v>
      </c>
      <c r="B3" s="204"/>
      <c r="C3" s="204"/>
      <c r="D3" s="267"/>
      <c r="E3" s="267"/>
      <c r="F3" s="267"/>
      <c r="G3" s="267"/>
      <c r="H3" s="267"/>
      <c r="I3" s="267"/>
      <c r="J3" s="267"/>
      <c r="K3" s="267"/>
      <c r="L3" s="267"/>
      <c r="M3" s="268"/>
      <c r="N3" s="268"/>
      <c r="O3" s="111"/>
      <c r="P3" s="111"/>
      <c r="Q3" s="111"/>
      <c r="R3" s="269"/>
      <c r="S3" s="270"/>
      <c r="T3" s="271"/>
      <c r="U3" s="251">
        <f>U4-U16</f>
        <v>-556.10430000000019</v>
      </c>
      <c r="V3" s="251">
        <f t="shared" ref="V3:BG3" si="0">V4-V16</f>
        <v>11.552199999999941</v>
      </c>
      <c r="W3" s="251">
        <f t="shared" si="0"/>
        <v>11.552199999999941</v>
      </c>
      <c r="X3" s="251">
        <f t="shared" si="0"/>
        <v>0</v>
      </c>
      <c r="Y3" s="251">
        <f t="shared" si="0"/>
        <v>5.9860499999998211</v>
      </c>
      <c r="Z3" s="251">
        <f t="shared" si="0"/>
        <v>80.14724999999973</v>
      </c>
      <c r="AA3" s="251">
        <f t="shared" si="0"/>
        <v>-642.2375999999997</v>
      </c>
      <c r="AB3" s="251">
        <f t="shared" si="0"/>
        <v>-2.8421709430404007E-14</v>
      </c>
      <c r="AC3" s="251"/>
      <c r="AD3" s="251"/>
      <c r="AE3" s="251"/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>
        <f t="shared" si="0"/>
        <v>0</v>
      </c>
      <c r="AQ3" s="251">
        <f t="shared" si="0"/>
        <v>18.73</v>
      </c>
      <c r="AR3" s="251">
        <f t="shared" si="0"/>
        <v>0</v>
      </c>
      <c r="AS3" s="251">
        <f t="shared" si="0"/>
        <v>0</v>
      </c>
      <c r="AT3" s="251">
        <f t="shared" si="0"/>
        <v>58.969999999999978</v>
      </c>
      <c r="AU3" s="251">
        <f t="shared" si="0"/>
        <v>-164.6</v>
      </c>
      <c r="AV3" s="251">
        <f t="shared" si="0"/>
        <v>0</v>
      </c>
      <c r="AW3" s="251"/>
      <c r="AX3" s="251"/>
      <c r="AY3" s="251">
        <f t="shared" si="0"/>
        <v>-86.91</v>
      </c>
      <c r="AZ3" s="251">
        <f t="shared" si="0"/>
        <v>0</v>
      </c>
      <c r="BA3" s="251">
        <f t="shared" si="0"/>
        <v>0</v>
      </c>
      <c r="BB3" s="251">
        <f t="shared" si="0"/>
        <v>0</v>
      </c>
      <c r="BC3" s="251">
        <f t="shared" si="0"/>
        <v>0</v>
      </c>
      <c r="BD3" s="251">
        <f t="shared" si="0"/>
        <v>0</v>
      </c>
      <c r="BE3" s="251">
        <f t="shared" si="0"/>
        <v>0</v>
      </c>
      <c r="BF3" s="251">
        <f t="shared" si="0"/>
        <v>0</v>
      </c>
      <c r="BG3" s="251">
        <f t="shared" si="0"/>
        <v>0</v>
      </c>
    </row>
    <row r="4" spans="1:59" s="212" customFormat="1" ht="23.25" customHeight="1" x14ac:dyDescent="0.25">
      <c r="A4" s="266" t="s">
        <v>232</v>
      </c>
      <c r="B4" s="204"/>
      <c r="C4" s="204"/>
      <c r="D4" s="267"/>
      <c r="E4" s="267"/>
      <c r="F4" s="267"/>
      <c r="G4" s="267"/>
      <c r="H4" s="267"/>
      <c r="I4" s="267"/>
      <c r="J4" s="267"/>
      <c r="K4" s="267"/>
      <c r="L4" s="267"/>
      <c r="M4" s="268"/>
      <c r="N4" s="268"/>
      <c r="O4" s="111"/>
      <c r="P4" s="111"/>
      <c r="Q4" s="111"/>
      <c r="R4" s="269"/>
      <c r="S4" s="270"/>
      <c r="T4" s="271"/>
      <c r="U4" s="251">
        <f t="shared" ref="U4:AA4" si="1">SUM(U6:U13)</f>
        <v>206.76219999999972</v>
      </c>
      <c r="V4" s="251">
        <f t="shared" si="1"/>
        <v>11.552199999999941</v>
      </c>
      <c r="W4" s="251">
        <f t="shared" si="1"/>
        <v>11.552199999999941</v>
      </c>
      <c r="X4" s="251">
        <f t="shared" si="1"/>
        <v>0</v>
      </c>
      <c r="Y4" s="251">
        <f t="shared" si="1"/>
        <v>5.9860499999998211</v>
      </c>
      <c r="Z4" s="251">
        <f t="shared" si="1"/>
        <v>200.77614999999992</v>
      </c>
      <c r="AA4" s="251">
        <f t="shared" si="1"/>
        <v>0</v>
      </c>
      <c r="AB4" s="252">
        <f>(U4+V4-SUM(W4:AA4))</f>
        <v>-2.8421709430404007E-14</v>
      </c>
      <c r="AC4" s="253" t="s">
        <v>128</v>
      </c>
      <c r="AD4" s="253"/>
      <c r="AE4" s="253"/>
      <c r="AF4" s="111"/>
      <c r="AG4" s="111"/>
      <c r="AH4" s="111"/>
      <c r="AI4" s="111"/>
      <c r="AJ4" s="111"/>
      <c r="AK4" s="111"/>
      <c r="AL4" s="254" t="s">
        <v>129</v>
      </c>
      <c r="AM4" s="254" t="s">
        <v>130</v>
      </c>
      <c r="AN4" s="254" t="s">
        <v>131</v>
      </c>
      <c r="AO4" s="254"/>
      <c r="AP4" s="251">
        <f t="shared" ref="AP4:AV4" si="2">SUM(AP6:AP13)</f>
        <v>0</v>
      </c>
      <c r="AQ4" s="251">
        <f t="shared" si="2"/>
        <v>18.73</v>
      </c>
      <c r="AR4" s="251">
        <f t="shared" si="2"/>
        <v>0</v>
      </c>
      <c r="AS4" s="251">
        <f t="shared" si="2"/>
        <v>0</v>
      </c>
      <c r="AT4" s="251">
        <f t="shared" si="2"/>
        <v>101.89999999999998</v>
      </c>
      <c r="AU4" s="251">
        <f t="shared" si="2"/>
        <v>0</v>
      </c>
      <c r="AV4" s="215">
        <f t="shared" si="2"/>
        <v>654.25</v>
      </c>
      <c r="AW4" s="215"/>
      <c r="AX4" s="215"/>
      <c r="AY4" s="215">
        <f>ROUND(SUM(AY6:AY13),2)</f>
        <v>36.71</v>
      </c>
      <c r="AZ4" s="215">
        <f>SUM(AZ6:AZ13)*(AZ2*0.225)</f>
        <v>185.14800000000005</v>
      </c>
      <c r="BA4" s="215">
        <f>SUM(BA6:BA13)*(BA2*0.225)</f>
        <v>23.392800000000001</v>
      </c>
      <c r="BB4" s="215">
        <f>SUM(BB6:BB13)*(BB2*0.225)</f>
        <v>56.83679999999999</v>
      </c>
      <c r="BC4" s="215">
        <f>SUM(BC6:BC13)*(BC2*0.225)</f>
        <v>172.476</v>
      </c>
      <c r="BD4" s="215">
        <f>SUM(BD5:BD13)*BD2</f>
        <v>205.93479999999991</v>
      </c>
      <c r="BE4" s="215">
        <f>SUM(BE5:BE13)*BE2</f>
        <v>13.3209</v>
      </c>
      <c r="BF4" s="215">
        <f>SUM(BF6:BF13)*(BB2*225/1000)</f>
        <v>192.51720000000003</v>
      </c>
      <c r="BG4" s="215">
        <f>SUM(BG6:BG13)</f>
        <v>205.72000000000006</v>
      </c>
    </row>
    <row r="5" spans="1:59" s="202" customFormat="1" ht="99.75" customHeight="1" x14ac:dyDescent="0.25">
      <c r="A5" s="272" t="s">
        <v>96</v>
      </c>
      <c r="B5" s="272" t="s">
        <v>132</v>
      </c>
      <c r="C5" s="272" t="s">
        <v>133</v>
      </c>
      <c r="D5" s="195" t="s">
        <v>135</v>
      </c>
      <c r="E5" s="195" t="s">
        <v>136</v>
      </c>
      <c r="F5" s="273" t="s">
        <v>137</v>
      </c>
      <c r="G5" s="273" t="s">
        <v>138</v>
      </c>
      <c r="H5" s="273" t="s">
        <v>139</v>
      </c>
      <c r="I5" s="273" t="s">
        <v>140</v>
      </c>
      <c r="J5" s="195" t="s">
        <v>141</v>
      </c>
      <c r="K5" s="195" t="s">
        <v>142</v>
      </c>
      <c r="L5" s="274" t="s">
        <v>143</v>
      </c>
      <c r="M5" s="274" t="s">
        <v>144</v>
      </c>
      <c r="N5" s="274" t="s">
        <v>145</v>
      </c>
      <c r="O5" s="274" t="s">
        <v>146</v>
      </c>
      <c r="P5" s="274" t="s">
        <v>147</v>
      </c>
      <c r="Q5" s="274" t="s">
        <v>148</v>
      </c>
      <c r="R5" s="275" t="s">
        <v>231</v>
      </c>
      <c r="S5" s="195" t="s">
        <v>149</v>
      </c>
      <c r="T5" s="195" t="s">
        <v>150</v>
      </c>
      <c r="U5" s="195" t="s">
        <v>151</v>
      </c>
      <c r="V5" s="195" t="s">
        <v>152</v>
      </c>
      <c r="W5" s="276" t="s">
        <v>153</v>
      </c>
      <c r="X5" s="276" t="s">
        <v>154</v>
      </c>
      <c r="Y5" s="276" t="s">
        <v>155</v>
      </c>
      <c r="Z5" s="276" t="s">
        <v>156</v>
      </c>
      <c r="AA5" s="276" t="s">
        <v>157</v>
      </c>
      <c r="AB5" s="277" t="s">
        <v>158</v>
      </c>
      <c r="AC5" s="195" t="s">
        <v>159</v>
      </c>
      <c r="AD5" s="195" t="s">
        <v>160</v>
      </c>
      <c r="AE5" s="195" t="s">
        <v>161</v>
      </c>
      <c r="AF5" s="195" t="s">
        <v>162</v>
      </c>
      <c r="AG5" s="195" t="s">
        <v>163</v>
      </c>
      <c r="AH5" s="195" t="s">
        <v>164</v>
      </c>
      <c r="AI5" s="195" t="s">
        <v>165</v>
      </c>
      <c r="AJ5" s="195" t="s">
        <v>166</v>
      </c>
      <c r="AK5" s="278" t="s">
        <v>167</v>
      </c>
      <c r="AL5" s="279" t="s">
        <v>168</v>
      </c>
      <c r="AM5" s="279" t="s">
        <v>169</v>
      </c>
      <c r="AN5" s="279" t="s">
        <v>131</v>
      </c>
      <c r="AO5" s="279" t="s">
        <v>170</v>
      </c>
      <c r="AP5" s="280" t="s">
        <v>171</v>
      </c>
      <c r="AQ5" s="280" t="s">
        <v>172</v>
      </c>
      <c r="AR5" s="280" t="s">
        <v>173</v>
      </c>
      <c r="AS5" s="280" t="s">
        <v>174</v>
      </c>
      <c r="AT5" s="280" t="s">
        <v>175</v>
      </c>
      <c r="AU5" s="280" t="s">
        <v>176</v>
      </c>
      <c r="AV5" s="276" t="s">
        <v>177</v>
      </c>
      <c r="AW5" s="195" t="s">
        <v>178</v>
      </c>
      <c r="AX5" s="195" t="s">
        <v>179</v>
      </c>
      <c r="AY5" s="195" t="s">
        <v>180</v>
      </c>
      <c r="AZ5" s="197" t="s">
        <v>181</v>
      </c>
      <c r="BA5" s="197" t="s">
        <v>182</v>
      </c>
      <c r="BB5" s="196" t="s">
        <v>183</v>
      </c>
      <c r="BC5" s="197" t="s">
        <v>184</v>
      </c>
      <c r="BD5" s="197" t="s">
        <v>185</v>
      </c>
      <c r="BE5" s="197" t="s">
        <v>186</v>
      </c>
      <c r="BF5" s="197" t="s">
        <v>187</v>
      </c>
      <c r="BG5" s="197" t="s">
        <v>188</v>
      </c>
    </row>
    <row r="6" spans="1:59" s="181" customFormat="1" ht="15.75" customHeight="1" x14ac:dyDescent="0.25">
      <c r="A6" s="204">
        <v>1</v>
      </c>
      <c r="B6" s="204" t="s">
        <v>75</v>
      </c>
      <c r="C6" s="204" t="s">
        <v>99</v>
      </c>
      <c r="D6" s="204">
        <v>8.7539999999999996</v>
      </c>
      <c r="E6" s="204">
        <v>8.6340000000000003</v>
      </c>
      <c r="F6" s="214">
        <v>1</v>
      </c>
      <c r="G6" s="214">
        <v>1</v>
      </c>
      <c r="H6" s="214">
        <v>1</v>
      </c>
      <c r="I6" s="214">
        <v>0.13</v>
      </c>
      <c r="J6" s="281">
        <f>ROUND(D6+H6+I6,2)</f>
        <v>9.8800000000000008</v>
      </c>
      <c r="K6" s="281">
        <f>ROUND(SUM(E6:G6),2)</f>
        <v>10.63</v>
      </c>
      <c r="L6" s="281">
        <f t="shared" ref="L6:L13" si="3">ROUND(J6*K6,2)</f>
        <v>105.02</v>
      </c>
      <c r="M6" s="281">
        <v>0</v>
      </c>
      <c r="N6" s="281">
        <f>L6+M6</f>
        <v>105.02</v>
      </c>
      <c r="O6" s="282">
        <v>41.76</v>
      </c>
      <c r="P6" s="283">
        <v>0.5</v>
      </c>
      <c r="Q6" s="281">
        <f>O6-P6</f>
        <v>41.26</v>
      </c>
      <c r="R6" s="284">
        <v>41.65</v>
      </c>
      <c r="S6" s="285">
        <f t="shared" ref="S6:S13" si="4">R6-(BeamBlockSlabBuildUp1/1000)</f>
        <v>41.15</v>
      </c>
      <c r="T6" s="269">
        <f>SUM(Q6-S6)</f>
        <v>0.10999999999999943</v>
      </c>
      <c r="U6" s="286">
        <f t="shared" ref="U6:U13" si="5">IF(T6&lt;0.001,($N6*$T6)*-1,0)</f>
        <v>0</v>
      </c>
      <c r="V6" s="286">
        <f t="shared" ref="V6:V13" si="6">IF(T6&gt;0.001,($N6*$T6),0)</f>
        <v>11.552199999999941</v>
      </c>
      <c r="W6" s="287">
        <f t="shared" ref="W6:W13" si="7">IF(AND(T6&gt;0,T6&lt;0.251),V6,0)</f>
        <v>11.552199999999941</v>
      </c>
      <c r="X6" s="287">
        <f t="shared" ref="X6:X13" si="8">IF(AND(T6&gt;0.25,T6&lt;1.01),V6,0)</f>
        <v>0</v>
      </c>
      <c r="Y6" s="288">
        <f t="shared" ref="Y6:Y13" si="9">IF(AND(T6&lt;0,T6&gt;-0.251),U6,0)</f>
        <v>0</v>
      </c>
      <c r="Z6" s="288">
        <f t="shared" ref="Z6:Z13" si="10">IF(AND(T6&gt;-1.001,T6&lt;-0.251),U6,0)</f>
        <v>0</v>
      </c>
      <c r="AA6" s="289">
        <f t="shared" ref="AA6:AA9" si="11">IF(AND(T6&gt;-2.001,T6&lt;-1),U6,0)</f>
        <v>0</v>
      </c>
      <c r="AB6" s="252" t="b">
        <f>(U6+V6-SUM(W6:AA6))=0</f>
        <v>1</v>
      </c>
      <c r="AC6" s="290">
        <v>33.415999999999997</v>
      </c>
      <c r="AD6" s="290">
        <v>0</v>
      </c>
      <c r="AE6" s="290">
        <f>SUM(AC6:AD6)</f>
        <v>33.415999999999997</v>
      </c>
      <c r="AF6" s="209">
        <v>0</v>
      </c>
      <c r="AG6" s="209">
        <f>((K6*1000)-(2*$AF$4)+303)/1000</f>
        <v>10.933</v>
      </c>
      <c r="AH6" s="209">
        <v>20.049599999999998</v>
      </c>
      <c r="AI6" s="209">
        <v>0</v>
      </c>
      <c r="AJ6" s="209">
        <v>4.9198500000000003</v>
      </c>
      <c r="AK6" s="209">
        <f>SUM(AH6:AJ6)</f>
        <v>24.969449999999998</v>
      </c>
      <c r="AL6" s="291">
        <v>40400</v>
      </c>
      <c r="AM6" s="291">
        <f>IF(T6&lt;0,(S6+T6-0.1)*1000,0)</f>
        <v>0</v>
      </c>
      <c r="AN6" s="291">
        <f>IF(AM6=0,AL6,IF(AL6&lt;AM6,AL6,AM6))</f>
        <v>40400</v>
      </c>
      <c r="AO6" s="291">
        <f t="shared" ref="AO6:AO13" si="12">(S6*1000)-AN6</f>
        <v>750</v>
      </c>
      <c r="AP6" s="292">
        <f t="shared" ref="AP6:AP13" si="13">IF(AND(AO6&lt;251,T6&gt;0),AK6*AO6/1000,0)</f>
        <v>0</v>
      </c>
      <c r="AQ6" s="292">
        <f t="shared" ref="AQ6:AQ13" si="14">ROUND(IF(AND(AO6&gt;250,AO6&lt;1001,T6&gt;0),AK6*AO6/1000,0),2)</f>
        <v>18.73</v>
      </c>
      <c r="AR6" s="292">
        <f t="shared" ref="AR6:AR13" si="15">ROUND(IF(AND(AO6&gt;1000,AO6&lt;2001,T6&gt;0),AK6*AO6/1000,0),2)</f>
        <v>0</v>
      </c>
      <c r="AS6" s="292">
        <f t="shared" ref="AS6:AS13" si="16">IF(AND(AO6&lt;251,T6&lt;0),AK6*AO6/1000,0)</f>
        <v>0</v>
      </c>
      <c r="AT6" s="292">
        <f t="shared" ref="AT6:AT13" si="17">ROUND(IF(AND(AO6&gt;250,AO6&lt;1001,T6&lt;0),AK6*AO6/1000,0),2)</f>
        <v>0</v>
      </c>
      <c r="AU6" s="292">
        <f t="shared" ref="AU6:AU13" si="18">ROUND(IF(AND(AO6&gt;1000,AO6&lt;2001,T6&lt;0),AK6*AO6/1000,0),2)</f>
        <v>0</v>
      </c>
      <c r="AV6" s="209">
        <f>N6</f>
        <v>105.02</v>
      </c>
      <c r="AW6" s="293">
        <v>40625</v>
      </c>
      <c r="AX6" s="294">
        <f>AW6-AN6</f>
        <v>225</v>
      </c>
      <c r="AY6" s="293">
        <f>ROUND(AK6*(AX6/1000),2)</f>
        <v>5.62</v>
      </c>
      <c r="AZ6" s="207">
        <v>34.380000000000003</v>
      </c>
      <c r="BA6" s="208">
        <v>0</v>
      </c>
      <c r="BB6" s="205">
        <f>(8754-350-350+303)/1000</f>
        <v>8.3569999999999993</v>
      </c>
      <c r="BC6" s="207">
        <v>32.620000000000005</v>
      </c>
      <c r="BD6" s="207">
        <v>33.575999999999993</v>
      </c>
      <c r="BE6" s="207">
        <f>IF(BA6=0,0,BA6/2)</f>
        <v>0</v>
      </c>
      <c r="BF6" s="206">
        <f>(BD6)+(BE6)</f>
        <v>33.575999999999993</v>
      </c>
      <c r="BG6" s="206">
        <f>AZ6</f>
        <v>34.380000000000003</v>
      </c>
    </row>
    <row r="7" spans="1:59" x14ac:dyDescent="0.25">
      <c r="A7" s="204">
        <v>2</v>
      </c>
      <c r="B7" s="204" t="s">
        <v>75</v>
      </c>
      <c r="C7" s="204" t="s">
        <v>99</v>
      </c>
      <c r="D7" s="204">
        <v>8.7539999999999996</v>
      </c>
      <c r="E7" s="204">
        <v>8.6340000000000003</v>
      </c>
      <c r="F7" s="214">
        <v>1</v>
      </c>
      <c r="G7" s="214">
        <v>1</v>
      </c>
      <c r="H7" s="214">
        <v>1</v>
      </c>
      <c r="I7" s="214">
        <v>1</v>
      </c>
      <c r="J7" s="281">
        <f t="shared" ref="J7:J13" si="19">ROUND(D7+H7+I7,2)</f>
        <v>10.75</v>
      </c>
      <c r="K7" s="281">
        <f t="shared" ref="K7:K13" si="20">ROUND(SUM(E7:G7),2)</f>
        <v>10.63</v>
      </c>
      <c r="L7" s="281">
        <f t="shared" si="3"/>
        <v>114.27</v>
      </c>
      <c r="M7" s="281">
        <v>0</v>
      </c>
      <c r="N7" s="281">
        <f>L7+M7</f>
        <v>114.27</v>
      </c>
      <c r="O7" s="281">
        <v>41.02</v>
      </c>
      <c r="P7" s="283">
        <v>0.5</v>
      </c>
      <c r="Q7" s="281">
        <f>O7-P7</f>
        <v>40.520000000000003</v>
      </c>
      <c r="R7" s="285">
        <v>41.45</v>
      </c>
      <c r="S7" s="285">
        <f t="shared" si="4"/>
        <v>40.950000000000003</v>
      </c>
      <c r="T7" s="269">
        <f>SUM(Q7-S7)</f>
        <v>-0.42999999999999972</v>
      </c>
      <c r="U7" s="286">
        <f t="shared" si="5"/>
        <v>49.136099999999963</v>
      </c>
      <c r="V7" s="286">
        <f t="shared" si="6"/>
        <v>0</v>
      </c>
      <c r="W7" s="287">
        <f t="shared" si="7"/>
        <v>0</v>
      </c>
      <c r="X7" s="287">
        <f t="shared" si="8"/>
        <v>0</v>
      </c>
      <c r="Y7" s="288">
        <f t="shared" si="9"/>
        <v>0</v>
      </c>
      <c r="Z7" s="288">
        <f t="shared" si="10"/>
        <v>49.136099999999963</v>
      </c>
      <c r="AA7" s="289">
        <f t="shared" si="11"/>
        <v>0</v>
      </c>
      <c r="AB7" s="252" t="b">
        <f t="shared" ref="AB7:AB13" si="21">(U7+V7-SUM(W7:AA7))=0</f>
        <v>1</v>
      </c>
      <c r="AC7" s="290">
        <v>33.415999999999997</v>
      </c>
      <c r="AD7" s="290">
        <v>0</v>
      </c>
      <c r="AE7" s="290">
        <f t="shared" ref="AE7:AE13" si="22">SUM(AC7:AD7)</f>
        <v>33.415999999999997</v>
      </c>
      <c r="AF7" s="209">
        <v>0</v>
      </c>
      <c r="AG7" s="209">
        <f>((K7*1000)-(2*$AF$4)+303)/1000</f>
        <v>10.933</v>
      </c>
      <c r="AH7" s="209">
        <v>20.049599999999998</v>
      </c>
      <c r="AI7" s="209">
        <v>0</v>
      </c>
      <c r="AJ7" s="209">
        <v>4.9198500000000003</v>
      </c>
      <c r="AK7" s="209">
        <f>SUM(AH7:AJ7)</f>
        <v>24.969449999999998</v>
      </c>
      <c r="AL7" s="291">
        <v>40200</v>
      </c>
      <c r="AM7" s="291">
        <f>IF(T7&lt;0,(S7+T7-0.1)*1000,0)</f>
        <v>40420</v>
      </c>
      <c r="AN7" s="291">
        <f>IF(AM7=0,AL7,IF(AL7&lt;AM7,AL7,AM7))</f>
        <v>40200</v>
      </c>
      <c r="AO7" s="291">
        <f t="shared" si="12"/>
        <v>750</v>
      </c>
      <c r="AP7" s="292">
        <f t="shared" si="13"/>
        <v>0</v>
      </c>
      <c r="AQ7" s="292">
        <f t="shared" si="14"/>
        <v>0</v>
      </c>
      <c r="AR7" s="292">
        <f t="shared" si="15"/>
        <v>0</v>
      </c>
      <c r="AS7" s="292">
        <f t="shared" si="16"/>
        <v>0</v>
      </c>
      <c r="AT7" s="292">
        <f t="shared" si="17"/>
        <v>18.73</v>
      </c>
      <c r="AU7" s="292">
        <f t="shared" si="18"/>
        <v>0</v>
      </c>
      <c r="AV7" s="209">
        <f t="shared" ref="AV7:AV13" si="23">N7</f>
        <v>114.27</v>
      </c>
      <c r="AW7" s="293">
        <v>40425</v>
      </c>
      <c r="AX7" s="294">
        <f t="shared" ref="AX7:AX13" si="24">AW7-AN7</f>
        <v>225</v>
      </c>
      <c r="AY7" s="293">
        <f t="shared" ref="AY7:AY13" si="25">ROUND(AK7*(AX7/1000),2)</f>
        <v>5.62</v>
      </c>
      <c r="AZ7" s="207">
        <v>34.380000000000003</v>
      </c>
      <c r="BA7" s="208">
        <v>0</v>
      </c>
      <c r="BB7" s="205">
        <f>(8754-350-350+303)/1000</f>
        <v>8.3569999999999993</v>
      </c>
      <c r="BC7" s="207">
        <v>32.620000000000005</v>
      </c>
      <c r="BD7" s="207">
        <v>33.575999999999993</v>
      </c>
      <c r="BE7" s="207">
        <f t="shared" ref="BE7:BE13" si="26">IF(BA7=0,0,BA7/2)</f>
        <v>0</v>
      </c>
      <c r="BF7" s="206">
        <f t="shared" ref="BF7:BF13" si="27">(BD7)+(BE7)</f>
        <v>33.575999999999993</v>
      </c>
      <c r="BG7" s="206">
        <f t="shared" ref="BG7:BG13" si="28">AZ7</f>
        <v>34.380000000000003</v>
      </c>
    </row>
    <row r="8" spans="1:59" x14ac:dyDescent="0.25">
      <c r="A8" s="295">
        <v>24</v>
      </c>
      <c r="B8" s="295" t="s">
        <v>75</v>
      </c>
      <c r="C8" s="295" t="s">
        <v>99</v>
      </c>
      <c r="D8" s="204">
        <v>8.7539999999999996</v>
      </c>
      <c r="E8" s="204">
        <v>8.6340000000000003</v>
      </c>
      <c r="F8" s="214">
        <v>1</v>
      </c>
      <c r="G8" s="214">
        <v>1</v>
      </c>
      <c r="H8" s="214">
        <v>1</v>
      </c>
      <c r="I8" s="214">
        <v>0.13</v>
      </c>
      <c r="J8" s="281">
        <f t="shared" si="19"/>
        <v>9.8800000000000008</v>
      </c>
      <c r="K8" s="281">
        <f t="shared" si="20"/>
        <v>10.63</v>
      </c>
      <c r="L8" s="281">
        <f t="shared" si="3"/>
        <v>105.02</v>
      </c>
      <c r="M8" s="281">
        <v>0</v>
      </c>
      <c r="N8" s="281">
        <f t="shared" ref="N8:N13" si="29">L8+M8</f>
        <v>105.02</v>
      </c>
      <c r="O8" s="281">
        <v>39.22</v>
      </c>
      <c r="P8" s="283">
        <v>0.5</v>
      </c>
      <c r="Q8" s="281">
        <f t="shared" ref="Q8:Q13" si="30">O8-P8</f>
        <v>38.72</v>
      </c>
      <c r="R8" s="285">
        <v>39.9</v>
      </c>
      <c r="S8" s="285">
        <f t="shared" si="4"/>
        <v>39.4</v>
      </c>
      <c r="T8" s="269">
        <f>SUM(Q8-S8)</f>
        <v>-0.67999999999999972</v>
      </c>
      <c r="U8" s="286">
        <f t="shared" si="5"/>
        <v>71.413599999999974</v>
      </c>
      <c r="V8" s="286">
        <f t="shared" si="6"/>
        <v>0</v>
      </c>
      <c r="W8" s="287">
        <f t="shared" si="7"/>
        <v>0</v>
      </c>
      <c r="X8" s="287">
        <f t="shared" si="8"/>
        <v>0</v>
      </c>
      <c r="Y8" s="288">
        <f t="shared" si="9"/>
        <v>0</v>
      </c>
      <c r="Z8" s="288">
        <f t="shared" si="10"/>
        <v>71.413599999999974</v>
      </c>
      <c r="AA8" s="289">
        <f t="shared" si="11"/>
        <v>0</v>
      </c>
      <c r="AB8" s="252" t="b">
        <f t="shared" si="21"/>
        <v>1</v>
      </c>
      <c r="AC8" s="290">
        <v>33.415999999999997</v>
      </c>
      <c r="AD8" s="290">
        <v>0</v>
      </c>
      <c r="AE8" s="290">
        <f t="shared" si="22"/>
        <v>33.415999999999997</v>
      </c>
      <c r="AF8" s="209">
        <v>0</v>
      </c>
      <c r="AG8" s="209">
        <f>((K8*1000)-(2*$AF$4)+303)/1000</f>
        <v>10.933</v>
      </c>
      <c r="AH8" s="209">
        <v>20.049599999999998</v>
      </c>
      <c r="AI8" s="209">
        <v>0</v>
      </c>
      <c r="AJ8" s="209">
        <v>4.9198500000000003</v>
      </c>
      <c r="AK8" s="209">
        <f>SUM(AH8:AJ8)</f>
        <v>24.969449999999998</v>
      </c>
      <c r="AL8" s="291">
        <v>38650</v>
      </c>
      <c r="AM8" s="291">
        <f t="shared" ref="AM8:AM13" si="31">IF(T8&lt;0,(S8+T8-0.1)*1000,0)</f>
        <v>38620</v>
      </c>
      <c r="AN8" s="291">
        <f t="shared" ref="AN8:AN13" si="32">IF(AM8=0,AL8,IF(AL8&lt;AM8,AL8,AM8))</f>
        <v>38620</v>
      </c>
      <c r="AO8" s="291">
        <f t="shared" si="12"/>
        <v>780</v>
      </c>
      <c r="AP8" s="292">
        <f t="shared" si="13"/>
        <v>0</v>
      </c>
      <c r="AQ8" s="292">
        <f t="shared" si="14"/>
        <v>0</v>
      </c>
      <c r="AR8" s="292">
        <f t="shared" si="15"/>
        <v>0</v>
      </c>
      <c r="AS8" s="292">
        <f t="shared" si="16"/>
        <v>0</v>
      </c>
      <c r="AT8" s="292">
        <f t="shared" si="17"/>
        <v>19.48</v>
      </c>
      <c r="AU8" s="292">
        <f t="shared" si="18"/>
        <v>0</v>
      </c>
      <c r="AV8" s="209">
        <f t="shared" si="23"/>
        <v>105.02</v>
      </c>
      <c r="AW8" s="293">
        <v>38875</v>
      </c>
      <c r="AX8" s="294">
        <f t="shared" si="24"/>
        <v>255</v>
      </c>
      <c r="AY8" s="293">
        <f t="shared" si="25"/>
        <v>6.37</v>
      </c>
      <c r="AZ8" s="207">
        <v>34.380000000000003</v>
      </c>
      <c r="BA8" s="208">
        <v>0</v>
      </c>
      <c r="BB8" s="205">
        <f>(8754-350-350+303)/1000</f>
        <v>8.3569999999999993</v>
      </c>
      <c r="BC8" s="207">
        <v>32.620000000000005</v>
      </c>
      <c r="BD8" s="207">
        <v>33.575999999999993</v>
      </c>
      <c r="BE8" s="207">
        <f t="shared" si="26"/>
        <v>0</v>
      </c>
      <c r="BF8" s="206">
        <f t="shared" si="27"/>
        <v>33.575999999999993</v>
      </c>
      <c r="BG8" s="206">
        <f t="shared" si="28"/>
        <v>34.380000000000003</v>
      </c>
    </row>
    <row r="9" spans="1:59" s="213" customFormat="1" x14ac:dyDescent="0.25">
      <c r="A9" s="295">
        <v>25</v>
      </c>
      <c r="B9" s="295" t="s">
        <v>75</v>
      </c>
      <c r="C9" s="295" t="s">
        <v>99</v>
      </c>
      <c r="D9" s="204">
        <v>8.7539999999999996</v>
      </c>
      <c r="E9" s="204">
        <v>8.6340000000000003</v>
      </c>
      <c r="F9" s="214">
        <v>1</v>
      </c>
      <c r="G9" s="214">
        <v>1</v>
      </c>
      <c r="H9" s="214">
        <v>0.13</v>
      </c>
      <c r="I9" s="214">
        <v>1</v>
      </c>
      <c r="J9" s="281">
        <f t="shared" si="19"/>
        <v>9.8800000000000008</v>
      </c>
      <c r="K9" s="281">
        <f t="shared" si="20"/>
        <v>10.63</v>
      </c>
      <c r="L9" s="281">
        <f t="shared" si="3"/>
        <v>105.02</v>
      </c>
      <c r="M9" s="281">
        <v>0</v>
      </c>
      <c r="N9" s="281">
        <f>L9+M9</f>
        <v>105.02</v>
      </c>
      <c r="O9" s="281">
        <v>39.29</v>
      </c>
      <c r="P9" s="283">
        <v>0.5</v>
      </c>
      <c r="Q9" s="281">
        <f t="shared" si="30"/>
        <v>38.79</v>
      </c>
      <c r="R9" s="285">
        <v>39.65</v>
      </c>
      <c r="S9" s="285">
        <f t="shared" si="4"/>
        <v>39.15</v>
      </c>
      <c r="T9" s="269">
        <f t="shared" ref="T9:T13" si="33">SUM(Q9-S9)</f>
        <v>-0.35999999999999943</v>
      </c>
      <c r="U9" s="286">
        <f t="shared" si="5"/>
        <v>37.807199999999938</v>
      </c>
      <c r="V9" s="286">
        <f t="shared" si="6"/>
        <v>0</v>
      </c>
      <c r="W9" s="287">
        <f t="shared" si="7"/>
        <v>0</v>
      </c>
      <c r="X9" s="287">
        <f t="shared" si="8"/>
        <v>0</v>
      </c>
      <c r="Y9" s="288">
        <f t="shared" si="9"/>
        <v>0</v>
      </c>
      <c r="Z9" s="288">
        <f t="shared" si="10"/>
        <v>37.807199999999938</v>
      </c>
      <c r="AA9" s="289">
        <f t="shared" si="11"/>
        <v>0</v>
      </c>
      <c r="AB9" s="252" t="b">
        <f t="shared" si="21"/>
        <v>1</v>
      </c>
      <c r="AC9" s="290">
        <v>33.415999999999997</v>
      </c>
      <c r="AD9" s="290">
        <v>0</v>
      </c>
      <c r="AE9" s="290">
        <f t="shared" si="22"/>
        <v>33.415999999999997</v>
      </c>
      <c r="AF9" s="209">
        <v>0</v>
      </c>
      <c r="AG9" s="209">
        <f>((K9*1000)-(2*$AF$4)+303)/1000</f>
        <v>10.933</v>
      </c>
      <c r="AH9" s="209">
        <v>20.049599999999998</v>
      </c>
      <c r="AI9" s="209">
        <v>0</v>
      </c>
      <c r="AJ9" s="209">
        <v>4.9198500000000003</v>
      </c>
      <c r="AK9" s="209">
        <f>SUM(AH9:AJ9)</f>
        <v>24.969449999999998</v>
      </c>
      <c r="AL9" s="291">
        <v>38400</v>
      </c>
      <c r="AM9" s="291">
        <f t="shared" si="31"/>
        <v>38690</v>
      </c>
      <c r="AN9" s="291">
        <f t="shared" si="32"/>
        <v>38400</v>
      </c>
      <c r="AO9" s="291">
        <f t="shared" si="12"/>
        <v>750</v>
      </c>
      <c r="AP9" s="292">
        <f t="shared" si="13"/>
        <v>0</v>
      </c>
      <c r="AQ9" s="292">
        <f t="shared" si="14"/>
        <v>0</v>
      </c>
      <c r="AR9" s="292">
        <f t="shared" si="15"/>
        <v>0</v>
      </c>
      <c r="AS9" s="292">
        <f t="shared" si="16"/>
        <v>0</v>
      </c>
      <c r="AT9" s="292">
        <f t="shared" si="17"/>
        <v>18.73</v>
      </c>
      <c r="AU9" s="292">
        <f t="shared" si="18"/>
        <v>0</v>
      </c>
      <c r="AV9" s="209">
        <f t="shared" si="23"/>
        <v>105.02</v>
      </c>
      <c r="AW9" s="293">
        <v>38625</v>
      </c>
      <c r="AX9" s="294">
        <f t="shared" si="24"/>
        <v>225</v>
      </c>
      <c r="AY9" s="293">
        <f t="shared" si="25"/>
        <v>5.62</v>
      </c>
      <c r="AZ9" s="207">
        <v>34.380000000000003</v>
      </c>
      <c r="BA9" s="208">
        <v>0</v>
      </c>
      <c r="BB9" s="205">
        <f>(8754-350-350+303)/1000</f>
        <v>8.3569999999999993</v>
      </c>
      <c r="BC9" s="207">
        <v>32.620000000000005</v>
      </c>
      <c r="BD9" s="207">
        <v>33.575999999999993</v>
      </c>
      <c r="BE9" s="207">
        <f t="shared" si="26"/>
        <v>0</v>
      </c>
      <c r="BF9" s="206">
        <f t="shared" si="27"/>
        <v>33.575999999999993</v>
      </c>
      <c r="BG9" s="206">
        <f t="shared" si="28"/>
        <v>34.380000000000003</v>
      </c>
    </row>
    <row r="10" spans="1:59" x14ac:dyDescent="0.25">
      <c r="A10" s="295">
        <v>59</v>
      </c>
      <c r="B10" s="295" t="s">
        <v>190</v>
      </c>
      <c r="C10" s="295" t="s">
        <v>33</v>
      </c>
      <c r="D10" s="204">
        <f>10.074/2</f>
        <v>5.0369999999999999</v>
      </c>
      <c r="E10" s="214">
        <v>7.1779999999999999</v>
      </c>
      <c r="F10" s="214">
        <v>1</v>
      </c>
      <c r="G10" s="214">
        <v>1</v>
      </c>
      <c r="H10" s="214">
        <v>1</v>
      </c>
      <c r="I10" s="214">
        <v>0</v>
      </c>
      <c r="J10" s="281">
        <f t="shared" si="19"/>
        <v>6.04</v>
      </c>
      <c r="K10" s="281">
        <f t="shared" si="20"/>
        <v>9.18</v>
      </c>
      <c r="L10" s="281">
        <f t="shared" si="3"/>
        <v>55.45</v>
      </c>
      <c r="M10" s="281">
        <v>0</v>
      </c>
      <c r="N10" s="281">
        <f t="shared" si="29"/>
        <v>55.45</v>
      </c>
      <c r="O10" s="281">
        <v>41.01</v>
      </c>
      <c r="P10" s="283">
        <v>0.5</v>
      </c>
      <c r="Q10" s="281">
        <f t="shared" si="30"/>
        <v>40.51</v>
      </c>
      <c r="R10" s="296">
        <v>41.5</v>
      </c>
      <c r="S10" s="285">
        <f t="shared" si="4"/>
        <v>41</v>
      </c>
      <c r="T10" s="269">
        <f t="shared" si="33"/>
        <v>-0.49000000000000199</v>
      </c>
      <c r="U10" s="286">
        <f t="shared" si="5"/>
        <v>27.170500000000111</v>
      </c>
      <c r="V10" s="286">
        <f t="shared" si="6"/>
        <v>0</v>
      </c>
      <c r="W10" s="287">
        <f t="shared" si="7"/>
        <v>0</v>
      </c>
      <c r="X10" s="287">
        <f t="shared" si="8"/>
        <v>0</v>
      </c>
      <c r="Y10" s="288">
        <f t="shared" si="9"/>
        <v>0</v>
      </c>
      <c r="Z10" s="288">
        <f t="shared" si="10"/>
        <v>27.170500000000111</v>
      </c>
      <c r="AA10" s="289">
        <f t="shared" ref="AA10:AA13" si="34">IF(AND(T10&gt;-2.001,T10&lt;-1),U10,0)</f>
        <v>0</v>
      </c>
      <c r="AB10" s="252" t="b">
        <f t="shared" si="21"/>
        <v>1</v>
      </c>
      <c r="AC10" s="290">
        <v>16.571999999999999</v>
      </c>
      <c r="AD10" s="290">
        <v>0</v>
      </c>
      <c r="AE10" s="290">
        <f t="shared" si="22"/>
        <v>16.571999999999999</v>
      </c>
      <c r="AF10" s="210">
        <f t="shared" ref="AF10:AF13" si="35">E10</f>
        <v>7.1779999999999999</v>
      </c>
      <c r="AG10" s="215">
        <v>7.0410000000000004</v>
      </c>
      <c r="AH10" s="209">
        <v>9.9431999999999992</v>
      </c>
      <c r="AI10" s="209">
        <v>1.8713999999999997</v>
      </c>
      <c r="AJ10" s="209">
        <v>3.1684500000000004</v>
      </c>
      <c r="AK10" s="209">
        <f t="shared" ref="AK10:AK13" si="36">SUM(AH10:AJ10)</f>
        <v>14.983049999999999</v>
      </c>
      <c r="AL10" s="291">
        <v>40250</v>
      </c>
      <c r="AM10" s="291">
        <f t="shared" si="31"/>
        <v>40410</v>
      </c>
      <c r="AN10" s="291">
        <f t="shared" si="32"/>
        <v>40250</v>
      </c>
      <c r="AO10" s="291">
        <f t="shared" si="12"/>
        <v>750</v>
      </c>
      <c r="AP10" s="292">
        <f t="shared" si="13"/>
        <v>0</v>
      </c>
      <c r="AQ10" s="292">
        <f t="shared" si="14"/>
        <v>0</v>
      </c>
      <c r="AR10" s="292">
        <f t="shared" si="15"/>
        <v>0</v>
      </c>
      <c r="AS10" s="292">
        <f t="shared" si="16"/>
        <v>0</v>
      </c>
      <c r="AT10" s="292">
        <f t="shared" si="17"/>
        <v>11.24</v>
      </c>
      <c r="AU10" s="292">
        <f t="shared" si="18"/>
        <v>0</v>
      </c>
      <c r="AV10" s="209">
        <f t="shared" si="23"/>
        <v>55.45</v>
      </c>
      <c r="AW10" s="293">
        <v>40475</v>
      </c>
      <c r="AX10" s="294">
        <f t="shared" si="24"/>
        <v>225</v>
      </c>
      <c r="AY10" s="293">
        <f t="shared" si="25"/>
        <v>3.37</v>
      </c>
      <c r="AZ10" s="207">
        <v>17.05</v>
      </c>
      <c r="BA10" s="208">
        <v>6.4980000000000002</v>
      </c>
      <c r="BB10" s="111">
        <f>(4512+2919)/1000</f>
        <v>7.431</v>
      </c>
      <c r="BC10" s="207">
        <v>15.290000000000001</v>
      </c>
      <c r="BD10" s="207">
        <v>16.651999999999997</v>
      </c>
      <c r="BE10" s="207">
        <f t="shared" si="26"/>
        <v>3.2490000000000001</v>
      </c>
      <c r="BF10" s="206">
        <f t="shared" si="27"/>
        <v>19.900999999999996</v>
      </c>
      <c r="BG10" s="206">
        <f t="shared" si="28"/>
        <v>17.05</v>
      </c>
    </row>
    <row r="11" spans="1:59" x14ac:dyDescent="0.25">
      <c r="A11" s="295">
        <v>60</v>
      </c>
      <c r="B11" s="295" t="s">
        <v>190</v>
      </c>
      <c r="C11" s="295" t="s">
        <v>33</v>
      </c>
      <c r="D11" s="204">
        <f>10.074/2</f>
        <v>5.0369999999999999</v>
      </c>
      <c r="E11" s="214">
        <v>7.1779999999999999</v>
      </c>
      <c r="F11" s="214">
        <v>1</v>
      </c>
      <c r="G11" s="214">
        <v>1</v>
      </c>
      <c r="H11" s="214">
        <v>0</v>
      </c>
      <c r="I11" s="214">
        <f>2.35/2</f>
        <v>1.175</v>
      </c>
      <c r="J11" s="281">
        <f t="shared" si="19"/>
        <v>6.21</v>
      </c>
      <c r="K11" s="281">
        <f t="shared" si="20"/>
        <v>9.18</v>
      </c>
      <c r="L11" s="281">
        <f t="shared" si="3"/>
        <v>57.01</v>
      </c>
      <c r="M11" s="281">
        <v>0</v>
      </c>
      <c r="N11" s="281">
        <f t="shared" si="29"/>
        <v>57.01</v>
      </c>
      <c r="O11" s="281">
        <v>41.49</v>
      </c>
      <c r="P11" s="283">
        <v>0.5</v>
      </c>
      <c r="Q11" s="281">
        <f t="shared" si="30"/>
        <v>40.99</v>
      </c>
      <c r="R11" s="296">
        <v>41.5</v>
      </c>
      <c r="S11" s="285">
        <f t="shared" si="4"/>
        <v>41</v>
      </c>
      <c r="T11" s="269">
        <f t="shared" si="33"/>
        <v>-9.9999999999980105E-3</v>
      </c>
      <c r="U11" s="286">
        <f t="shared" si="5"/>
        <v>0.57009999999988659</v>
      </c>
      <c r="V11" s="286">
        <f t="shared" si="6"/>
        <v>0</v>
      </c>
      <c r="W11" s="287">
        <f t="shared" si="7"/>
        <v>0</v>
      </c>
      <c r="X11" s="287">
        <f t="shared" si="8"/>
        <v>0</v>
      </c>
      <c r="Y11" s="288">
        <f t="shared" si="9"/>
        <v>0.57009999999988659</v>
      </c>
      <c r="Z11" s="288">
        <f t="shared" si="10"/>
        <v>0</v>
      </c>
      <c r="AA11" s="289">
        <f t="shared" si="34"/>
        <v>0</v>
      </c>
      <c r="AB11" s="252" t="b">
        <f t="shared" si="21"/>
        <v>1</v>
      </c>
      <c r="AC11" s="290">
        <v>16.571999999999999</v>
      </c>
      <c r="AD11" s="290">
        <v>0</v>
      </c>
      <c r="AE11" s="290">
        <f t="shared" si="22"/>
        <v>16.571999999999999</v>
      </c>
      <c r="AF11" s="210">
        <f t="shared" si="35"/>
        <v>7.1779999999999999</v>
      </c>
      <c r="AG11" s="215">
        <v>7.0410000000000004</v>
      </c>
      <c r="AH11" s="209">
        <v>9.9431999999999992</v>
      </c>
      <c r="AI11" s="209">
        <v>1.8713999999999997</v>
      </c>
      <c r="AJ11" s="209">
        <v>3.1684500000000004</v>
      </c>
      <c r="AK11" s="209">
        <f t="shared" si="36"/>
        <v>14.983049999999999</v>
      </c>
      <c r="AL11" s="291">
        <v>40250</v>
      </c>
      <c r="AM11" s="291">
        <f t="shared" si="31"/>
        <v>40890</v>
      </c>
      <c r="AN11" s="291">
        <f t="shared" si="32"/>
        <v>40250</v>
      </c>
      <c r="AO11" s="291">
        <f t="shared" si="12"/>
        <v>750</v>
      </c>
      <c r="AP11" s="292">
        <f t="shared" si="13"/>
        <v>0</v>
      </c>
      <c r="AQ11" s="292">
        <f t="shared" si="14"/>
        <v>0</v>
      </c>
      <c r="AR11" s="292">
        <f t="shared" si="15"/>
        <v>0</v>
      </c>
      <c r="AS11" s="292">
        <f t="shared" si="16"/>
        <v>0</v>
      </c>
      <c r="AT11" s="292">
        <f t="shared" si="17"/>
        <v>11.24</v>
      </c>
      <c r="AU11" s="292">
        <f t="shared" si="18"/>
        <v>0</v>
      </c>
      <c r="AV11" s="209">
        <f t="shared" si="23"/>
        <v>57.01</v>
      </c>
      <c r="AW11" s="293">
        <v>40475</v>
      </c>
      <c r="AX11" s="294">
        <f t="shared" si="24"/>
        <v>225</v>
      </c>
      <c r="AY11" s="293">
        <f t="shared" si="25"/>
        <v>3.37</v>
      </c>
      <c r="AZ11" s="207">
        <v>17.05</v>
      </c>
      <c r="BA11" s="208">
        <v>6.4980000000000002</v>
      </c>
      <c r="BB11" s="111">
        <f>(4512+2919)/1000</f>
        <v>7.431</v>
      </c>
      <c r="BC11" s="207">
        <v>15.290000000000001</v>
      </c>
      <c r="BD11" s="207">
        <v>16.651999999999997</v>
      </c>
      <c r="BE11" s="207">
        <f t="shared" si="26"/>
        <v>3.2490000000000001</v>
      </c>
      <c r="BF11" s="206">
        <f t="shared" si="27"/>
        <v>19.900999999999996</v>
      </c>
      <c r="BG11" s="206">
        <f t="shared" si="28"/>
        <v>17.05</v>
      </c>
    </row>
    <row r="12" spans="1:59" x14ac:dyDescent="0.25">
      <c r="A12" s="295">
        <v>61</v>
      </c>
      <c r="B12" s="295" t="s">
        <v>190</v>
      </c>
      <c r="C12" s="295" t="s">
        <v>33</v>
      </c>
      <c r="D12" s="204">
        <f>10.074/2</f>
        <v>5.0369999999999999</v>
      </c>
      <c r="E12" s="214">
        <v>7.1779999999999999</v>
      </c>
      <c r="F12" s="214">
        <v>1</v>
      </c>
      <c r="G12" s="214">
        <v>1</v>
      </c>
      <c r="H12" s="214">
        <f>I11</f>
        <v>1.175</v>
      </c>
      <c r="I12" s="214">
        <v>0</v>
      </c>
      <c r="J12" s="281">
        <f t="shared" si="19"/>
        <v>6.21</v>
      </c>
      <c r="K12" s="281">
        <f t="shared" si="20"/>
        <v>9.18</v>
      </c>
      <c r="L12" s="281">
        <f t="shared" si="3"/>
        <v>57.01</v>
      </c>
      <c r="M12" s="281">
        <v>0</v>
      </c>
      <c r="N12" s="281">
        <f t="shared" si="29"/>
        <v>57.01</v>
      </c>
      <c r="O12" s="281">
        <v>41.53</v>
      </c>
      <c r="P12" s="283">
        <v>0.5</v>
      </c>
      <c r="Q12" s="281">
        <f t="shared" si="30"/>
        <v>41.03</v>
      </c>
      <c r="R12" s="296">
        <v>41.625</v>
      </c>
      <c r="S12" s="285">
        <f t="shared" si="4"/>
        <v>41.125</v>
      </c>
      <c r="T12" s="269">
        <f t="shared" si="33"/>
        <v>-9.4999999999998863E-2</v>
      </c>
      <c r="U12" s="286">
        <f t="shared" si="5"/>
        <v>5.4159499999999348</v>
      </c>
      <c r="V12" s="286">
        <f t="shared" si="6"/>
        <v>0</v>
      </c>
      <c r="W12" s="287">
        <f t="shared" si="7"/>
        <v>0</v>
      </c>
      <c r="X12" s="287">
        <f t="shared" si="8"/>
        <v>0</v>
      </c>
      <c r="Y12" s="288">
        <f t="shared" si="9"/>
        <v>5.4159499999999348</v>
      </c>
      <c r="Z12" s="288">
        <f t="shared" si="10"/>
        <v>0</v>
      </c>
      <c r="AA12" s="289">
        <f t="shared" si="34"/>
        <v>0</v>
      </c>
      <c r="AB12" s="252" t="b">
        <f t="shared" si="21"/>
        <v>1</v>
      </c>
      <c r="AC12" s="290">
        <v>16.571999999999999</v>
      </c>
      <c r="AD12" s="290">
        <v>0</v>
      </c>
      <c r="AE12" s="290">
        <f t="shared" si="22"/>
        <v>16.571999999999999</v>
      </c>
      <c r="AF12" s="210">
        <f t="shared" si="35"/>
        <v>7.1779999999999999</v>
      </c>
      <c r="AG12" s="215">
        <v>7.0410000000000004</v>
      </c>
      <c r="AH12" s="209">
        <v>9.9431999999999992</v>
      </c>
      <c r="AI12" s="209">
        <v>1.8713999999999997</v>
      </c>
      <c r="AJ12" s="209">
        <v>3.1684500000000004</v>
      </c>
      <c r="AK12" s="209">
        <f t="shared" si="36"/>
        <v>14.983049999999999</v>
      </c>
      <c r="AL12" s="291">
        <v>40375</v>
      </c>
      <c r="AM12" s="291">
        <f t="shared" si="31"/>
        <v>40930</v>
      </c>
      <c r="AN12" s="291">
        <f t="shared" si="32"/>
        <v>40375</v>
      </c>
      <c r="AO12" s="291">
        <f t="shared" si="12"/>
        <v>750</v>
      </c>
      <c r="AP12" s="292">
        <f t="shared" si="13"/>
        <v>0</v>
      </c>
      <c r="AQ12" s="292">
        <f t="shared" si="14"/>
        <v>0</v>
      </c>
      <c r="AR12" s="292">
        <f t="shared" si="15"/>
        <v>0</v>
      </c>
      <c r="AS12" s="292">
        <f t="shared" si="16"/>
        <v>0</v>
      </c>
      <c r="AT12" s="292">
        <f t="shared" si="17"/>
        <v>11.24</v>
      </c>
      <c r="AU12" s="292">
        <f t="shared" si="18"/>
        <v>0</v>
      </c>
      <c r="AV12" s="209">
        <f t="shared" si="23"/>
        <v>57.01</v>
      </c>
      <c r="AW12" s="293">
        <v>40600</v>
      </c>
      <c r="AX12" s="294">
        <f t="shared" si="24"/>
        <v>225</v>
      </c>
      <c r="AY12" s="293">
        <f t="shared" si="25"/>
        <v>3.37</v>
      </c>
      <c r="AZ12" s="207">
        <v>17.05</v>
      </c>
      <c r="BA12" s="208">
        <v>6.4980000000000002</v>
      </c>
      <c r="BB12" s="111">
        <f>(4512+2919)/1000</f>
        <v>7.431</v>
      </c>
      <c r="BC12" s="207">
        <v>15.290000000000001</v>
      </c>
      <c r="BD12" s="207">
        <v>16.651999999999997</v>
      </c>
      <c r="BE12" s="207">
        <f t="shared" si="26"/>
        <v>3.2490000000000001</v>
      </c>
      <c r="BF12" s="206">
        <f t="shared" si="27"/>
        <v>19.900999999999996</v>
      </c>
      <c r="BG12" s="206">
        <f t="shared" si="28"/>
        <v>17.05</v>
      </c>
    </row>
    <row r="13" spans="1:59" x14ac:dyDescent="0.25">
      <c r="A13" s="295">
        <v>62</v>
      </c>
      <c r="B13" s="295" t="s">
        <v>190</v>
      </c>
      <c r="C13" s="295" t="s">
        <v>33</v>
      </c>
      <c r="D13" s="204">
        <f>10.074/2</f>
        <v>5.0369999999999999</v>
      </c>
      <c r="E13" s="214">
        <v>7.1779999999999999</v>
      </c>
      <c r="F13" s="214">
        <v>1</v>
      </c>
      <c r="G13" s="214">
        <v>1</v>
      </c>
      <c r="H13" s="214">
        <v>0</v>
      </c>
      <c r="I13" s="214">
        <v>1</v>
      </c>
      <c r="J13" s="281">
        <f t="shared" si="19"/>
        <v>6.04</v>
      </c>
      <c r="K13" s="281">
        <f t="shared" si="20"/>
        <v>9.18</v>
      </c>
      <c r="L13" s="281">
        <f t="shared" si="3"/>
        <v>55.45</v>
      </c>
      <c r="M13" s="281">
        <v>0</v>
      </c>
      <c r="N13" s="281">
        <f t="shared" si="29"/>
        <v>55.45</v>
      </c>
      <c r="O13" s="281">
        <v>41.35</v>
      </c>
      <c r="P13" s="283">
        <v>0.5</v>
      </c>
      <c r="Q13" s="281">
        <f t="shared" si="30"/>
        <v>40.85</v>
      </c>
      <c r="R13" s="296">
        <v>41.625</v>
      </c>
      <c r="S13" s="285">
        <f t="shared" si="4"/>
        <v>41.125</v>
      </c>
      <c r="T13" s="269">
        <f t="shared" si="33"/>
        <v>-0.27499999999999858</v>
      </c>
      <c r="U13" s="286">
        <f t="shared" si="5"/>
        <v>15.248749999999921</v>
      </c>
      <c r="V13" s="286">
        <f t="shared" si="6"/>
        <v>0</v>
      </c>
      <c r="W13" s="287">
        <f t="shared" si="7"/>
        <v>0</v>
      </c>
      <c r="X13" s="287">
        <f t="shared" si="8"/>
        <v>0</v>
      </c>
      <c r="Y13" s="288">
        <f t="shared" si="9"/>
        <v>0</v>
      </c>
      <c r="Z13" s="288">
        <f t="shared" si="10"/>
        <v>15.248749999999921</v>
      </c>
      <c r="AA13" s="289">
        <f t="shared" si="34"/>
        <v>0</v>
      </c>
      <c r="AB13" s="252" t="b">
        <f t="shared" si="21"/>
        <v>1</v>
      </c>
      <c r="AC13" s="290">
        <v>16.571999999999999</v>
      </c>
      <c r="AD13" s="290">
        <v>0</v>
      </c>
      <c r="AE13" s="290">
        <f t="shared" si="22"/>
        <v>16.571999999999999</v>
      </c>
      <c r="AF13" s="210">
        <f t="shared" si="35"/>
        <v>7.1779999999999999</v>
      </c>
      <c r="AG13" s="215">
        <v>7.0410000000000004</v>
      </c>
      <c r="AH13" s="209">
        <v>9.9431999999999992</v>
      </c>
      <c r="AI13" s="209">
        <v>1.8713999999999997</v>
      </c>
      <c r="AJ13" s="209">
        <v>3.1684500000000004</v>
      </c>
      <c r="AK13" s="209">
        <f t="shared" si="36"/>
        <v>14.983049999999999</v>
      </c>
      <c r="AL13" s="291">
        <v>40375</v>
      </c>
      <c r="AM13" s="291">
        <f t="shared" si="31"/>
        <v>40750</v>
      </c>
      <c r="AN13" s="291">
        <f t="shared" si="32"/>
        <v>40375</v>
      </c>
      <c r="AO13" s="291">
        <f t="shared" si="12"/>
        <v>750</v>
      </c>
      <c r="AP13" s="292">
        <f t="shared" si="13"/>
        <v>0</v>
      </c>
      <c r="AQ13" s="292">
        <f t="shared" si="14"/>
        <v>0</v>
      </c>
      <c r="AR13" s="292">
        <f t="shared" si="15"/>
        <v>0</v>
      </c>
      <c r="AS13" s="292">
        <f t="shared" si="16"/>
        <v>0</v>
      </c>
      <c r="AT13" s="292">
        <f t="shared" si="17"/>
        <v>11.24</v>
      </c>
      <c r="AU13" s="292">
        <f t="shared" si="18"/>
        <v>0</v>
      </c>
      <c r="AV13" s="209">
        <f t="shared" si="23"/>
        <v>55.45</v>
      </c>
      <c r="AW13" s="293">
        <v>40600</v>
      </c>
      <c r="AX13" s="294">
        <f t="shared" si="24"/>
        <v>225</v>
      </c>
      <c r="AY13" s="293">
        <f t="shared" si="25"/>
        <v>3.37</v>
      </c>
      <c r="AZ13" s="207">
        <v>17.05</v>
      </c>
      <c r="BA13" s="208">
        <v>6.4980000000000002</v>
      </c>
      <c r="BB13" s="111">
        <f>(4512+2919)/1000</f>
        <v>7.431</v>
      </c>
      <c r="BC13" s="207">
        <v>15.290000000000001</v>
      </c>
      <c r="BD13" s="207">
        <v>16.651999999999997</v>
      </c>
      <c r="BE13" s="207">
        <f t="shared" si="26"/>
        <v>3.2490000000000001</v>
      </c>
      <c r="BF13" s="206">
        <f t="shared" si="27"/>
        <v>19.900999999999996</v>
      </c>
      <c r="BG13" s="206">
        <f t="shared" si="28"/>
        <v>17.05</v>
      </c>
    </row>
    <row r="14" spans="1:59" x14ac:dyDescent="0.25">
      <c r="A14" s="297"/>
      <c r="B14" s="297"/>
      <c r="C14" s="297"/>
      <c r="D14" s="216"/>
      <c r="E14" s="298"/>
      <c r="F14" s="298"/>
      <c r="G14" s="298"/>
      <c r="H14" s="298"/>
      <c r="I14" s="298"/>
      <c r="J14" s="298"/>
      <c r="K14" s="298"/>
      <c r="L14" s="299"/>
      <c r="M14" s="299"/>
      <c r="N14" s="299"/>
      <c r="O14" s="300"/>
      <c r="P14" s="300"/>
      <c r="Q14" s="299"/>
      <c r="R14" s="298"/>
      <c r="S14" s="216"/>
      <c r="T14" s="298"/>
      <c r="U14" s="301"/>
      <c r="V14" s="301"/>
      <c r="W14" s="298"/>
      <c r="X14" s="298"/>
      <c r="Y14" s="298"/>
      <c r="Z14" s="298"/>
      <c r="AA14" s="110"/>
      <c r="AB14" s="302"/>
      <c r="AC14" s="167"/>
      <c r="AD14" s="167"/>
      <c r="AE14" s="167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0"/>
      <c r="AX14" s="110"/>
      <c r="AY14" s="110"/>
    </row>
    <row r="15" spans="1:59" x14ac:dyDescent="0.25">
      <c r="A15" s="110"/>
      <c r="B15" s="110"/>
      <c r="C15" s="110"/>
      <c r="D15" s="216"/>
      <c r="E15" s="298"/>
      <c r="F15" s="298"/>
      <c r="G15" s="298"/>
      <c r="H15" s="298"/>
      <c r="I15" s="298"/>
      <c r="J15" s="298"/>
      <c r="K15" s="298"/>
      <c r="L15" s="299"/>
      <c r="M15" s="299"/>
      <c r="N15" s="299"/>
      <c r="O15" s="300"/>
      <c r="P15" s="300"/>
      <c r="Q15" s="299"/>
      <c r="R15" s="298"/>
      <c r="S15" s="216"/>
      <c r="T15" s="298"/>
      <c r="U15" s="298"/>
      <c r="V15" s="298"/>
      <c r="W15" s="298"/>
      <c r="X15" s="298"/>
      <c r="Y15" s="110"/>
      <c r="Z15" s="110"/>
      <c r="AA15" s="110"/>
      <c r="AB15" s="302"/>
      <c r="AC15" s="167"/>
      <c r="AD15" s="167"/>
      <c r="AE15" s="167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0"/>
      <c r="AX15" s="110"/>
      <c r="AY15" s="110"/>
    </row>
    <row r="16" spans="1:59" ht="30" x14ac:dyDescent="0.25">
      <c r="A16" s="303" t="s">
        <v>233</v>
      </c>
      <c r="B16" s="110"/>
      <c r="C16" s="110"/>
      <c r="D16" s="216"/>
      <c r="E16" s="298"/>
      <c r="F16" s="298"/>
      <c r="G16" s="298"/>
      <c r="H16" s="298"/>
      <c r="I16" s="298"/>
      <c r="J16" s="298"/>
      <c r="K16" s="298"/>
      <c r="L16" s="299"/>
      <c r="M16" s="299"/>
      <c r="N16" s="299"/>
      <c r="O16" s="300"/>
      <c r="P16" s="300"/>
      <c r="Q16" s="299"/>
      <c r="R16" s="298" t="s">
        <v>235</v>
      </c>
      <c r="S16" s="216"/>
      <c r="T16" s="298"/>
      <c r="U16" s="189">
        <f t="shared" ref="U16:AA16" si="37">SUM(U17:U24)</f>
        <v>762.86649999999986</v>
      </c>
      <c r="V16" s="189">
        <f t="shared" si="37"/>
        <v>0</v>
      </c>
      <c r="W16" s="189">
        <f t="shared" si="37"/>
        <v>0</v>
      </c>
      <c r="X16" s="189">
        <f t="shared" si="37"/>
        <v>0</v>
      </c>
      <c r="Y16" s="189">
        <f t="shared" si="37"/>
        <v>0</v>
      </c>
      <c r="Z16" s="189">
        <f t="shared" si="37"/>
        <v>120.62890000000019</v>
      </c>
      <c r="AA16" s="189">
        <f t="shared" si="37"/>
        <v>642.2375999999997</v>
      </c>
      <c r="AB16" s="190">
        <f>(U16+V16-SUM(W16:AA16))</f>
        <v>0</v>
      </c>
      <c r="AC16" s="191" t="s">
        <v>128</v>
      </c>
      <c r="AD16" s="191"/>
      <c r="AE16" s="191"/>
      <c r="AF16" s="110"/>
      <c r="AG16" s="110"/>
      <c r="AH16" s="110"/>
      <c r="AI16" s="110"/>
      <c r="AJ16" s="110"/>
      <c r="AK16" s="110"/>
      <c r="AL16" s="192" t="s">
        <v>129</v>
      </c>
      <c r="AM16" s="192" t="s">
        <v>130</v>
      </c>
      <c r="AN16" s="192" t="s">
        <v>131</v>
      </c>
      <c r="AO16" s="192"/>
      <c r="AP16" s="189">
        <f t="shared" ref="AP16:AV16" si="38">SUM(AP17:AP24)</f>
        <v>0</v>
      </c>
      <c r="AQ16" s="189">
        <f t="shared" si="38"/>
        <v>0</v>
      </c>
      <c r="AR16" s="189">
        <f t="shared" si="38"/>
        <v>0</v>
      </c>
      <c r="AS16" s="189">
        <f t="shared" si="38"/>
        <v>0</v>
      </c>
      <c r="AT16" s="189">
        <f t="shared" si="38"/>
        <v>42.93</v>
      </c>
      <c r="AU16" s="189">
        <f t="shared" si="38"/>
        <v>164.6</v>
      </c>
      <c r="AV16" s="193">
        <f t="shared" si="38"/>
        <v>654.25</v>
      </c>
      <c r="AW16" s="193"/>
      <c r="AX16" s="193"/>
      <c r="AY16" s="193">
        <f>ROUND(SUM(AY17:AY24),2)</f>
        <v>123.62</v>
      </c>
      <c r="AZ16" s="193">
        <f>SUM(AZ17:AZ24)*(AZ2*0.225)</f>
        <v>185.14800000000005</v>
      </c>
      <c r="BA16" s="193">
        <f>SUM(BA17:BA24)*(BA2*0.225)</f>
        <v>23.392800000000001</v>
      </c>
      <c r="BB16" s="193">
        <f>SUM(BB17:BB24)*(BB2*0.225)</f>
        <v>56.83679999999999</v>
      </c>
      <c r="BC16" s="193">
        <f>SUM(BC17:BC24)*(BC2*0.225)</f>
        <v>172.476</v>
      </c>
      <c r="BD16" s="193">
        <f>SUM(BD17:BD24)*BD2</f>
        <v>205.93479999999991</v>
      </c>
      <c r="BE16" s="193">
        <f>SUM(BE17:BE24)*BE2</f>
        <v>13.3209</v>
      </c>
      <c r="BF16" s="193">
        <f>SUM(BF17:BF24)*(BB2*225/1000)</f>
        <v>192.51720000000003</v>
      </c>
      <c r="BG16" s="193">
        <f>SUM(BG17:BG24)</f>
        <v>205.72000000000006</v>
      </c>
    </row>
    <row r="17" spans="1:59" x14ac:dyDescent="0.25">
      <c r="A17" s="204">
        <v>1</v>
      </c>
      <c r="B17" s="204" t="s">
        <v>75</v>
      </c>
      <c r="C17" s="204" t="s">
        <v>99</v>
      </c>
      <c r="D17" s="204">
        <v>8.7539999999999996</v>
      </c>
      <c r="E17" s="204">
        <v>8.6340000000000003</v>
      </c>
      <c r="F17" s="214">
        <v>1</v>
      </c>
      <c r="G17" s="214">
        <v>1</v>
      </c>
      <c r="H17" s="214">
        <v>1</v>
      </c>
      <c r="I17" s="214">
        <v>0.13</v>
      </c>
      <c r="J17" s="281">
        <f>ROUND(D17+H17+I17,2)</f>
        <v>9.8800000000000008</v>
      </c>
      <c r="K17" s="281">
        <f>ROUND(SUM(E17:G17),2)</f>
        <v>10.63</v>
      </c>
      <c r="L17" s="281">
        <f t="shared" ref="L17:L24" si="39">ROUND(J17*K17,2)</f>
        <v>105.02</v>
      </c>
      <c r="M17" s="281">
        <v>0</v>
      </c>
      <c r="N17" s="281">
        <f>L17+M17</f>
        <v>105.02</v>
      </c>
      <c r="O17" s="282">
        <v>41.76</v>
      </c>
      <c r="P17" s="283">
        <v>0.5</v>
      </c>
      <c r="Q17" s="281">
        <f>O17-P17</f>
        <v>41.26</v>
      </c>
      <c r="R17" s="284">
        <v>42.35</v>
      </c>
      <c r="S17" s="285">
        <f t="shared" ref="S17:S24" si="40">R17-(BeamBlockSlabBuildUp1/1000)</f>
        <v>41.85</v>
      </c>
      <c r="T17" s="269">
        <f>SUM(Q17-S17)</f>
        <v>-0.59000000000000341</v>
      </c>
      <c r="U17" s="286">
        <f>IF(T17&lt;0.001,($N17*$T17)*-1,0)</f>
        <v>61.961800000000359</v>
      </c>
      <c r="V17" s="286">
        <f>IF(T17&gt;0.001,($N17*$T17),0)</f>
        <v>0</v>
      </c>
      <c r="W17" s="287">
        <f t="shared" ref="W17:W24" si="41">IF(AND(T17&gt;0,T17&lt;0.251),V17,0)</f>
        <v>0</v>
      </c>
      <c r="X17" s="287">
        <f t="shared" ref="X17:X24" si="42">IF(AND(T17&gt;0.25,T17&lt;1.01),V17,0)</f>
        <v>0</v>
      </c>
      <c r="Y17" s="288">
        <f t="shared" ref="Y17:Y24" si="43">IF(AND(T17&lt;0,T17&gt;-0.251),U17,0)</f>
        <v>0</v>
      </c>
      <c r="Z17" s="288">
        <f t="shared" ref="Z17:Z24" si="44">IF(AND(T17&gt;-1.001,T17&lt;-0.251),U17,0)</f>
        <v>61.961800000000359</v>
      </c>
      <c r="AA17" s="289">
        <f t="shared" ref="AA17:AA24" si="45">IF(AND(T17&gt;-2.001,T17&lt;-1),U17,0)</f>
        <v>0</v>
      </c>
      <c r="AB17" s="252" t="b">
        <f>(U17+V17-SUM(W17:AA17))=0</f>
        <v>1</v>
      </c>
      <c r="AC17" s="290">
        <v>33.415999999999997</v>
      </c>
      <c r="AD17" s="290">
        <v>0</v>
      </c>
      <c r="AE17" s="290">
        <f>SUM(AC17:AD17)</f>
        <v>33.415999999999997</v>
      </c>
      <c r="AF17" s="209">
        <v>0</v>
      </c>
      <c r="AG17" s="209">
        <f>((K17*1000)-(2*$AF$4)+303)/1000</f>
        <v>10.933</v>
      </c>
      <c r="AH17" s="209">
        <v>20.049599999999998</v>
      </c>
      <c r="AI17" s="209">
        <v>0</v>
      </c>
      <c r="AJ17" s="209">
        <v>4.9198500000000003</v>
      </c>
      <c r="AK17" s="209">
        <f>SUM(AH17:AJ17)</f>
        <v>24.969449999999998</v>
      </c>
      <c r="AL17" s="291">
        <v>41100</v>
      </c>
      <c r="AM17" s="291">
        <f>IF(T17&lt;0,(S17+T17-0.1)*1000,0)</f>
        <v>41160</v>
      </c>
      <c r="AN17" s="291">
        <f>IF(AM17=0,AL17,IF(AL17&lt;AM17,AL17,AM17))</f>
        <v>41100</v>
      </c>
      <c r="AO17" s="291">
        <f t="shared" ref="AO17:AO24" si="46">(S17*1000)-AN17</f>
        <v>750</v>
      </c>
      <c r="AP17" s="292">
        <f t="shared" ref="AP17:AP24" si="47">IF(AND(AO17&lt;251,T17&gt;0),AK17*AO17/1000,0)</f>
        <v>0</v>
      </c>
      <c r="AQ17" s="292">
        <f t="shared" ref="AQ17:AQ24" si="48">ROUND(IF(AND(AO17&gt;250,AO17&lt;1001,T17&gt;0),AK17*AO17/1000,0),2)</f>
        <v>0</v>
      </c>
      <c r="AR17" s="292">
        <f t="shared" ref="AR17:AR24" si="49">ROUND(IF(AND(AO17&gt;1000,AO17&lt;2001,T17&gt;0),AK17*AO17/1000,0),2)</f>
        <v>0</v>
      </c>
      <c r="AS17" s="292">
        <f t="shared" ref="AS17:AS24" si="50">IF(AND(AO17&lt;251,T17&lt;0),AK17*AO17/1000,0)</f>
        <v>0</v>
      </c>
      <c r="AT17" s="292">
        <f t="shared" ref="AT17:AT24" si="51">ROUND(IF(AND(AO17&gt;250,AO17&lt;1001,T17&lt;0),AK17*AO17/1000,0),2)</f>
        <v>18.73</v>
      </c>
      <c r="AU17" s="292">
        <f t="shared" ref="AU17:AU24" si="52">ROUND(IF(AND(AO17&gt;1000,AO17&lt;2001,T17&lt;0),AK17*AO17/1000,0),2)</f>
        <v>0</v>
      </c>
      <c r="AV17" s="209">
        <f>N17</f>
        <v>105.02</v>
      </c>
      <c r="AW17" s="293">
        <v>41325</v>
      </c>
      <c r="AX17" s="294">
        <f>AW17-AN17</f>
        <v>225</v>
      </c>
      <c r="AY17" s="293">
        <f>ROUND(AK17*(AX17/1000),2)</f>
        <v>5.62</v>
      </c>
      <c r="AZ17" s="207">
        <v>34.380000000000003</v>
      </c>
      <c r="BA17" s="208">
        <v>0</v>
      </c>
      <c r="BB17" s="205">
        <f>(8754-350-350+303)/1000</f>
        <v>8.3569999999999993</v>
      </c>
      <c r="BC17" s="207">
        <v>32.620000000000005</v>
      </c>
      <c r="BD17" s="207">
        <v>33.575999999999993</v>
      </c>
      <c r="BE17" s="207">
        <f>IF(BA17=0,0,BA17/2)</f>
        <v>0</v>
      </c>
      <c r="BF17" s="206">
        <f>(BD17)+(BE17)</f>
        <v>33.575999999999993</v>
      </c>
      <c r="BG17" s="206">
        <f>AZ17</f>
        <v>34.380000000000003</v>
      </c>
    </row>
    <row r="18" spans="1:59" x14ac:dyDescent="0.25">
      <c r="A18" s="204">
        <v>2</v>
      </c>
      <c r="B18" s="204" t="s">
        <v>75</v>
      </c>
      <c r="C18" s="204" t="s">
        <v>99</v>
      </c>
      <c r="D18" s="204">
        <v>8.7539999999999996</v>
      </c>
      <c r="E18" s="204">
        <v>8.6340000000000003</v>
      </c>
      <c r="F18" s="214">
        <v>1</v>
      </c>
      <c r="G18" s="214">
        <v>1</v>
      </c>
      <c r="H18" s="214">
        <v>1</v>
      </c>
      <c r="I18" s="214">
        <v>1</v>
      </c>
      <c r="J18" s="281">
        <f t="shared" ref="J18:J24" si="53">ROUND(D18+H18+I18,2)</f>
        <v>10.75</v>
      </c>
      <c r="K18" s="281">
        <f t="shared" ref="K18:K24" si="54">ROUND(SUM(E18:G18),2)</f>
        <v>10.63</v>
      </c>
      <c r="L18" s="281">
        <f t="shared" si="39"/>
        <v>114.27</v>
      </c>
      <c r="M18" s="281">
        <v>0</v>
      </c>
      <c r="N18" s="281">
        <f>L18+M18</f>
        <v>114.27</v>
      </c>
      <c r="O18" s="281">
        <v>41.02</v>
      </c>
      <c r="P18" s="283">
        <v>0.5</v>
      </c>
      <c r="Q18" s="281">
        <f>O18-P18</f>
        <v>40.520000000000003</v>
      </c>
      <c r="R18" s="285">
        <v>42.35</v>
      </c>
      <c r="S18" s="285">
        <f t="shared" si="40"/>
        <v>41.85</v>
      </c>
      <c r="T18" s="269">
        <f>SUM(Q18-S18)</f>
        <v>-1.3299999999999983</v>
      </c>
      <c r="U18" s="286">
        <f t="shared" ref="U18:U24" si="55">IF(T18&lt;0.001,($N18*$T18)*-1,0)</f>
        <v>151.97909999999979</v>
      </c>
      <c r="V18" s="286">
        <f t="shared" ref="V18:V24" si="56">IF(T18&gt;0.001,($N18*$T18),0)</f>
        <v>0</v>
      </c>
      <c r="W18" s="287">
        <f t="shared" si="41"/>
        <v>0</v>
      </c>
      <c r="X18" s="287">
        <f t="shared" si="42"/>
        <v>0</v>
      </c>
      <c r="Y18" s="288">
        <f t="shared" si="43"/>
        <v>0</v>
      </c>
      <c r="Z18" s="288">
        <f t="shared" si="44"/>
        <v>0</v>
      </c>
      <c r="AA18" s="289">
        <f t="shared" si="45"/>
        <v>151.97909999999979</v>
      </c>
      <c r="AB18" s="252" t="b">
        <f t="shared" ref="AB18:AB24" si="57">(U18+V18-SUM(W18:AA18))=0</f>
        <v>1</v>
      </c>
      <c r="AC18" s="290">
        <v>33.415999999999997</v>
      </c>
      <c r="AD18" s="290">
        <v>0</v>
      </c>
      <c r="AE18" s="290">
        <f t="shared" ref="AE18:AE24" si="58">SUM(AC18:AD18)</f>
        <v>33.415999999999997</v>
      </c>
      <c r="AF18" s="209">
        <v>0</v>
      </c>
      <c r="AG18" s="209">
        <f>((K18*1000)-(2*$AF$4)+303)/1000</f>
        <v>10.933</v>
      </c>
      <c r="AH18" s="209">
        <v>20.049599999999998</v>
      </c>
      <c r="AI18" s="209">
        <v>0</v>
      </c>
      <c r="AJ18" s="209">
        <v>4.9198500000000003</v>
      </c>
      <c r="AK18" s="209">
        <f>SUM(AH18:AJ18)</f>
        <v>24.969449999999998</v>
      </c>
      <c r="AL18" s="291">
        <v>41100</v>
      </c>
      <c r="AM18" s="291">
        <f>IF(T18&lt;0,(S18+T18-0.1)*1000,0)</f>
        <v>40420</v>
      </c>
      <c r="AN18" s="291">
        <f>IF(AM18=0,AL18,IF(AL18&lt;AM18,AL18,AM18))</f>
        <v>40420</v>
      </c>
      <c r="AO18" s="291">
        <f t="shared" si="46"/>
        <v>1430</v>
      </c>
      <c r="AP18" s="292">
        <f t="shared" si="47"/>
        <v>0</v>
      </c>
      <c r="AQ18" s="292">
        <f t="shared" si="48"/>
        <v>0</v>
      </c>
      <c r="AR18" s="292">
        <f t="shared" si="49"/>
        <v>0</v>
      </c>
      <c r="AS18" s="292">
        <f t="shared" si="50"/>
        <v>0</v>
      </c>
      <c r="AT18" s="292">
        <f t="shared" si="51"/>
        <v>0</v>
      </c>
      <c r="AU18" s="292">
        <f t="shared" si="52"/>
        <v>35.71</v>
      </c>
      <c r="AV18" s="209">
        <f t="shared" ref="AV18:AV24" si="59">N18</f>
        <v>114.27</v>
      </c>
      <c r="AW18" s="293">
        <v>41325</v>
      </c>
      <c r="AX18" s="294">
        <f t="shared" ref="AX18:AX24" si="60">AW18-AN18</f>
        <v>905</v>
      </c>
      <c r="AY18" s="293">
        <f t="shared" ref="AY18:AY24" si="61">ROUND(AK18*(AX18/1000),2)</f>
        <v>22.6</v>
      </c>
      <c r="AZ18" s="207">
        <v>34.380000000000003</v>
      </c>
      <c r="BA18" s="208">
        <v>0</v>
      </c>
      <c r="BB18" s="205">
        <f>(8754-350-350+303)/1000</f>
        <v>8.3569999999999993</v>
      </c>
      <c r="BC18" s="207">
        <v>32.620000000000005</v>
      </c>
      <c r="BD18" s="207">
        <v>33.575999999999993</v>
      </c>
      <c r="BE18" s="207">
        <f t="shared" ref="BE18:BE24" si="62">IF(BA18=0,0,BA18/2)</f>
        <v>0</v>
      </c>
      <c r="BF18" s="206">
        <f t="shared" ref="BF18:BF24" si="63">(BD18)+(BE18)</f>
        <v>33.575999999999993</v>
      </c>
      <c r="BG18" s="206">
        <f t="shared" ref="BG18:BG24" si="64">AZ18</f>
        <v>34.380000000000003</v>
      </c>
    </row>
    <row r="19" spans="1:59" x14ac:dyDescent="0.25">
      <c r="A19" s="295">
        <v>24</v>
      </c>
      <c r="B19" s="295" t="s">
        <v>75</v>
      </c>
      <c r="C19" s="295" t="s">
        <v>99</v>
      </c>
      <c r="D19" s="204">
        <v>8.7539999999999996</v>
      </c>
      <c r="E19" s="204">
        <v>8.6340000000000003</v>
      </c>
      <c r="F19" s="214">
        <v>1</v>
      </c>
      <c r="G19" s="214">
        <v>1</v>
      </c>
      <c r="H19" s="214">
        <v>1</v>
      </c>
      <c r="I19" s="214">
        <v>0.13</v>
      </c>
      <c r="J19" s="281">
        <f t="shared" si="53"/>
        <v>9.8800000000000008</v>
      </c>
      <c r="K19" s="281">
        <f t="shared" si="54"/>
        <v>10.63</v>
      </c>
      <c r="L19" s="281">
        <f t="shared" si="39"/>
        <v>105.02</v>
      </c>
      <c r="M19" s="281">
        <v>0</v>
      </c>
      <c r="N19" s="281">
        <f t="shared" ref="N19" si="65">L19+M19</f>
        <v>105.02</v>
      </c>
      <c r="O19" s="281">
        <v>39.22</v>
      </c>
      <c r="P19" s="283">
        <v>0.5</v>
      </c>
      <c r="Q19" s="281">
        <f t="shared" ref="Q19:Q24" si="66">O19-P19</f>
        <v>38.72</v>
      </c>
      <c r="R19" s="285">
        <v>41</v>
      </c>
      <c r="S19" s="285">
        <f t="shared" si="40"/>
        <v>40.5</v>
      </c>
      <c r="T19" s="269">
        <f>SUM(Q19-S19)</f>
        <v>-1.7800000000000011</v>
      </c>
      <c r="U19" s="286">
        <f t="shared" si="55"/>
        <v>186.93560000000011</v>
      </c>
      <c r="V19" s="286">
        <f t="shared" si="56"/>
        <v>0</v>
      </c>
      <c r="W19" s="287">
        <f t="shared" si="41"/>
        <v>0</v>
      </c>
      <c r="X19" s="287">
        <f t="shared" si="42"/>
        <v>0</v>
      </c>
      <c r="Y19" s="288">
        <f t="shared" si="43"/>
        <v>0</v>
      </c>
      <c r="Z19" s="288">
        <f t="shared" si="44"/>
        <v>0</v>
      </c>
      <c r="AA19" s="289">
        <f t="shared" si="45"/>
        <v>186.93560000000011</v>
      </c>
      <c r="AB19" s="252" t="b">
        <f t="shared" si="57"/>
        <v>1</v>
      </c>
      <c r="AC19" s="290">
        <v>33.415999999999997</v>
      </c>
      <c r="AD19" s="290">
        <v>0</v>
      </c>
      <c r="AE19" s="290">
        <f t="shared" si="58"/>
        <v>33.415999999999997</v>
      </c>
      <c r="AF19" s="209">
        <v>0</v>
      </c>
      <c r="AG19" s="209">
        <f>((K19*1000)-(2*$AF$4)+303)/1000</f>
        <v>10.933</v>
      </c>
      <c r="AH19" s="209">
        <v>20.049599999999998</v>
      </c>
      <c r="AI19" s="209">
        <v>0</v>
      </c>
      <c r="AJ19" s="209">
        <v>4.9198500000000003</v>
      </c>
      <c r="AK19" s="209">
        <f>SUM(AH19:AJ19)</f>
        <v>24.969449999999998</v>
      </c>
      <c r="AL19" s="291">
        <v>39750</v>
      </c>
      <c r="AM19" s="291">
        <f t="shared" ref="AM19:AM24" si="67">IF(T19&lt;0,(S19+T19-0.1)*1000,0)</f>
        <v>38620</v>
      </c>
      <c r="AN19" s="291">
        <f t="shared" ref="AN19:AN24" si="68">IF(AM19=0,AL19,IF(AL19&lt;AM19,AL19,AM19))</f>
        <v>38620</v>
      </c>
      <c r="AO19" s="291">
        <f t="shared" si="46"/>
        <v>1880</v>
      </c>
      <c r="AP19" s="292">
        <f t="shared" si="47"/>
        <v>0</v>
      </c>
      <c r="AQ19" s="292">
        <f t="shared" si="48"/>
        <v>0</v>
      </c>
      <c r="AR19" s="292">
        <f t="shared" si="49"/>
        <v>0</v>
      </c>
      <c r="AS19" s="292">
        <f t="shared" si="50"/>
        <v>0</v>
      </c>
      <c r="AT19" s="292">
        <f t="shared" si="51"/>
        <v>0</v>
      </c>
      <c r="AU19" s="292">
        <f t="shared" si="52"/>
        <v>46.94</v>
      </c>
      <c r="AV19" s="209">
        <f t="shared" si="59"/>
        <v>105.02</v>
      </c>
      <c r="AW19" s="293">
        <v>39975</v>
      </c>
      <c r="AX19" s="294">
        <f t="shared" si="60"/>
        <v>1355</v>
      </c>
      <c r="AY19" s="293">
        <f t="shared" si="61"/>
        <v>33.83</v>
      </c>
      <c r="AZ19" s="207">
        <v>34.380000000000003</v>
      </c>
      <c r="BA19" s="208">
        <v>0</v>
      </c>
      <c r="BB19" s="205">
        <f>(8754-350-350+303)/1000</f>
        <v>8.3569999999999993</v>
      </c>
      <c r="BC19" s="207">
        <v>32.620000000000005</v>
      </c>
      <c r="BD19" s="207">
        <v>33.575999999999993</v>
      </c>
      <c r="BE19" s="207">
        <f t="shared" si="62"/>
        <v>0</v>
      </c>
      <c r="BF19" s="206">
        <f t="shared" si="63"/>
        <v>33.575999999999993</v>
      </c>
      <c r="BG19" s="206">
        <f t="shared" si="64"/>
        <v>34.380000000000003</v>
      </c>
    </row>
    <row r="20" spans="1:59" x14ac:dyDescent="0.25">
      <c r="A20" s="295">
        <v>25</v>
      </c>
      <c r="B20" s="295" t="s">
        <v>75</v>
      </c>
      <c r="C20" s="295" t="s">
        <v>99</v>
      </c>
      <c r="D20" s="204">
        <v>8.7539999999999996</v>
      </c>
      <c r="E20" s="204">
        <v>8.6340000000000003</v>
      </c>
      <c r="F20" s="214">
        <v>1</v>
      </c>
      <c r="G20" s="214">
        <v>1</v>
      </c>
      <c r="H20" s="214">
        <v>0.13</v>
      </c>
      <c r="I20" s="214">
        <v>1</v>
      </c>
      <c r="J20" s="281">
        <f t="shared" si="53"/>
        <v>9.8800000000000008</v>
      </c>
      <c r="K20" s="281">
        <f t="shared" si="54"/>
        <v>10.63</v>
      </c>
      <c r="L20" s="281">
        <f t="shared" si="39"/>
        <v>105.02</v>
      </c>
      <c r="M20" s="281">
        <v>0</v>
      </c>
      <c r="N20" s="281">
        <f>L20+M20</f>
        <v>105.02</v>
      </c>
      <c r="O20" s="281">
        <v>39.29</v>
      </c>
      <c r="P20" s="283">
        <v>0.5</v>
      </c>
      <c r="Q20" s="281">
        <f t="shared" si="66"/>
        <v>38.79</v>
      </c>
      <c r="R20" s="285">
        <v>40.75</v>
      </c>
      <c r="S20" s="285">
        <f t="shared" si="40"/>
        <v>40.25</v>
      </c>
      <c r="T20" s="269">
        <f t="shared" ref="T20:T24" si="69">SUM(Q20-S20)</f>
        <v>-1.4600000000000009</v>
      </c>
      <c r="U20" s="286">
        <f t="shared" si="55"/>
        <v>153.32920000000007</v>
      </c>
      <c r="V20" s="286">
        <f t="shared" si="56"/>
        <v>0</v>
      </c>
      <c r="W20" s="287">
        <f t="shared" si="41"/>
        <v>0</v>
      </c>
      <c r="X20" s="287">
        <f t="shared" si="42"/>
        <v>0</v>
      </c>
      <c r="Y20" s="288">
        <f t="shared" si="43"/>
        <v>0</v>
      </c>
      <c r="Z20" s="288">
        <f t="shared" si="44"/>
        <v>0</v>
      </c>
      <c r="AA20" s="289">
        <f t="shared" si="45"/>
        <v>153.32920000000007</v>
      </c>
      <c r="AB20" s="252" t="b">
        <f t="shared" si="57"/>
        <v>1</v>
      </c>
      <c r="AC20" s="290">
        <v>33.415999999999997</v>
      </c>
      <c r="AD20" s="290">
        <v>0</v>
      </c>
      <c r="AE20" s="290">
        <f t="shared" si="58"/>
        <v>33.415999999999997</v>
      </c>
      <c r="AF20" s="209">
        <v>0</v>
      </c>
      <c r="AG20" s="209">
        <f>((K20*1000)-(2*$AF$4)+303)/1000</f>
        <v>10.933</v>
      </c>
      <c r="AH20" s="209">
        <v>20.049599999999998</v>
      </c>
      <c r="AI20" s="209">
        <v>0</v>
      </c>
      <c r="AJ20" s="209">
        <v>4.9198500000000003</v>
      </c>
      <c r="AK20" s="209">
        <f>SUM(AH20:AJ20)</f>
        <v>24.969449999999998</v>
      </c>
      <c r="AL20" s="291">
        <v>39500</v>
      </c>
      <c r="AM20" s="291">
        <f t="shared" si="67"/>
        <v>38690</v>
      </c>
      <c r="AN20" s="291">
        <f t="shared" si="68"/>
        <v>38690</v>
      </c>
      <c r="AO20" s="291">
        <f t="shared" si="46"/>
        <v>1560</v>
      </c>
      <c r="AP20" s="292">
        <f t="shared" si="47"/>
        <v>0</v>
      </c>
      <c r="AQ20" s="292">
        <f t="shared" si="48"/>
        <v>0</v>
      </c>
      <c r="AR20" s="292">
        <f t="shared" si="49"/>
        <v>0</v>
      </c>
      <c r="AS20" s="292">
        <f t="shared" si="50"/>
        <v>0</v>
      </c>
      <c r="AT20" s="292">
        <f t="shared" si="51"/>
        <v>0</v>
      </c>
      <c r="AU20" s="292">
        <f t="shared" si="52"/>
        <v>38.950000000000003</v>
      </c>
      <c r="AV20" s="209">
        <f t="shared" si="59"/>
        <v>105.02</v>
      </c>
      <c r="AW20" s="293">
        <v>39725</v>
      </c>
      <c r="AX20" s="294">
        <f t="shared" si="60"/>
        <v>1035</v>
      </c>
      <c r="AY20" s="293">
        <f t="shared" si="61"/>
        <v>25.84</v>
      </c>
      <c r="AZ20" s="207">
        <v>34.380000000000003</v>
      </c>
      <c r="BA20" s="208">
        <v>0</v>
      </c>
      <c r="BB20" s="205">
        <f>(8754-350-350+303)/1000</f>
        <v>8.3569999999999993</v>
      </c>
      <c r="BC20" s="207">
        <v>32.620000000000005</v>
      </c>
      <c r="BD20" s="207">
        <v>33.575999999999993</v>
      </c>
      <c r="BE20" s="207">
        <f t="shared" si="62"/>
        <v>0</v>
      </c>
      <c r="BF20" s="206">
        <f t="shared" si="63"/>
        <v>33.575999999999993</v>
      </c>
      <c r="BG20" s="206">
        <f t="shared" si="64"/>
        <v>34.380000000000003</v>
      </c>
    </row>
    <row r="21" spans="1:59" x14ac:dyDescent="0.25">
      <c r="A21" s="295">
        <v>59</v>
      </c>
      <c r="B21" s="295" t="s">
        <v>190</v>
      </c>
      <c r="C21" s="295" t="s">
        <v>33</v>
      </c>
      <c r="D21" s="204">
        <f>10.074/2</f>
        <v>5.0369999999999999</v>
      </c>
      <c r="E21" s="214">
        <v>7.1779999999999999</v>
      </c>
      <c r="F21" s="214">
        <v>1</v>
      </c>
      <c r="G21" s="214">
        <v>1</v>
      </c>
      <c r="H21" s="214">
        <v>1</v>
      </c>
      <c r="I21" s="214">
        <v>0</v>
      </c>
      <c r="J21" s="281">
        <f t="shared" si="53"/>
        <v>6.04</v>
      </c>
      <c r="K21" s="281">
        <f t="shared" si="54"/>
        <v>9.18</v>
      </c>
      <c r="L21" s="281">
        <f t="shared" si="39"/>
        <v>55.45</v>
      </c>
      <c r="M21" s="281">
        <v>0</v>
      </c>
      <c r="N21" s="281">
        <f t="shared" ref="N21:N24" si="70">L21+M21</f>
        <v>55.45</v>
      </c>
      <c r="O21" s="281">
        <v>41.01</v>
      </c>
      <c r="P21" s="283">
        <v>0.5</v>
      </c>
      <c r="Q21" s="281">
        <f t="shared" si="66"/>
        <v>40.51</v>
      </c>
      <c r="R21" s="296">
        <v>41.774999999999999</v>
      </c>
      <c r="S21" s="285">
        <f t="shared" si="40"/>
        <v>41.274999999999999</v>
      </c>
      <c r="T21" s="269">
        <f t="shared" si="69"/>
        <v>-0.76500000000000057</v>
      </c>
      <c r="U21" s="286">
        <f t="shared" si="55"/>
        <v>42.419250000000034</v>
      </c>
      <c r="V21" s="286">
        <f t="shared" si="56"/>
        <v>0</v>
      </c>
      <c r="W21" s="287">
        <f t="shared" si="41"/>
        <v>0</v>
      </c>
      <c r="X21" s="287">
        <f t="shared" si="42"/>
        <v>0</v>
      </c>
      <c r="Y21" s="288">
        <f t="shared" si="43"/>
        <v>0</v>
      </c>
      <c r="Z21" s="288">
        <f t="shared" si="44"/>
        <v>42.419250000000034</v>
      </c>
      <c r="AA21" s="289">
        <f t="shared" si="45"/>
        <v>0</v>
      </c>
      <c r="AB21" s="252" t="b">
        <f t="shared" si="57"/>
        <v>1</v>
      </c>
      <c r="AC21" s="290">
        <v>16.571999999999999</v>
      </c>
      <c r="AD21" s="290">
        <v>0</v>
      </c>
      <c r="AE21" s="290">
        <f t="shared" si="58"/>
        <v>16.571999999999999</v>
      </c>
      <c r="AF21" s="210">
        <f t="shared" ref="AF21:AF24" si="71">E21</f>
        <v>7.1779999999999999</v>
      </c>
      <c r="AG21" s="215">
        <v>7.0410000000000004</v>
      </c>
      <c r="AH21" s="209">
        <v>9.9431999999999992</v>
      </c>
      <c r="AI21" s="209">
        <v>1.8713999999999997</v>
      </c>
      <c r="AJ21" s="209">
        <v>3.1684500000000004</v>
      </c>
      <c r="AK21" s="209">
        <f t="shared" ref="AK21:AK24" si="72">SUM(AH21:AJ21)</f>
        <v>14.983049999999999</v>
      </c>
      <c r="AL21" s="291">
        <v>40525</v>
      </c>
      <c r="AM21" s="291">
        <f t="shared" si="67"/>
        <v>40410</v>
      </c>
      <c r="AN21" s="291">
        <f t="shared" si="68"/>
        <v>40410</v>
      </c>
      <c r="AO21" s="291">
        <f t="shared" si="46"/>
        <v>865</v>
      </c>
      <c r="AP21" s="292">
        <f t="shared" si="47"/>
        <v>0</v>
      </c>
      <c r="AQ21" s="292">
        <f t="shared" si="48"/>
        <v>0</v>
      </c>
      <c r="AR21" s="292">
        <f t="shared" si="49"/>
        <v>0</v>
      </c>
      <c r="AS21" s="292">
        <f t="shared" si="50"/>
        <v>0</v>
      </c>
      <c r="AT21" s="292">
        <f t="shared" si="51"/>
        <v>12.96</v>
      </c>
      <c r="AU21" s="292">
        <f t="shared" si="52"/>
        <v>0</v>
      </c>
      <c r="AV21" s="209">
        <f t="shared" si="59"/>
        <v>55.45</v>
      </c>
      <c r="AW21" s="293">
        <v>40750</v>
      </c>
      <c r="AX21" s="294">
        <f t="shared" si="60"/>
        <v>340</v>
      </c>
      <c r="AY21" s="293">
        <f t="shared" si="61"/>
        <v>5.09</v>
      </c>
      <c r="AZ21" s="207">
        <v>17.05</v>
      </c>
      <c r="BA21" s="208">
        <v>6.4980000000000002</v>
      </c>
      <c r="BB21" s="111">
        <f>(4512+2919)/1000</f>
        <v>7.431</v>
      </c>
      <c r="BC21" s="207">
        <v>15.290000000000001</v>
      </c>
      <c r="BD21" s="207">
        <v>16.651999999999997</v>
      </c>
      <c r="BE21" s="207">
        <f t="shared" si="62"/>
        <v>3.2490000000000001</v>
      </c>
      <c r="BF21" s="206">
        <f t="shared" si="63"/>
        <v>19.900999999999996</v>
      </c>
      <c r="BG21" s="206">
        <f t="shared" si="64"/>
        <v>17.05</v>
      </c>
    </row>
    <row r="22" spans="1:59" x14ac:dyDescent="0.25">
      <c r="A22" s="295">
        <v>60</v>
      </c>
      <c r="B22" s="295" t="s">
        <v>190</v>
      </c>
      <c r="C22" s="295" t="s">
        <v>33</v>
      </c>
      <c r="D22" s="204">
        <f>10.074/2</f>
        <v>5.0369999999999999</v>
      </c>
      <c r="E22" s="214">
        <v>7.1779999999999999</v>
      </c>
      <c r="F22" s="214">
        <v>1</v>
      </c>
      <c r="G22" s="214">
        <v>1</v>
      </c>
      <c r="H22" s="214">
        <v>0</v>
      </c>
      <c r="I22" s="214">
        <f>2.35/2</f>
        <v>1.175</v>
      </c>
      <c r="J22" s="281">
        <f t="shared" si="53"/>
        <v>6.21</v>
      </c>
      <c r="K22" s="281">
        <f t="shared" si="54"/>
        <v>9.18</v>
      </c>
      <c r="L22" s="281">
        <f t="shared" si="39"/>
        <v>57.01</v>
      </c>
      <c r="M22" s="281">
        <v>0</v>
      </c>
      <c r="N22" s="281">
        <f t="shared" si="70"/>
        <v>57.01</v>
      </c>
      <c r="O22" s="281">
        <v>41.49</v>
      </c>
      <c r="P22" s="283">
        <v>0.5</v>
      </c>
      <c r="Q22" s="281">
        <f t="shared" si="66"/>
        <v>40.99</v>
      </c>
      <c r="R22" s="296">
        <v>41.774999999999999</v>
      </c>
      <c r="S22" s="285">
        <f t="shared" si="40"/>
        <v>41.274999999999999</v>
      </c>
      <c r="T22" s="269">
        <f t="shared" si="69"/>
        <v>-0.28499999999999659</v>
      </c>
      <c r="U22" s="286">
        <f t="shared" si="55"/>
        <v>16.247849999999804</v>
      </c>
      <c r="V22" s="286">
        <f t="shared" si="56"/>
        <v>0</v>
      </c>
      <c r="W22" s="287">
        <f t="shared" si="41"/>
        <v>0</v>
      </c>
      <c r="X22" s="287">
        <f t="shared" si="42"/>
        <v>0</v>
      </c>
      <c r="Y22" s="288">
        <f t="shared" si="43"/>
        <v>0</v>
      </c>
      <c r="Z22" s="288">
        <f t="shared" si="44"/>
        <v>16.247849999999804</v>
      </c>
      <c r="AA22" s="289">
        <f t="shared" si="45"/>
        <v>0</v>
      </c>
      <c r="AB22" s="252" t="b">
        <f t="shared" si="57"/>
        <v>1</v>
      </c>
      <c r="AC22" s="290">
        <v>16.571999999999999</v>
      </c>
      <c r="AD22" s="290">
        <v>0</v>
      </c>
      <c r="AE22" s="290">
        <f t="shared" si="58"/>
        <v>16.571999999999999</v>
      </c>
      <c r="AF22" s="210">
        <f t="shared" si="71"/>
        <v>7.1779999999999999</v>
      </c>
      <c r="AG22" s="215">
        <v>7.0410000000000004</v>
      </c>
      <c r="AH22" s="209">
        <v>9.9431999999999992</v>
      </c>
      <c r="AI22" s="209">
        <v>1.8713999999999997</v>
      </c>
      <c r="AJ22" s="209">
        <v>3.1684500000000004</v>
      </c>
      <c r="AK22" s="209">
        <f t="shared" si="72"/>
        <v>14.983049999999999</v>
      </c>
      <c r="AL22" s="291">
        <v>40525</v>
      </c>
      <c r="AM22" s="291">
        <f t="shared" si="67"/>
        <v>40890</v>
      </c>
      <c r="AN22" s="291">
        <f t="shared" si="68"/>
        <v>40525</v>
      </c>
      <c r="AO22" s="291">
        <f t="shared" si="46"/>
        <v>750</v>
      </c>
      <c r="AP22" s="292">
        <f t="shared" si="47"/>
        <v>0</v>
      </c>
      <c r="AQ22" s="292">
        <f t="shared" si="48"/>
        <v>0</v>
      </c>
      <c r="AR22" s="292">
        <f t="shared" si="49"/>
        <v>0</v>
      </c>
      <c r="AS22" s="292">
        <f t="shared" si="50"/>
        <v>0</v>
      </c>
      <c r="AT22" s="292">
        <f t="shared" si="51"/>
        <v>11.24</v>
      </c>
      <c r="AU22" s="292">
        <f t="shared" si="52"/>
        <v>0</v>
      </c>
      <c r="AV22" s="209">
        <f t="shared" si="59"/>
        <v>57.01</v>
      </c>
      <c r="AW22" s="293">
        <v>40750</v>
      </c>
      <c r="AX22" s="294">
        <f t="shared" si="60"/>
        <v>225</v>
      </c>
      <c r="AY22" s="293">
        <f t="shared" si="61"/>
        <v>3.37</v>
      </c>
      <c r="AZ22" s="207">
        <v>17.05</v>
      </c>
      <c r="BA22" s="208">
        <v>6.4980000000000002</v>
      </c>
      <c r="BB22" s="111">
        <f>(4512+2919)/1000</f>
        <v>7.431</v>
      </c>
      <c r="BC22" s="207">
        <v>15.290000000000001</v>
      </c>
      <c r="BD22" s="207">
        <v>16.651999999999997</v>
      </c>
      <c r="BE22" s="207">
        <f t="shared" si="62"/>
        <v>3.2490000000000001</v>
      </c>
      <c r="BF22" s="206">
        <f t="shared" si="63"/>
        <v>19.900999999999996</v>
      </c>
      <c r="BG22" s="206">
        <f t="shared" si="64"/>
        <v>17.05</v>
      </c>
    </row>
    <row r="23" spans="1:59" x14ac:dyDescent="0.25">
      <c r="A23" s="295">
        <v>61</v>
      </c>
      <c r="B23" s="295" t="s">
        <v>190</v>
      </c>
      <c r="C23" s="295" t="s">
        <v>33</v>
      </c>
      <c r="D23" s="204">
        <f>10.074/2</f>
        <v>5.0369999999999999</v>
      </c>
      <c r="E23" s="214">
        <v>7.1779999999999999</v>
      </c>
      <c r="F23" s="214">
        <v>1</v>
      </c>
      <c r="G23" s="214">
        <v>1</v>
      </c>
      <c r="H23" s="214">
        <f>I22</f>
        <v>1.175</v>
      </c>
      <c r="I23" s="214">
        <v>0</v>
      </c>
      <c r="J23" s="281">
        <f t="shared" si="53"/>
        <v>6.21</v>
      </c>
      <c r="K23" s="281">
        <f t="shared" si="54"/>
        <v>9.18</v>
      </c>
      <c r="L23" s="281">
        <f t="shared" si="39"/>
        <v>57.01</v>
      </c>
      <c r="M23" s="281">
        <v>0</v>
      </c>
      <c r="N23" s="281">
        <f t="shared" si="70"/>
        <v>57.01</v>
      </c>
      <c r="O23" s="281">
        <v>41.53</v>
      </c>
      <c r="P23" s="283">
        <v>0.5</v>
      </c>
      <c r="Q23" s="281">
        <f t="shared" si="66"/>
        <v>41.03</v>
      </c>
      <c r="R23" s="296">
        <v>42.774999999999999</v>
      </c>
      <c r="S23" s="285">
        <f t="shared" si="40"/>
        <v>42.274999999999999</v>
      </c>
      <c r="T23" s="269">
        <f t="shared" si="69"/>
        <v>-1.2449999999999974</v>
      </c>
      <c r="U23" s="286">
        <f t="shared" si="55"/>
        <v>70.977449999999848</v>
      </c>
      <c r="V23" s="286">
        <f t="shared" si="56"/>
        <v>0</v>
      </c>
      <c r="W23" s="287">
        <f t="shared" si="41"/>
        <v>0</v>
      </c>
      <c r="X23" s="287">
        <f t="shared" si="42"/>
        <v>0</v>
      </c>
      <c r="Y23" s="288">
        <f t="shared" si="43"/>
        <v>0</v>
      </c>
      <c r="Z23" s="288">
        <f t="shared" si="44"/>
        <v>0</v>
      </c>
      <c r="AA23" s="289">
        <f t="shared" si="45"/>
        <v>70.977449999999848</v>
      </c>
      <c r="AB23" s="252" t="b">
        <f t="shared" si="57"/>
        <v>1</v>
      </c>
      <c r="AC23" s="290">
        <v>16.571999999999999</v>
      </c>
      <c r="AD23" s="290">
        <v>0</v>
      </c>
      <c r="AE23" s="290">
        <f t="shared" si="58"/>
        <v>16.571999999999999</v>
      </c>
      <c r="AF23" s="210">
        <f t="shared" si="71"/>
        <v>7.1779999999999999</v>
      </c>
      <c r="AG23" s="215">
        <v>7.0410000000000004</v>
      </c>
      <c r="AH23" s="209">
        <v>9.9431999999999992</v>
      </c>
      <c r="AI23" s="209">
        <v>1.8713999999999997</v>
      </c>
      <c r="AJ23" s="209">
        <v>3.1684500000000004</v>
      </c>
      <c r="AK23" s="209">
        <f t="shared" si="72"/>
        <v>14.983049999999999</v>
      </c>
      <c r="AL23" s="291">
        <v>41525</v>
      </c>
      <c r="AM23" s="291">
        <f t="shared" si="67"/>
        <v>40930</v>
      </c>
      <c r="AN23" s="291">
        <f t="shared" si="68"/>
        <v>40930</v>
      </c>
      <c r="AO23" s="291">
        <f t="shared" si="46"/>
        <v>1345</v>
      </c>
      <c r="AP23" s="292">
        <f t="shared" si="47"/>
        <v>0</v>
      </c>
      <c r="AQ23" s="292">
        <f t="shared" si="48"/>
        <v>0</v>
      </c>
      <c r="AR23" s="292">
        <f t="shared" si="49"/>
        <v>0</v>
      </c>
      <c r="AS23" s="292">
        <f t="shared" si="50"/>
        <v>0</v>
      </c>
      <c r="AT23" s="292">
        <f t="shared" si="51"/>
        <v>0</v>
      </c>
      <c r="AU23" s="292">
        <f t="shared" si="52"/>
        <v>20.149999999999999</v>
      </c>
      <c r="AV23" s="209">
        <f t="shared" si="59"/>
        <v>57.01</v>
      </c>
      <c r="AW23" s="293">
        <v>41750</v>
      </c>
      <c r="AX23" s="294">
        <f t="shared" si="60"/>
        <v>820</v>
      </c>
      <c r="AY23" s="293">
        <f t="shared" si="61"/>
        <v>12.29</v>
      </c>
      <c r="AZ23" s="207">
        <v>17.05</v>
      </c>
      <c r="BA23" s="208">
        <v>6.4980000000000002</v>
      </c>
      <c r="BB23" s="111">
        <f>(4512+2919)/1000</f>
        <v>7.431</v>
      </c>
      <c r="BC23" s="207">
        <v>15.290000000000001</v>
      </c>
      <c r="BD23" s="207">
        <v>16.651999999999997</v>
      </c>
      <c r="BE23" s="207">
        <f t="shared" si="62"/>
        <v>3.2490000000000001</v>
      </c>
      <c r="BF23" s="206">
        <f t="shared" si="63"/>
        <v>19.900999999999996</v>
      </c>
      <c r="BG23" s="206">
        <f t="shared" si="64"/>
        <v>17.05</v>
      </c>
    </row>
    <row r="24" spans="1:59" x14ac:dyDescent="0.25">
      <c r="A24" s="295">
        <v>62</v>
      </c>
      <c r="B24" s="295" t="s">
        <v>190</v>
      </c>
      <c r="C24" s="295" t="s">
        <v>33</v>
      </c>
      <c r="D24" s="204">
        <f>10.074/2</f>
        <v>5.0369999999999999</v>
      </c>
      <c r="E24" s="214">
        <v>7.1779999999999999</v>
      </c>
      <c r="F24" s="214">
        <v>1</v>
      </c>
      <c r="G24" s="214">
        <v>1</v>
      </c>
      <c r="H24" s="214">
        <v>0</v>
      </c>
      <c r="I24" s="214">
        <v>1</v>
      </c>
      <c r="J24" s="281">
        <f t="shared" si="53"/>
        <v>6.04</v>
      </c>
      <c r="K24" s="281">
        <f t="shared" si="54"/>
        <v>9.18</v>
      </c>
      <c r="L24" s="281">
        <f t="shared" si="39"/>
        <v>55.45</v>
      </c>
      <c r="M24" s="281">
        <v>0</v>
      </c>
      <c r="N24" s="281">
        <f t="shared" si="70"/>
        <v>55.45</v>
      </c>
      <c r="O24" s="281">
        <v>41.35</v>
      </c>
      <c r="P24" s="283">
        <v>0.5</v>
      </c>
      <c r="Q24" s="281">
        <f t="shared" si="66"/>
        <v>40.85</v>
      </c>
      <c r="R24" s="296">
        <v>42.774999999999999</v>
      </c>
      <c r="S24" s="285">
        <f t="shared" si="40"/>
        <v>42.274999999999999</v>
      </c>
      <c r="T24" s="269">
        <f t="shared" si="69"/>
        <v>-1.4249999999999972</v>
      </c>
      <c r="U24" s="286">
        <f t="shared" si="55"/>
        <v>79.016249999999843</v>
      </c>
      <c r="V24" s="286">
        <f t="shared" si="56"/>
        <v>0</v>
      </c>
      <c r="W24" s="287">
        <f t="shared" si="41"/>
        <v>0</v>
      </c>
      <c r="X24" s="287">
        <f t="shared" si="42"/>
        <v>0</v>
      </c>
      <c r="Y24" s="288">
        <f t="shared" si="43"/>
        <v>0</v>
      </c>
      <c r="Z24" s="288">
        <f t="shared" si="44"/>
        <v>0</v>
      </c>
      <c r="AA24" s="289">
        <f t="shared" si="45"/>
        <v>79.016249999999843</v>
      </c>
      <c r="AB24" s="252" t="b">
        <f t="shared" si="57"/>
        <v>1</v>
      </c>
      <c r="AC24" s="290">
        <v>16.571999999999999</v>
      </c>
      <c r="AD24" s="290">
        <v>0</v>
      </c>
      <c r="AE24" s="290">
        <f t="shared" si="58"/>
        <v>16.571999999999999</v>
      </c>
      <c r="AF24" s="210">
        <f t="shared" si="71"/>
        <v>7.1779999999999999</v>
      </c>
      <c r="AG24" s="215">
        <v>7.0410000000000004</v>
      </c>
      <c r="AH24" s="209">
        <v>9.9431999999999992</v>
      </c>
      <c r="AI24" s="209">
        <v>1.8713999999999997</v>
      </c>
      <c r="AJ24" s="209">
        <v>3.1684500000000004</v>
      </c>
      <c r="AK24" s="209">
        <f t="shared" si="72"/>
        <v>14.983049999999999</v>
      </c>
      <c r="AL24" s="291">
        <v>41525</v>
      </c>
      <c r="AM24" s="291">
        <f t="shared" si="67"/>
        <v>40750</v>
      </c>
      <c r="AN24" s="291">
        <f t="shared" si="68"/>
        <v>40750</v>
      </c>
      <c r="AO24" s="291">
        <f t="shared" si="46"/>
        <v>1525</v>
      </c>
      <c r="AP24" s="292">
        <f t="shared" si="47"/>
        <v>0</v>
      </c>
      <c r="AQ24" s="292">
        <f t="shared" si="48"/>
        <v>0</v>
      </c>
      <c r="AR24" s="292">
        <f t="shared" si="49"/>
        <v>0</v>
      </c>
      <c r="AS24" s="292">
        <f t="shared" si="50"/>
        <v>0</v>
      </c>
      <c r="AT24" s="292">
        <f t="shared" si="51"/>
        <v>0</v>
      </c>
      <c r="AU24" s="292">
        <f t="shared" si="52"/>
        <v>22.85</v>
      </c>
      <c r="AV24" s="209">
        <f t="shared" si="59"/>
        <v>55.45</v>
      </c>
      <c r="AW24" s="293">
        <v>41750</v>
      </c>
      <c r="AX24" s="294">
        <f t="shared" si="60"/>
        <v>1000</v>
      </c>
      <c r="AY24" s="293">
        <f t="shared" si="61"/>
        <v>14.98</v>
      </c>
      <c r="AZ24" s="207">
        <v>17.05</v>
      </c>
      <c r="BA24" s="208">
        <v>6.4980000000000002</v>
      </c>
      <c r="BB24" s="111">
        <f>(4512+2919)/1000</f>
        <v>7.431</v>
      </c>
      <c r="BC24" s="207">
        <v>15.290000000000001</v>
      </c>
      <c r="BD24" s="207">
        <v>16.651999999999997</v>
      </c>
      <c r="BE24" s="207">
        <f t="shared" si="62"/>
        <v>3.2490000000000001</v>
      </c>
      <c r="BF24" s="206">
        <f t="shared" si="63"/>
        <v>19.900999999999996</v>
      </c>
      <c r="BG24" s="206">
        <f t="shared" si="64"/>
        <v>17.05</v>
      </c>
    </row>
    <row r="26" spans="1:59" ht="29.25" customHeight="1" x14ac:dyDescent="0.25"/>
    <row r="35" spans="1:4" x14ac:dyDescent="0.25">
      <c r="A35" s="367"/>
      <c r="B35" s="368"/>
      <c r="C35" s="368"/>
      <c r="D35" s="219"/>
    </row>
  </sheetData>
  <autoFilter ref="A5:BG14" xr:uid="{00000000-0009-0000-0000-000005000000}"/>
  <mergeCells count="1">
    <mergeCell ref="A35:C35"/>
  </mergeCells>
  <pageMargins left="0.70866141732283472" right="0.70866141732283472" top="0.74803149606299213" bottom="0.74803149606299213" header="0.31496062992125984" footer="0.31496062992125984"/>
  <pageSetup paperSize="9" scale="2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3">
    <tabColor rgb="FFFF0000"/>
  </sheetPr>
  <dimension ref="A1:I50"/>
  <sheetViews>
    <sheetView workbookViewId="0">
      <selection activeCell="J16" sqref="J16"/>
    </sheetView>
  </sheetViews>
  <sheetFormatPr defaultRowHeight="12.75" x14ac:dyDescent="0.2"/>
  <cols>
    <col min="1" max="16384" width="9.140625" style="220"/>
  </cols>
  <sheetData>
    <row r="1" spans="1:9" ht="13.5" x14ac:dyDescent="0.25">
      <c r="A1" s="378" t="s">
        <v>192</v>
      </c>
      <c r="B1" s="368"/>
      <c r="C1" s="368"/>
      <c r="D1" s="368"/>
    </row>
    <row r="2" spans="1:9" ht="13.5" x14ac:dyDescent="0.25">
      <c r="A2" s="378" t="s">
        <v>193</v>
      </c>
      <c r="B2" s="368"/>
      <c r="C2" s="368"/>
      <c r="D2" s="368"/>
      <c r="E2" s="220">
        <v>500</v>
      </c>
      <c r="F2" s="220" t="s">
        <v>194</v>
      </c>
      <c r="G2" s="1" t="s">
        <v>195</v>
      </c>
      <c r="H2" s="221">
        <v>0.5</v>
      </c>
      <c r="I2" s="1" t="s">
        <v>2</v>
      </c>
    </row>
    <row r="3" spans="1:9" ht="13.5" x14ac:dyDescent="0.25">
      <c r="A3" s="378" t="s">
        <v>196</v>
      </c>
      <c r="B3" s="368"/>
      <c r="C3" s="368"/>
      <c r="D3" s="368"/>
      <c r="E3" s="220">
        <v>150</v>
      </c>
      <c r="F3" s="220" t="s">
        <v>194</v>
      </c>
      <c r="G3" s="1" t="s">
        <v>195</v>
      </c>
      <c r="H3" s="221">
        <v>0.15</v>
      </c>
      <c r="I3" s="1" t="s">
        <v>2</v>
      </c>
    </row>
    <row r="4" spans="1:9" ht="15" x14ac:dyDescent="0.25">
      <c r="A4" s="222"/>
      <c r="B4" s="223"/>
      <c r="C4" s="223"/>
      <c r="D4" s="223"/>
      <c r="F4" s="220" t="s">
        <v>194</v>
      </c>
    </row>
    <row r="5" spans="1:9" ht="15" x14ac:dyDescent="0.25">
      <c r="A5" s="224"/>
      <c r="B5" s="223"/>
      <c r="C5" s="223"/>
      <c r="D5" s="223"/>
      <c r="F5" s="220" t="s">
        <v>194</v>
      </c>
    </row>
    <row r="6" spans="1:9" ht="15" x14ac:dyDescent="0.25">
      <c r="A6" s="378" t="s">
        <v>197</v>
      </c>
      <c r="B6" s="368"/>
      <c r="C6" s="368"/>
      <c r="D6" s="368"/>
      <c r="E6" s="225">
        <v>130</v>
      </c>
      <c r="F6" s="226" t="s">
        <v>194</v>
      </c>
    </row>
    <row r="7" spans="1:9" ht="15" x14ac:dyDescent="0.25">
      <c r="A7" s="367" t="s">
        <v>198</v>
      </c>
      <c r="B7" s="368"/>
      <c r="C7" s="368"/>
      <c r="D7" s="368"/>
      <c r="E7" s="171">
        <v>1000</v>
      </c>
      <c r="F7" s="219" t="s">
        <v>194</v>
      </c>
    </row>
    <row r="8" spans="1:9" ht="15" x14ac:dyDescent="0.25">
      <c r="A8" s="367" t="s">
        <v>199</v>
      </c>
      <c r="B8" s="368"/>
      <c r="C8" s="368"/>
      <c r="D8" s="368"/>
      <c r="E8" s="171">
        <v>75</v>
      </c>
      <c r="F8" s="219" t="s">
        <v>194</v>
      </c>
    </row>
    <row r="9" spans="1:9" ht="15" x14ac:dyDescent="0.25">
      <c r="A9" s="367" t="s">
        <v>1</v>
      </c>
      <c r="B9" s="368"/>
      <c r="C9" s="368"/>
      <c r="D9" s="368"/>
      <c r="E9" s="171">
        <v>100</v>
      </c>
      <c r="F9" s="219" t="s">
        <v>194</v>
      </c>
    </row>
    <row r="10" spans="1:9" ht="15" x14ac:dyDescent="0.25">
      <c r="A10" s="367" t="s">
        <v>200</v>
      </c>
      <c r="B10" s="368"/>
      <c r="C10" s="368"/>
      <c r="D10" s="368"/>
      <c r="E10" s="171">
        <v>175</v>
      </c>
      <c r="F10" s="219" t="s">
        <v>194</v>
      </c>
    </row>
    <row r="11" spans="1:9" ht="15" x14ac:dyDescent="0.25">
      <c r="A11" s="367" t="s">
        <v>201</v>
      </c>
      <c r="B11" s="368"/>
      <c r="C11" s="368"/>
      <c r="D11" s="368"/>
      <c r="E11" s="171">
        <v>150</v>
      </c>
      <c r="F11" s="219" t="s">
        <v>194</v>
      </c>
    </row>
    <row r="12" spans="1:9" s="229" customFormat="1" ht="15" x14ac:dyDescent="0.25">
      <c r="A12" s="371" t="s">
        <v>202</v>
      </c>
      <c r="B12" s="373"/>
      <c r="C12" s="373"/>
      <c r="D12" s="373"/>
      <c r="E12" s="227">
        <f>SUM(E8:E11)</f>
        <v>500</v>
      </c>
      <c r="F12" s="228" t="s">
        <v>194</v>
      </c>
    </row>
    <row r="13" spans="1:9" ht="25.5" customHeight="1" x14ac:dyDescent="0.25">
      <c r="A13" s="367" t="s">
        <v>203</v>
      </c>
      <c r="B13" s="368"/>
      <c r="C13" s="368"/>
      <c r="D13" s="368"/>
      <c r="E13" s="171">
        <v>400</v>
      </c>
      <c r="F13" s="219" t="s">
        <v>194</v>
      </c>
    </row>
    <row r="14" spans="1:9" ht="13.5" x14ac:dyDescent="0.25">
      <c r="A14" s="381" t="s">
        <v>204</v>
      </c>
      <c r="B14" s="370"/>
      <c r="C14" s="370"/>
      <c r="D14" s="370"/>
    </row>
    <row r="15" spans="1:9" ht="15" x14ac:dyDescent="0.25">
      <c r="A15" s="378" t="s">
        <v>205</v>
      </c>
      <c r="B15" s="368"/>
      <c r="C15" s="368"/>
      <c r="D15" s="368"/>
      <c r="E15" s="225">
        <v>600</v>
      </c>
      <c r="F15" s="226" t="s">
        <v>194</v>
      </c>
    </row>
    <row r="16" spans="1:9" ht="15" x14ac:dyDescent="0.25">
      <c r="A16" s="367" t="s">
        <v>206</v>
      </c>
      <c r="B16" s="368"/>
      <c r="C16" s="368"/>
      <c r="D16" s="368"/>
      <c r="E16" s="171">
        <v>600</v>
      </c>
      <c r="F16" s="219" t="s">
        <v>194</v>
      </c>
    </row>
    <row r="17" spans="1:8" ht="15" x14ac:dyDescent="0.25">
      <c r="A17" s="367" t="s">
        <v>207</v>
      </c>
      <c r="B17" s="368"/>
      <c r="C17" s="368"/>
      <c r="D17" s="368"/>
      <c r="E17" s="171">
        <v>450</v>
      </c>
      <c r="F17" s="219" t="s">
        <v>194</v>
      </c>
    </row>
    <row r="18" spans="1:8" ht="15" x14ac:dyDescent="0.25">
      <c r="A18" s="369" t="s">
        <v>208</v>
      </c>
      <c r="B18" s="370"/>
      <c r="C18" s="370"/>
      <c r="D18" s="370"/>
      <c r="E18" s="171"/>
      <c r="F18" s="219"/>
    </row>
    <row r="19" spans="1:8" ht="15" x14ac:dyDescent="0.25">
      <c r="A19" s="367" t="s">
        <v>209</v>
      </c>
      <c r="B19" s="368"/>
      <c r="C19" s="368"/>
      <c r="D19" s="368"/>
      <c r="E19" s="171">
        <v>225</v>
      </c>
      <c r="F19" s="219" t="s">
        <v>194</v>
      </c>
    </row>
    <row r="20" spans="1:8" ht="15" x14ac:dyDescent="0.25">
      <c r="A20" s="367" t="s">
        <v>210</v>
      </c>
      <c r="B20" s="368"/>
      <c r="C20" s="368"/>
      <c r="D20" s="368"/>
      <c r="E20" s="171">
        <v>125</v>
      </c>
      <c r="F20" s="219" t="s">
        <v>194</v>
      </c>
    </row>
    <row r="21" spans="1:8" ht="15" x14ac:dyDescent="0.25">
      <c r="A21" s="367" t="s">
        <v>211</v>
      </c>
      <c r="B21" s="368"/>
      <c r="C21" s="368"/>
      <c r="D21" s="368"/>
      <c r="E21" s="171">
        <v>675</v>
      </c>
      <c r="F21" s="219" t="s">
        <v>194</v>
      </c>
    </row>
    <row r="22" spans="1:8" s="229" customFormat="1" ht="15" x14ac:dyDescent="0.25">
      <c r="A22" s="371" t="s">
        <v>212</v>
      </c>
      <c r="B22" s="373"/>
      <c r="C22" s="373"/>
      <c r="D22" s="373"/>
      <c r="E22" s="227">
        <f>SUM(E19:E21)</f>
        <v>1025</v>
      </c>
      <c r="F22" s="228" t="s">
        <v>194</v>
      </c>
    </row>
    <row r="23" spans="1:8" ht="15" x14ac:dyDescent="0.25">
      <c r="A23" s="367" t="s">
        <v>213</v>
      </c>
      <c r="B23" s="368"/>
      <c r="C23" s="368"/>
      <c r="D23" s="368"/>
      <c r="E23" s="171">
        <v>225</v>
      </c>
      <c r="F23" s="219" t="s">
        <v>194</v>
      </c>
    </row>
    <row r="24" spans="1:8" s="229" customFormat="1" ht="15.75" customHeight="1" thickBot="1" x14ac:dyDescent="0.3">
      <c r="A24" s="371" t="s">
        <v>214</v>
      </c>
      <c r="B24" s="373"/>
      <c r="C24" s="373"/>
      <c r="D24" s="373"/>
      <c r="E24" s="227">
        <f>E22+E23</f>
        <v>1250</v>
      </c>
      <c r="F24" s="228" t="s">
        <v>194</v>
      </c>
    </row>
    <row r="25" spans="1:8" ht="15.75" thickTop="1" x14ac:dyDescent="0.25">
      <c r="A25" s="379" t="s">
        <v>215</v>
      </c>
      <c r="B25" s="380"/>
      <c r="C25" s="380"/>
      <c r="D25" s="380"/>
      <c r="E25" s="230"/>
      <c r="F25" s="231"/>
      <c r="G25" s="232" t="s">
        <v>216</v>
      </c>
      <c r="H25" s="233"/>
    </row>
    <row r="26" spans="1:8" ht="15" x14ac:dyDescent="0.25">
      <c r="A26" s="374" t="s">
        <v>217</v>
      </c>
      <c r="B26" s="375"/>
      <c r="C26" s="375"/>
      <c r="D26" s="375"/>
      <c r="E26" s="234">
        <v>100</v>
      </c>
      <c r="F26" s="235" t="s">
        <v>194</v>
      </c>
      <c r="G26" s="236">
        <v>50</v>
      </c>
      <c r="H26" s="237"/>
    </row>
    <row r="27" spans="1:8" ht="15" x14ac:dyDescent="0.25">
      <c r="A27" s="374" t="s">
        <v>218</v>
      </c>
      <c r="B27" s="375"/>
      <c r="C27" s="375"/>
      <c r="D27" s="375"/>
      <c r="E27" s="234">
        <v>50</v>
      </c>
      <c r="F27" s="235" t="s">
        <v>194</v>
      </c>
      <c r="G27" s="236">
        <v>125</v>
      </c>
      <c r="H27" s="237"/>
    </row>
    <row r="28" spans="1:8" ht="15" x14ac:dyDescent="0.25">
      <c r="A28" s="374" t="s">
        <v>219</v>
      </c>
      <c r="B28" s="375"/>
      <c r="C28" s="375"/>
      <c r="D28" s="375"/>
      <c r="E28" s="234">
        <v>50</v>
      </c>
      <c r="F28" s="235" t="s">
        <v>194</v>
      </c>
      <c r="G28" s="236">
        <v>175</v>
      </c>
      <c r="H28" s="237"/>
    </row>
    <row r="29" spans="1:8" ht="15.75" thickBot="1" x14ac:dyDescent="0.3">
      <c r="A29" s="376" t="s">
        <v>220</v>
      </c>
      <c r="B29" s="377"/>
      <c r="C29" s="377"/>
      <c r="D29" s="377"/>
      <c r="E29" s="238">
        <v>140</v>
      </c>
      <c r="F29" s="239" t="s">
        <v>194</v>
      </c>
      <c r="G29" s="240">
        <f>SUM(E26:E28)+E29/2</f>
        <v>270</v>
      </c>
      <c r="H29" s="241"/>
    </row>
    <row r="30" spans="1:8" s="229" customFormat="1" ht="15.75" thickTop="1" x14ac:dyDescent="0.25">
      <c r="A30" s="371" t="s">
        <v>221</v>
      </c>
      <c r="B30" s="373"/>
      <c r="C30" s="373"/>
      <c r="D30" s="373"/>
      <c r="E30" s="227">
        <f>SUM(E26:E29)</f>
        <v>340</v>
      </c>
      <c r="F30" s="228" t="s">
        <v>194</v>
      </c>
    </row>
    <row r="31" spans="1:8" s="229" customFormat="1" ht="15" x14ac:dyDescent="0.25">
      <c r="A31" s="371" t="s">
        <v>222</v>
      </c>
      <c r="B31" s="373"/>
      <c r="C31" s="373"/>
      <c r="D31" s="373"/>
      <c r="E31" s="227">
        <v>220</v>
      </c>
      <c r="F31" s="228" t="s">
        <v>194</v>
      </c>
    </row>
    <row r="32" spans="1:8" s="229" customFormat="1" ht="15" x14ac:dyDescent="0.25">
      <c r="A32" s="371" t="s">
        <v>223</v>
      </c>
      <c r="B32" s="373"/>
      <c r="C32" s="373"/>
      <c r="D32" s="373"/>
      <c r="E32" s="242">
        <v>150</v>
      </c>
      <c r="F32" s="243" t="s">
        <v>194</v>
      </c>
    </row>
    <row r="33" spans="1:6" ht="15" x14ac:dyDescent="0.25">
      <c r="A33" s="367" t="s">
        <v>224</v>
      </c>
      <c r="B33" s="368"/>
      <c r="C33" s="368"/>
      <c r="D33" s="368"/>
      <c r="E33" s="171">
        <f>3*225</f>
        <v>675</v>
      </c>
      <c r="F33" s="219" t="s">
        <v>194</v>
      </c>
    </row>
    <row r="34" spans="1:6" ht="29.25" customHeight="1" x14ac:dyDescent="0.25">
      <c r="A34" s="371" t="s">
        <v>225</v>
      </c>
      <c r="B34" s="373"/>
      <c r="C34" s="373"/>
      <c r="D34" s="373"/>
      <c r="E34" s="242">
        <v>200</v>
      </c>
      <c r="F34" s="243" t="s">
        <v>194</v>
      </c>
    </row>
    <row r="35" spans="1:6" ht="15" x14ac:dyDescent="0.25">
      <c r="A35" s="367"/>
      <c r="B35" s="368"/>
      <c r="C35" s="368"/>
      <c r="D35" s="368"/>
      <c r="E35" s="171"/>
      <c r="F35" s="219" t="s">
        <v>194</v>
      </c>
    </row>
    <row r="36" spans="1:6" ht="15" x14ac:dyDescent="0.25">
      <c r="A36" s="367"/>
      <c r="B36" s="368"/>
      <c r="C36" s="368"/>
      <c r="D36" s="368"/>
      <c r="E36" s="171"/>
      <c r="F36" s="219" t="s">
        <v>194</v>
      </c>
    </row>
    <row r="37" spans="1:6" ht="15" x14ac:dyDescent="0.25">
      <c r="A37" s="367"/>
      <c r="B37" s="368"/>
      <c r="C37" s="368"/>
      <c r="D37" s="368"/>
      <c r="E37" s="171"/>
      <c r="F37" s="219" t="s">
        <v>194</v>
      </c>
    </row>
    <row r="38" spans="1:6" ht="15" x14ac:dyDescent="0.25">
      <c r="A38" s="367"/>
      <c r="B38" s="368"/>
      <c r="C38" s="368"/>
      <c r="D38" s="368"/>
      <c r="E38" s="171"/>
      <c r="F38" s="219" t="s">
        <v>194</v>
      </c>
    </row>
    <row r="39" spans="1:6" ht="15" x14ac:dyDescent="0.25">
      <c r="A39" s="367"/>
      <c r="B39" s="368"/>
      <c r="C39" s="368"/>
      <c r="D39" s="368"/>
      <c r="E39" s="171"/>
      <c r="F39" s="219" t="s">
        <v>194</v>
      </c>
    </row>
    <row r="40" spans="1:6" ht="15" x14ac:dyDescent="0.25">
      <c r="A40" s="369" t="s">
        <v>226</v>
      </c>
      <c r="B40" s="370"/>
      <c r="C40" s="370"/>
      <c r="D40" s="370"/>
      <c r="E40" s="171"/>
      <c r="F40" s="219"/>
    </row>
    <row r="41" spans="1:6" ht="15" x14ac:dyDescent="0.25">
      <c r="A41" s="367" t="s">
        <v>227</v>
      </c>
      <c r="B41" s="368"/>
      <c r="C41" s="368"/>
      <c r="D41" s="368"/>
      <c r="E41" s="171">
        <v>100</v>
      </c>
      <c r="F41" s="219" t="s">
        <v>194</v>
      </c>
    </row>
    <row r="42" spans="1:6" ht="15" x14ac:dyDescent="0.25">
      <c r="A42" s="367" t="s">
        <v>228</v>
      </c>
      <c r="B42" s="368"/>
      <c r="C42" s="368"/>
      <c r="D42" s="368"/>
      <c r="E42" s="171">
        <v>150</v>
      </c>
      <c r="F42" s="219" t="s">
        <v>194</v>
      </c>
    </row>
    <row r="43" spans="1:6" ht="15" x14ac:dyDescent="0.25">
      <c r="A43" s="367" t="s">
        <v>227</v>
      </c>
      <c r="B43" s="368"/>
      <c r="C43" s="368"/>
      <c r="D43" s="368"/>
      <c r="E43" s="171">
        <f>E41</f>
        <v>100</v>
      </c>
      <c r="F43" s="219" t="s">
        <v>194</v>
      </c>
    </row>
    <row r="44" spans="1:6" s="244" customFormat="1" ht="15" x14ac:dyDescent="0.25">
      <c r="A44" s="371" t="s">
        <v>229</v>
      </c>
      <c r="B44" s="372"/>
      <c r="C44" s="372"/>
      <c r="D44" s="372"/>
      <c r="E44" s="227">
        <f>SUM(E41:E43)</f>
        <v>350</v>
      </c>
      <c r="F44" s="228" t="s">
        <v>194</v>
      </c>
    </row>
    <row r="45" spans="1:6" ht="15" x14ac:dyDescent="0.25">
      <c r="A45" s="367" t="s">
        <v>224</v>
      </c>
      <c r="B45" s="368"/>
      <c r="C45" s="368"/>
      <c r="D45" s="368"/>
      <c r="E45" s="171">
        <f>4*225</f>
        <v>900</v>
      </c>
      <c r="F45" s="219" t="s">
        <v>194</v>
      </c>
    </row>
    <row r="46" spans="1:6" ht="35.25" customHeight="1" x14ac:dyDescent="0.25">
      <c r="A46" s="371" t="s">
        <v>230</v>
      </c>
      <c r="B46" s="373"/>
      <c r="C46" s="373"/>
      <c r="D46" s="373"/>
      <c r="E46" s="242">
        <v>75</v>
      </c>
      <c r="F46" s="243" t="s">
        <v>194</v>
      </c>
    </row>
    <row r="47" spans="1:6" ht="15" x14ac:dyDescent="0.25">
      <c r="A47" s="367"/>
      <c r="B47" s="368"/>
      <c r="C47" s="368"/>
      <c r="D47" s="368"/>
      <c r="E47" s="171"/>
      <c r="F47" s="219" t="s">
        <v>194</v>
      </c>
    </row>
    <row r="48" spans="1:6" ht="15" x14ac:dyDescent="0.25">
      <c r="A48" s="367"/>
      <c r="B48" s="368"/>
      <c r="C48" s="368"/>
      <c r="D48" s="368"/>
      <c r="E48" s="171"/>
      <c r="F48" s="219" t="s">
        <v>194</v>
      </c>
    </row>
    <row r="49" spans="1:6" ht="15" x14ac:dyDescent="0.25">
      <c r="A49" s="367"/>
      <c r="B49" s="368"/>
      <c r="C49" s="368"/>
      <c r="D49" s="368"/>
      <c r="E49" s="171"/>
      <c r="F49" s="219" t="s">
        <v>194</v>
      </c>
    </row>
    <row r="50" spans="1:6" ht="15" x14ac:dyDescent="0.25">
      <c r="A50" s="367"/>
      <c r="B50" s="368"/>
      <c r="C50" s="368"/>
      <c r="D50" s="368"/>
      <c r="E50" s="171"/>
      <c r="F50" s="219" t="s">
        <v>194</v>
      </c>
    </row>
  </sheetData>
  <autoFilter ref="A1:F50" xr:uid="{00000000-0009-0000-0000-000006000000}">
    <filterColumn colId="0" showButton="0"/>
    <filterColumn colId="1" showButton="0"/>
    <filterColumn colId="2" showButton="0"/>
  </autoFilter>
  <mergeCells count="48">
    <mergeCell ref="A14:D14"/>
    <mergeCell ref="A1:D1"/>
    <mergeCell ref="A2:D2"/>
    <mergeCell ref="A3:D3"/>
    <mergeCell ref="A6:D6"/>
    <mergeCell ref="A7:D7"/>
    <mergeCell ref="A8:D8"/>
    <mergeCell ref="A9:D9"/>
    <mergeCell ref="A10:D10"/>
    <mergeCell ref="A11:D11"/>
    <mergeCell ref="A12:D12"/>
    <mergeCell ref="A13:D13"/>
    <mergeCell ref="A26:D26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38:D38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50:D50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18" baseType="lpstr">
      <vt:lpstr>CashFlow</vt:lpstr>
      <vt:lpstr>CashFlowARA</vt:lpstr>
      <vt:lpstr>CashFlowCalcs</vt:lpstr>
      <vt:lpstr>BeamAndBlockOmission</vt:lpstr>
      <vt:lpstr>BeamAndBlockPartyOmission</vt:lpstr>
      <vt:lpstr>BeamBlockSlabBuildUp1</vt:lpstr>
      <vt:lpstr>CF_ContractSum</vt:lpstr>
      <vt:lpstr>CF_NoOfVals</vt:lpstr>
      <vt:lpstr>CF_NoOfValsRemaining</vt:lpstr>
      <vt:lpstr>CF_Retention</vt:lpstr>
      <vt:lpstr>CompOnSite</vt:lpstr>
      <vt:lpstr>ConcFillInPartyWall</vt:lpstr>
      <vt:lpstr>DefLiabPeriod</vt:lpstr>
      <vt:lpstr>ExtFaceToCLofCav</vt:lpstr>
      <vt:lpstr>ADOPTEDROADS!PerimPathWidth</vt:lpstr>
      <vt:lpstr>StartOnSite</vt:lpstr>
      <vt:lpstr>TAB_DATE1_DAYNO</vt:lpstr>
      <vt:lpstr>TAB_DATE1toNOOFDAYREM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customer</cp:lastModifiedBy>
  <cp:lastPrinted>2019-07-01T14:51:26Z</cp:lastPrinted>
  <dcterms:created xsi:type="dcterms:W3CDTF">2015-01-09T10:58:41Z</dcterms:created>
  <dcterms:modified xsi:type="dcterms:W3CDTF">2021-04-26T11:28:48Z</dcterms:modified>
</cp:coreProperties>
</file>