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tt\Downloads\"/>
    </mc:Choice>
  </mc:AlternateContent>
  <xr:revisionPtr revIDLastSave="0" documentId="8_{C7F4149A-D599-41EF-BB42-8C2364A7624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S16" i="1"/>
  <c r="G58" i="1"/>
  <c r="F58" i="1"/>
  <c r="E51" i="1"/>
  <c r="E53" i="1" s="1"/>
  <c r="E49" i="1"/>
  <c r="E45" i="1"/>
  <c r="E42" i="1"/>
  <c r="L81" i="1"/>
  <c r="E35" i="1"/>
  <c r="H13" i="1"/>
  <c r="E36" i="1"/>
  <c r="E34" i="1"/>
  <c r="E27" i="1"/>
  <c r="L82" i="1"/>
  <c r="R15" i="1"/>
  <c r="E15" i="1"/>
  <c r="E14" i="1"/>
  <c r="E58" i="1" l="1"/>
  <c r="E54" i="1"/>
  <c r="E37" i="1"/>
  <c r="E38" i="1"/>
  <c r="E39" i="1"/>
  <c r="I31" i="1"/>
  <c r="T19" i="1" l="1"/>
  <c r="T15" i="1"/>
  <c r="E28" i="1"/>
  <c r="E65" i="1" s="1"/>
  <c r="E64" i="1"/>
  <c r="L83" i="1" l="1"/>
  <c r="U18" i="1" l="1"/>
  <c r="S18" i="1"/>
  <c r="U14" i="1"/>
  <c r="S14" i="1"/>
  <c r="L33" i="1"/>
  <c r="E43" i="1"/>
  <c r="E46" i="1" s="1"/>
  <c r="G59" i="1" l="1"/>
  <c r="T17" i="1"/>
  <c r="R19" i="1" s="1"/>
  <c r="E47" i="1"/>
  <c r="F59" i="1"/>
  <c r="E62" i="1"/>
  <c r="U16" i="1" l="1"/>
  <c r="S23" i="1"/>
  <c r="V27" i="1"/>
  <c r="U20" i="1"/>
  <c r="S20" i="1"/>
  <c r="U23" i="1"/>
  <c r="L84" i="1"/>
  <c r="H58" i="1" l="1"/>
  <c r="E59" i="1"/>
  <c r="H59" i="1" s="1"/>
  <c r="L14" i="1" l="1"/>
  <c r="H60" i="1"/>
  <c r="N14" i="1"/>
  <c r="M15" i="1"/>
  <c r="N18" i="1"/>
  <c r="M19" i="1"/>
  <c r="L18" i="1"/>
  <c r="L32" i="1" l="1"/>
  <c r="M34" i="1" s="1"/>
  <c r="O28" i="1"/>
  <c r="M17" i="1"/>
  <c r="K19" i="1" l="1"/>
  <c r="L16" i="1"/>
  <c r="K15" i="1"/>
  <c r="N16" i="1"/>
  <c r="L20" i="1"/>
  <c r="N20" i="1"/>
  <c r="O27" i="1"/>
  <c r="N23" i="1"/>
</calcChain>
</file>

<file path=xl/sharedStrings.xml><?xml version="1.0" encoding="utf-8"?>
<sst xmlns="http://schemas.openxmlformats.org/spreadsheetml/2006/main" count="145" uniqueCount="109">
  <si>
    <t>Weight Transfer and Load Distirbution Calculator</t>
  </si>
  <si>
    <t>T.Tudor</t>
  </si>
  <si>
    <t>INPUTS</t>
  </si>
  <si>
    <t xml:space="preserve">Turn </t>
  </si>
  <si>
    <t>Static</t>
  </si>
  <si>
    <t>Tf</t>
  </si>
  <si>
    <t>Front Track</t>
  </si>
  <si>
    <t>m</t>
  </si>
  <si>
    <t>(Left a=+ve, Right a=-ve)</t>
  </si>
  <si>
    <t>Tr</t>
  </si>
  <si>
    <t>Rear Track</t>
  </si>
  <si>
    <t>L</t>
  </si>
  <si>
    <t>Wheelbase</t>
  </si>
  <si>
    <t>H</t>
  </si>
  <si>
    <t>Center of Gravity Height (All Mass)</t>
  </si>
  <si>
    <t>Ms CoG</t>
  </si>
  <si>
    <t>Msf</t>
  </si>
  <si>
    <t>Front Sprung Mass</t>
  </si>
  <si>
    <t>kg</t>
  </si>
  <si>
    <t>Front</t>
  </si>
  <si>
    <t>Msr</t>
  </si>
  <si>
    <t>Rear Sprung Mass</t>
  </si>
  <si>
    <t>Musf</t>
  </si>
  <si>
    <t>Front Unsprung Mass</t>
  </si>
  <si>
    <t>musr</t>
  </si>
  <si>
    <t>Rear Unsprung Mass</t>
  </si>
  <si>
    <t>r</t>
  </si>
  <si>
    <t>Rolling Radius of Tyre</t>
  </si>
  <si>
    <t>Rear</t>
  </si>
  <si>
    <t>hf</t>
  </si>
  <si>
    <t>Front RC Height</t>
  </si>
  <si>
    <t>mm</t>
  </si>
  <si>
    <t>hr</t>
  </si>
  <si>
    <t>Rear RC Height</t>
  </si>
  <si>
    <t>Kwf</t>
  </si>
  <si>
    <t>Front Wheel Rate</t>
  </si>
  <si>
    <t>N/m</t>
  </si>
  <si>
    <t>Kwr</t>
  </si>
  <si>
    <t>Rear Wheel Rate</t>
  </si>
  <si>
    <t>Splits</t>
  </si>
  <si>
    <t>Karf</t>
  </si>
  <si>
    <t>Front ARB Wheel Rate</t>
  </si>
  <si>
    <t>Inside</t>
  </si>
  <si>
    <t>Outside</t>
  </si>
  <si>
    <t>Karr</t>
  </si>
  <si>
    <t>Rear ARB Wheel Rate</t>
  </si>
  <si>
    <t>m/s^2</t>
  </si>
  <si>
    <t>ClAf</t>
  </si>
  <si>
    <t>Front Lift Coefficient * A</t>
  </si>
  <si>
    <t>Wedge</t>
  </si>
  <si>
    <t>ClAr</t>
  </si>
  <si>
    <t>Rear Lift Coefficient * A</t>
  </si>
  <si>
    <t>Magic Number (Loadsplit)</t>
  </si>
  <si>
    <t>&gt;50% O/S</t>
  </si>
  <si>
    <t>Propotion of total WT at rear</t>
  </si>
  <si>
    <t>&lt;50% U/S</t>
  </si>
  <si>
    <t>v</t>
  </si>
  <si>
    <t>Speed</t>
  </si>
  <si>
    <t>m/s</t>
  </si>
  <si>
    <t>ay</t>
  </si>
  <si>
    <t>Lateral Acceleration</t>
  </si>
  <si>
    <t>G</t>
  </si>
  <si>
    <t>hactual</t>
  </si>
  <si>
    <t>ax</t>
  </si>
  <si>
    <t>Longlitudinal Acceleration</t>
  </si>
  <si>
    <t>WT Component Sum</t>
  </si>
  <si>
    <t>N</t>
  </si>
  <si>
    <t xml:space="preserve">WT Rigid Body </t>
  </si>
  <si>
    <t>%Mr</t>
  </si>
  <si>
    <t>Fraction Sprung Mass rear</t>
  </si>
  <si>
    <t>Diff</t>
  </si>
  <si>
    <t>%</t>
  </si>
  <si>
    <t>Hr</t>
  </si>
  <si>
    <t>CoG height above roll axis</t>
  </si>
  <si>
    <t>Fi</t>
  </si>
  <si>
    <t>Static Front Inside Load</t>
  </si>
  <si>
    <t>Fo</t>
  </si>
  <si>
    <t>Static Front outside Load</t>
  </si>
  <si>
    <t>Ri</t>
  </si>
  <si>
    <t>Static Rear Inside Load</t>
  </si>
  <si>
    <t>Ro</t>
  </si>
  <si>
    <t>Static Rear outside Load</t>
  </si>
  <si>
    <t>Total Front Wheel Rate</t>
  </si>
  <si>
    <t>Total Rear Wheel Rate</t>
  </si>
  <si>
    <t xml:space="preserve">Front Roll Stiffness </t>
  </si>
  <si>
    <t>Nm/rad</t>
  </si>
  <si>
    <t xml:space="preserve">Rear Roll Stiffness </t>
  </si>
  <si>
    <t xml:space="preserve">Total Roll Stiffness </t>
  </si>
  <si>
    <t>Total Sprung Mass</t>
  </si>
  <si>
    <t>Kg</t>
  </si>
  <si>
    <t>Overturning Moment (Mot)</t>
  </si>
  <si>
    <t>Nm</t>
  </si>
  <si>
    <t>Roll Angle (Radians)</t>
  </si>
  <si>
    <t>Rad</t>
  </si>
  <si>
    <t>Roll Angle (Degrees)</t>
  </si>
  <si>
    <t>Deg</t>
  </si>
  <si>
    <t>Lateral Weight Transfer</t>
  </si>
  <si>
    <t>Elastic</t>
  </si>
  <si>
    <t>Geometric</t>
  </si>
  <si>
    <t>Total</t>
  </si>
  <si>
    <t>src</t>
  </si>
  <si>
    <t>us</t>
  </si>
  <si>
    <t>Longlitudinal Weight Transfer</t>
  </si>
  <si>
    <t>Front Axle Aeroload</t>
  </si>
  <si>
    <t>Rear Axle Aeroload</t>
  </si>
  <si>
    <t>% Front Sprung mass</t>
  </si>
  <si>
    <t>Alpha</t>
  </si>
  <si>
    <t>z</t>
  </si>
  <si>
    <t>h=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</si>
</sst>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4"/>
      <color rgb="FFFFFF0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20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ck">
        <color rgb="FFFFFF00"/>
      </left>
      <right/>
      <top style="thick">
        <color rgb="FFFFFF00"/>
      </top>
      <bottom/>
      <diagonal/>
    </border>
    <border>
      <left/>
      <right/>
      <top style="thick">
        <color rgb="FFFFFF00"/>
      </top>
      <bottom/>
      <diagonal/>
    </border>
    <border>
      <left/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ck">
        <color rgb="FFFFFF00"/>
      </right>
      <top/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/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  <border>
      <left style="thick">
        <color rgb="FFFFFF00"/>
      </left>
      <right/>
      <top style="thin">
        <color rgb="FFFFFF00"/>
      </top>
      <bottom style="thick">
        <color rgb="FFFFFF00"/>
      </bottom>
      <diagonal/>
    </border>
    <border>
      <left/>
      <right/>
      <top style="thin">
        <color rgb="FFFFFF00"/>
      </top>
      <bottom style="thick">
        <color rgb="FFFFFF00"/>
      </bottom>
      <diagonal/>
    </border>
    <border>
      <left/>
      <right style="thick">
        <color rgb="FFFFFF00"/>
      </right>
      <top style="thin">
        <color rgb="FFFFFF00"/>
      </top>
      <bottom style="thick">
        <color rgb="FFFFFF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5" fillId="0" borderId="0" xfId="0" applyFont="1"/>
    <xf numFmtId="0" fontId="5" fillId="6" borderId="0" xfId="0" applyFont="1" applyFill="1"/>
    <xf numFmtId="0" fontId="7" fillId="6" borderId="0" xfId="0" applyFont="1" applyFill="1"/>
    <xf numFmtId="0" fontId="7" fillId="6" borderId="1" xfId="0" applyFont="1" applyFill="1" applyBorder="1"/>
    <xf numFmtId="0" fontId="7" fillId="6" borderId="2" xfId="0" applyFont="1" applyFill="1" applyBorder="1"/>
    <xf numFmtId="0" fontId="7" fillId="6" borderId="4" xfId="0" applyFont="1" applyFill="1" applyBorder="1"/>
    <xf numFmtId="0" fontId="5" fillId="6" borderId="4" xfId="0" applyFont="1" applyFill="1" applyBorder="1"/>
    <xf numFmtId="0" fontId="7" fillId="6" borderId="6" xfId="0" applyFont="1" applyFill="1" applyBorder="1"/>
    <xf numFmtId="0" fontId="7" fillId="6" borderId="7" xfId="0" applyFont="1" applyFill="1" applyBorder="1"/>
    <xf numFmtId="0" fontId="5" fillId="6" borderId="5" xfId="0" applyFont="1" applyFill="1" applyBorder="1"/>
    <xf numFmtId="0" fontId="7" fillId="6" borderId="9" xfId="0" applyFont="1" applyFill="1" applyBorder="1"/>
    <xf numFmtId="0" fontId="7" fillId="6" borderId="10" xfId="0" applyFont="1" applyFill="1" applyBorder="1"/>
    <xf numFmtId="0" fontId="7" fillId="6" borderId="10" xfId="0" applyFont="1" applyFill="1" applyBorder="1" applyAlignment="1">
      <alignment horizontal="left"/>
    </xf>
    <xf numFmtId="0" fontId="5" fillId="6" borderId="10" xfId="0" applyFont="1" applyFill="1" applyBorder="1"/>
    <xf numFmtId="0" fontId="5" fillId="6" borderId="11" xfId="0" applyFont="1" applyFill="1" applyBorder="1"/>
    <xf numFmtId="0" fontId="11" fillId="6" borderId="0" xfId="0" applyFont="1" applyFill="1"/>
    <xf numFmtId="0" fontId="10" fillId="6" borderId="1" xfId="0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10" fillId="6" borderId="0" xfId="0" applyFont="1" applyFill="1" applyAlignment="1">
      <alignment horizontal="center"/>
    </xf>
    <xf numFmtId="0" fontId="10" fillId="6" borderId="5" xfId="0" applyFont="1" applyFill="1" applyBorder="1" applyAlignment="1">
      <alignment horizontal="center"/>
    </xf>
    <xf numFmtId="0" fontId="9" fillId="6" borderId="0" xfId="0" applyFont="1" applyFill="1" applyAlignment="1">
      <alignment horizontal="center"/>
    </xf>
    <xf numFmtId="0" fontId="9" fillId="6" borderId="2" xfId="0" applyFont="1" applyFill="1" applyBorder="1" applyAlignment="1">
      <alignment horizontal="center"/>
    </xf>
    <xf numFmtId="14" fontId="5" fillId="6" borderId="10" xfId="0" applyNumberFormat="1" applyFont="1" applyFill="1" applyBorder="1" applyAlignment="1">
      <alignment horizontal="center"/>
    </xf>
    <xf numFmtId="0" fontId="7" fillId="6" borderId="0" xfId="0" applyFont="1" applyFill="1" applyAlignment="1">
      <alignment horizontal="center"/>
    </xf>
    <xf numFmtId="0" fontId="7" fillId="6" borderId="3" xfId="0" applyFont="1" applyFill="1" applyBorder="1" applyProtection="1">
      <protection hidden="1"/>
    </xf>
    <xf numFmtId="0" fontId="7" fillId="6" borderId="0" xfId="0" applyFont="1" applyFill="1" applyProtection="1">
      <protection hidden="1"/>
    </xf>
    <xf numFmtId="0" fontId="9" fillId="6" borderId="0" xfId="0" applyFont="1" applyFill="1" applyAlignment="1" applyProtection="1">
      <alignment horizontal="center" wrapText="1"/>
      <protection hidden="1"/>
    </xf>
    <xf numFmtId="0" fontId="9" fillId="6" borderId="0" xfId="0" applyFont="1" applyFill="1" applyAlignment="1" applyProtection="1">
      <alignment horizontal="center"/>
      <protection hidden="1"/>
    </xf>
    <xf numFmtId="0" fontId="7" fillId="6" borderId="5" xfId="0" applyFont="1" applyFill="1" applyBorder="1" applyProtection="1">
      <protection hidden="1"/>
    </xf>
    <xf numFmtId="0" fontId="13" fillId="6" borderId="0" xfId="0" applyFont="1" applyFill="1" applyProtection="1">
      <protection hidden="1"/>
    </xf>
    <xf numFmtId="0" fontId="8" fillId="6" borderId="0" xfId="0" applyFont="1" applyFill="1" applyAlignment="1" applyProtection="1">
      <alignment horizontal="center" wrapText="1"/>
      <protection hidden="1"/>
    </xf>
    <xf numFmtId="0" fontId="0" fillId="6" borderId="0" xfId="0" applyFill="1" applyProtection="1">
      <protection hidden="1"/>
    </xf>
    <xf numFmtId="0" fontId="5" fillId="6" borderId="0" xfId="0" applyFont="1" applyFill="1" applyProtection="1">
      <protection hidden="1"/>
    </xf>
    <xf numFmtId="0" fontId="5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6" fillId="2" borderId="0" xfId="0" applyFont="1" applyFill="1" applyProtection="1">
      <protection hidden="1"/>
    </xf>
    <xf numFmtId="0" fontId="1" fillId="2" borderId="0" xfId="0" applyFont="1" applyFill="1" applyProtection="1">
      <protection hidden="1"/>
    </xf>
    <xf numFmtId="0" fontId="4" fillId="6" borderId="0" xfId="0" applyFont="1" applyFill="1" applyProtection="1">
      <protection hidden="1"/>
    </xf>
    <xf numFmtId="0" fontId="6" fillId="6" borderId="0" xfId="0" applyFont="1" applyFill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center"/>
      <protection hidden="1"/>
    </xf>
    <xf numFmtId="0" fontId="1" fillId="6" borderId="0" xfId="0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2" fontId="0" fillId="7" borderId="0" xfId="0" applyNumberFormat="1" applyFill="1" applyAlignment="1" applyProtection="1">
      <alignment horizontal="center"/>
      <protection hidden="1"/>
    </xf>
    <xf numFmtId="2" fontId="2" fillId="4" borderId="0" xfId="0" applyNumberFormat="1" applyFont="1" applyFill="1" applyAlignment="1" applyProtection="1">
      <alignment horizontal="center"/>
      <protection hidden="1"/>
    </xf>
    <xf numFmtId="2" fontId="6" fillId="2" borderId="0" xfId="0" applyNumberFormat="1" applyFont="1" applyFill="1" applyAlignment="1" applyProtection="1">
      <alignment horizontal="center"/>
      <protection hidden="1"/>
    </xf>
    <xf numFmtId="2" fontId="2" fillId="3" borderId="0" xfId="0" applyNumberFormat="1" applyFont="1" applyFill="1" applyAlignment="1" applyProtection="1">
      <alignment horizontal="center"/>
      <protection hidden="1"/>
    </xf>
    <xf numFmtId="2" fontId="7" fillId="6" borderId="0" xfId="0" applyNumberFormat="1" applyFont="1" applyFill="1" applyProtection="1">
      <protection hidden="1"/>
    </xf>
    <xf numFmtId="2" fontId="1" fillId="2" borderId="0" xfId="0" applyNumberFormat="1" applyFont="1" applyFill="1" applyAlignment="1" applyProtection="1">
      <alignment horizontal="center"/>
      <protection hidden="1"/>
    </xf>
    <xf numFmtId="2" fontId="0" fillId="6" borderId="0" xfId="0" applyNumberFormat="1" applyFill="1" applyProtection="1">
      <protection hidden="1"/>
    </xf>
    <xf numFmtId="10" fontId="0" fillId="7" borderId="0" xfId="0" applyNumberFormat="1" applyFill="1" applyAlignment="1" applyProtection="1">
      <alignment horizontal="center"/>
      <protection hidden="1"/>
    </xf>
    <xf numFmtId="2" fontId="3" fillId="2" borderId="0" xfId="0" applyNumberFormat="1" applyFont="1" applyFill="1" applyAlignment="1" applyProtection="1">
      <alignment horizontal="center"/>
      <protection hidden="1"/>
    </xf>
    <xf numFmtId="0" fontId="13" fillId="6" borderId="0" xfId="0" applyFont="1" applyFill="1" applyAlignment="1" applyProtection="1">
      <alignment horizontal="center"/>
      <protection hidden="1"/>
    </xf>
    <xf numFmtId="10" fontId="1" fillId="5" borderId="0" xfId="0" applyNumberFormat="1" applyFont="1" applyFill="1" applyAlignment="1" applyProtection="1">
      <alignment horizontal="center"/>
      <protection hidden="1"/>
    </xf>
    <xf numFmtId="164" fontId="7" fillId="6" borderId="0" xfId="0" applyNumberFormat="1" applyFont="1" applyFill="1" applyProtection="1">
      <protection hidden="1"/>
    </xf>
    <xf numFmtId="164" fontId="5" fillId="6" borderId="0" xfId="0" applyNumberFormat="1" applyFont="1" applyFill="1" applyProtection="1">
      <protection hidden="1"/>
    </xf>
    <xf numFmtId="2" fontId="6" fillId="6" borderId="0" xfId="0" applyNumberFormat="1" applyFont="1" applyFill="1" applyAlignment="1" applyProtection="1">
      <alignment horizontal="center"/>
      <protection hidden="1"/>
    </xf>
    <xf numFmtId="2" fontId="1" fillId="6" borderId="0" xfId="0" applyNumberFormat="1" applyFont="1" applyFill="1" applyAlignment="1" applyProtection="1">
      <alignment horizontal="center"/>
      <protection hidden="1"/>
    </xf>
    <xf numFmtId="0" fontId="7" fillId="6" borderId="0" xfId="0" applyFont="1" applyFill="1" applyAlignment="1" applyProtection="1">
      <alignment horizontal="center"/>
      <protection hidden="1"/>
    </xf>
    <xf numFmtId="2" fontId="0" fillId="7" borderId="0" xfId="0" applyNumberFormat="1" applyFill="1" applyProtection="1">
      <protection hidden="1"/>
    </xf>
    <xf numFmtId="2" fontId="6" fillId="2" borderId="0" xfId="0" applyNumberFormat="1" applyFont="1" applyFill="1" applyProtection="1">
      <protection hidden="1"/>
    </xf>
    <xf numFmtId="2" fontId="1" fillId="2" borderId="0" xfId="0" applyNumberFormat="1" applyFont="1" applyFill="1" applyProtection="1">
      <protection hidden="1"/>
    </xf>
    <xf numFmtId="2" fontId="5" fillId="2" borderId="0" xfId="0" applyNumberFormat="1" applyFont="1" applyFill="1" applyProtection="1">
      <protection hidden="1"/>
    </xf>
    <xf numFmtId="2" fontId="0" fillId="2" borderId="0" xfId="0" applyNumberFormat="1" applyFill="1" applyProtection="1">
      <protection hidden="1"/>
    </xf>
    <xf numFmtId="2" fontId="5" fillId="7" borderId="0" xfId="0" applyNumberFormat="1" applyFont="1" applyFill="1" applyAlignment="1" applyProtection="1">
      <alignment horizontal="center"/>
      <protection hidden="1"/>
    </xf>
    <xf numFmtId="2" fontId="7" fillId="6" borderId="0" xfId="0" applyNumberFormat="1" applyFont="1" applyFill="1" applyAlignment="1" applyProtection="1">
      <alignment horizontal="center"/>
      <protection hidden="1"/>
    </xf>
    <xf numFmtId="10" fontId="7" fillId="6" borderId="0" xfId="0" applyNumberFormat="1" applyFont="1" applyFill="1" applyProtection="1">
      <protection hidden="1"/>
    </xf>
    <xf numFmtId="2" fontId="4" fillId="6" borderId="0" xfId="0" applyNumberFormat="1" applyFont="1" applyFill="1" applyProtection="1">
      <protection hidden="1"/>
    </xf>
    <xf numFmtId="2" fontId="11" fillId="6" borderId="0" xfId="0" applyNumberFormat="1" applyFont="1" applyFill="1" applyProtection="1">
      <protection hidden="1"/>
    </xf>
    <xf numFmtId="10" fontId="12" fillId="6" borderId="0" xfId="0" applyNumberFormat="1" applyFont="1" applyFill="1" applyAlignment="1" applyProtection="1">
      <alignment horizontal="center"/>
      <protection hidden="1"/>
    </xf>
    <xf numFmtId="10" fontId="7" fillId="6" borderId="0" xfId="0" applyNumberFormat="1" applyFont="1" applyFill="1" applyAlignment="1" applyProtection="1">
      <alignment horizontal="center"/>
      <protection hidden="1"/>
    </xf>
    <xf numFmtId="1" fontId="7" fillId="6" borderId="0" xfId="0" applyNumberFormat="1" applyFont="1" applyFill="1" applyAlignment="1" applyProtection="1">
      <alignment horizontal="center"/>
      <protection hidden="1"/>
    </xf>
    <xf numFmtId="1" fontId="7" fillId="6" borderId="0" xfId="0" applyNumberFormat="1" applyFont="1" applyFill="1" applyAlignment="1" applyProtection="1">
      <alignment horizontal="center"/>
      <protection hidden="1"/>
    </xf>
    <xf numFmtId="0" fontId="11" fillId="6" borderId="5" xfId="0" applyFont="1" applyFill="1" applyBorder="1" applyProtection="1">
      <protection hidden="1"/>
    </xf>
    <xf numFmtId="0" fontId="14" fillId="6" borderId="0" xfId="0" applyFont="1" applyFill="1" applyProtection="1">
      <protection hidden="1"/>
    </xf>
    <xf numFmtId="0" fontId="11" fillId="6" borderId="0" xfId="0" applyFont="1" applyFill="1" applyProtection="1">
      <protection hidden="1"/>
    </xf>
    <xf numFmtId="0" fontId="7" fillId="6" borderId="8" xfId="0" applyFont="1" applyFill="1" applyBorder="1" applyProtection="1">
      <protection hidden="1"/>
    </xf>
    <xf numFmtId="0" fontId="7" fillId="6" borderId="0" xfId="0" applyFont="1" applyFill="1" applyAlignment="1" applyProtection="1">
      <alignment horizontal="center"/>
      <protection hidden="1"/>
    </xf>
    <xf numFmtId="0" fontId="7" fillId="6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11</xdr:row>
      <xdr:rowOff>104775</xdr:rowOff>
    </xdr:from>
    <xdr:to>
      <xdr:col>12</xdr:col>
      <xdr:colOff>438150</xdr:colOff>
      <xdr:row>13</xdr:row>
      <xdr:rowOff>19050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838950" y="866775"/>
          <a:ext cx="266700" cy="3143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57150</xdr:colOff>
      <xdr:row>13</xdr:row>
      <xdr:rowOff>152400</xdr:rowOff>
    </xdr:from>
    <xdr:to>
      <xdr:col>12</xdr:col>
      <xdr:colOff>552450</xdr:colOff>
      <xdr:row>13</xdr:row>
      <xdr:rowOff>152400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6724650" y="1314450"/>
          <a:ext cx="495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47625</xdr:colOff>
      <xdr:row>17</xdr:row>
      <xdr:rowOff>133350</xdr:rowOff>
    </xdr:from>
    <xdr:to>
      <xdr:col>12</xdr:col>
      <xdr:colOff>542925</xdr:colOff>
      <xdr:row>17</xdr:row>
      <xdr:rowOff>133350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6715125" y="2076450"/>
          <a:ext cx="495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57150</xdr:colOff>
      <xdr:row>13</xdr:row>
      <xdr:rowOff>152400</xdr:rowOff>
    </xdr:from>
    <xdr:to>
      <xdr:col>19</xdr:col>
      <xdr:colOff>552450</xdr:colOff>
      <xdr:row>13</xdr:row>
      <xdr:rowOff>152400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6734175" y="1314450"/>
          <a:ext cx="495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47625</xdr:colOff>
      <xdr:row>17</xdr:row>
      <xdr:rowOff>133350</xdr:rowOff>
    </xdr:from>
    <xdr:to>
      <xdr:col>19</xdr:col>
      <xdr:colOff>542925</xdr:colOff>
      <xdr:row>17</xdr:row>
      <xdr:rowOff>133350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6724650" y="2076450"/>
          <a:ext cx="495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149088</xdr:colOff>
      <xdr:row>0</xdr:row>
      <xdr:rowOff>132522</xdr:rowOff>
    </xdr:from>
    <xdr:to>
      <xdr:col>3</xdr:col>
      <xdr:colOff>1109870</xdr:colOff>
      <xdr:row>5</xdr:row>
      <xdr:rowOff>30373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1" y="132522"/>
          <a:ext cx="2186608" cy="875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L1793"/>
  <sheetViews>
    <sheetView tabSelected="1" topLeftCell="B1" zoomScaleNormal="100" workbookViewId="0">
      <selection activeCell="E16" sqref="E16"/>
    </sheetView>
  </sheetViews>
  <sheetFormatPr defaultColWidth="9.28515625" defaultRowHeight="15" x14ac:dyDescent="0.25"/>
  <cols>
    <col min="1" max="2" width="9.28515625" style="2"/>
    <col min="3" max="3" width="9.28515625" style="3"/>
    <col min="4" max="4" width="29.7109375" style="3" customWidth="1"/>
    <col min="5" max="9" width="9.28515625" style="3"/>
    <col min="10" max="10" width="9.28515625" style="3" customWidth="1"/>
    <col min="11" max="11" width="19.28515625" style="1" customWidth="1"/>
    <col min="12" max="14" width="9.28515625" style="1" bestFit="1" customWidth="1"/>
    <col min="15" max="15" width="9.28515625" style="3"/>
    <col min="16" max="16" width="10.42578125" style="3" customWidth="1"/>
    <col min="17" max="17" width="9.28515625" style="3"/>
    <col min="18" max="18" width="9.28515625" style="1"/>
    <col min="19" max="19" width="9.28515625" style="1" bestFit="1" customWidth="1"/>
    <col min="20" max="20" width="9.28515625" style="1"/>
    <col min="21" max="21" width="9.28515625" style="1" bestFit="1" customWidth="1"/>
    <col min="22" max="298" width="9.28515625" style="2"/>
    <col min="299" max="16384" width="9.28515625" style="1"/>
  </cols>
  <sheetData>
    <row r="1" spans="2:23" s="2" customFormat="1" ht="15.75" thickBot="1" x14ac:dyDescent="0.3">
      <c r="C1" s="3"/>
      <c r="D1" s="3"/>
      <c r="E1" s="3"/>
      <c r="F1" s="3"/>
      <c r="G1" s="3"/>
      <c r="H1" s="3"/>
      <c r="I1" s="3"/>
      <c r="J1" s="3"/>
      <c r="O1" s="3"/>
      <c r="P1" s="3"/>
      <c r="Q1" s="3"/>
    </row>
    <row r="2" spans="2:23" s="2" customFormat="1" ht="15.75" thickTop="1" x14ac:dyDescent="0.25">
      <c r="C2" s="3"/>
      <c r="D2" s="3"/>
      <c r="E2" s="17" t="s">
        <v>0</v>
      </c>
      <c r="F2" s="18"/>
      <c r="G2" s="18"/>
      <c r="H2" s="18"/>
      <c r="I2" s="18"/>
      <c r="J2" s="18"/>
      <c r="K2" s="18"/>
      <c r="L2" s="18"/>
      <c r="M2" s="18"/>
      <c r="N2" s="19"/>
      <c r="O2" s="3"/>
      <c r="P2" s="3"/>
      <c r="Q2" s="3"/>
    </row>
    <row r="3" spans="2:23" s="2" customFormat="1" x14ac:dyDescent="0.25">
      <c r="C3" s="3"/>
      <c r="D3" s="3"/>
      <c r="E3" s="20"/>
      <c r="F3" s="21"/>
      <c r="G3" s="21"/>
      <c r="H3" s="21"/>
      <c r="I3" s="21"/>
      <c r="J3" s="21"/>
      <c r="K3" s="21"/>
      <c r="L3" s="21"/>
      <c r="M3" s="21"/>
      <c r="N3" s="22"/>
      <c r="O3" s="3"/>
      <c r="P3" s="3"/>
      <c r="Q3" s="3"/>
    </row>
    <row r="4" spans="2:23" s="2" customFormat="1" x14ac:dyDescent="0.25">
      <c r="C4" s="3"/>
      <c r="D4" s="3"/>
      <c r="E4" s="6"/>
      <c r="F4" s="3"/>
      <c r="N4" s="10"/>
      <c r="O4" s="3"/>
      <c r="P4" s="3"/>
      <c r="Q4" s="3"/>
    </row>
    <row r="5" spans="2:23" s="2" customFormat="1" ht="15.75" thickBot="1" x14ac:dyDescent="0.3">
      <c r="C5" s="3"/>
      <c r="D5" s="3"/>
      <c r="E5" s="11"/>
      <c r="F5" s="12"/>
      <c r="G5" s="12"/>
      <c r="H5" s="12" t="s">
        <v>1</v>
      </c>
      <c r="I5" s="13"/>
      <c r="J5" s="12"/>
      <c r="K5" s="25">
        <v>44205</v>
      </c>
      <c r="L5" s="25"/>
      <c r="M5" s="14"/>
      <c r="N5" s="15"/>
      <c r="O5" s="3"/>
      <c r="P5" s="3"/>
      <c r="Q5" s="3"/>
    </row>
    <row r="6" spans="2:23" s="2" customFormat="1" ht="16.5" thickTop="1" thickBot="1" x14ac:dyDescent="0.3">
      <c r="C6" s="3"/>
      <c r="D6" s="3"/>
      <c r="E6" s="3"/>
      <c r="F6" s="3"/>
      <c r="G6" s="3"/>
      <c r="H6" s="3"/>
      <c r="I6" s="3"/>
      <c r="J6" s="3"/>
      <c r="O6" s="3"/>
      <c r="P6" s="3"/>
      <c r="Q6" s="3"/>
    </row>
    <row r="7" spans="2:23" s="3" customFormat="1" ht="15" customHeight="1" thickTop="1" x14ac:dyDescent="0.25">
      <c r="B7" s="4"/>
      <c r="C7" s="5"/>
      <c r="D7" s="24" t="s">
        <v>2</v>
      </c>
      <c r="E7" s="24"/>
      <c r="F7" s="27"/>
      <c r="G7" s="28"/>
      <c r="H7" s="28"/>
      <c r="I7" s="28"/>
      <c r="J7" s="28"/>
      <c r="K7" s="28"/>
      <c r="L7" s="29" t="s">
        <v>3</v>
      </c>
      <c r="M7" s="29"/>
      <c r="N7" s="29"/>
      <c r="O7" s="28"/>
      <c r="P7" s="28"/>
      <c r="Q7" s="28"/>
      <c r="R7" s="28"/>
      <c r="S7" s="30" t="s">
        <v>4</v>
      </c>
      <c r="T7" s="30"/>
      <c r="U7" s="30"/>
      <c r="V7" s="28"/>
      <c r="W7" s="28"/>
    </row>
    <row r="8" spans="2:23" s="3" customFormat="1" ht="15" customHeight="1" x14ac:dyDescent="0.25">
      <c r="B8" s="6"/>
      <c r="D8" s="23"/>
      <c r="E8" s="23"/>
      <c r="F8" s="31"/>
      <c r="G8" s="28"/>
      <c r="H8" s="28"/>
      <c r="I8" s="28"/>
      <c r="J8" s="28"/>
      <c r="K8" s="28"/>
      <c r="L8" s="29"/>
      <c r="M8" s="29"/>
      <c r="N8" s="29"/>
      <c r="O8" s="28"/>
      <c r="P8" s="28"/>
      <c r="Q8" s="28"/>
      <c r="R8" s="28"/>
      <c r="S8" s="30"/>
      <c r="T8" s="30"/>
      <c r="U8" s="30"/>
      <c r="V8" s="28"/>
      <c r="W8" s="28"/>
    </row>
    <row r="9" spans="2:23" s="3" customFormat="1" ht="15" customHeight="1" x14ac:dyDescent="0.25">
      <c r="B9" s="6"/>
      <c r="D9" s="23"/>
      <c r="E9" s="23"/>
      <c r="F9" s="31"/>
      <c r="G9" s="32"/>
      <c r="H9" s="32"/>
      <c r="I9" s="32"/>
      <c r="J9" s="28"/>
      <c r="K9" s="28"/>
      <c r="L9" s="29"/>
      <c r="M9" s="29"/>
      <c r="N9" s="29"/>
      <c r="O9" s="28"/>
      <c r="P9" s="28"/>
      <c r="Q9" s="28"/>
      <c r="R9" s="28"/>
      <c r="S9" s="30"/>
      <c r="T9" s="30"/>
      <c r="U9" s="30"/>
      <c r="V9" s="28"/>
      <c r="W9" s="28"/>
    </row>
    <row r="10" spans="2:23" s="3" customFormat="1" ht="15" customHeight="1" x14ac:dyDescent="0.3">
      <c r="B10" s="6"/>
      <c r="C10" s="3" t="s">
        <v>5</v>
      </c>
      <c r="D10" s="3" t="s">
        <v>6</v>
      </c>
      <c r="E10" s="80">
        <v>1.25</v>
      </c>
      <c r="F10" s="31" t="s">
        <v>7</v>
      </c>
      <c r="G10" s="32"/>
      <c r="H10" s="32"/>
      <c r="I10" s="32"/>
      <c r="J10" s="28"/>
      <c r="K10" s="28"/>
      <c r="L10" s="33" t="s">
        <v>8</v>
      </c>
      <c r="M10" s="33"/>
      <c r="N10" s="33"/>
      <c r="O10" s="28"/>
      <c r="P10" s="28"/>
      <c r="Q10" s="28"/>
      <c r="R10" s="28"/>
      <c r="S10" s="28"/>
      <c r="T10" s="28"/>
      <c r="U10" s="28"/>
      <c r="V10" s="28"/>
      <c r="W10" s="28"/>
    </row>
    <row r="11" spans="2:23" x14ac:dyDescent="0.25">
      <c r="B11" s="7"/>
      <c r="C11" s="3" t="s">
        <v>9</v>
      </c>
      <c r="D11" s="3" t="s">
        <v>10</v>
      </c>
      <c r="E11" s="80">
        <v>1.25</v>
      </c>
      <c r="F11" s="31" t="s">
        <v>7</v>
      </c>
      <c r="G11" s="32"/>
      <c r="H11" s="32"/>
      <c r="I11" s="32"/>
      <c r="J11" s="28"/>
      <c r="K11" s="34"/>
      <c r="L11" s="35"/>
      <c r="M11" s="36"/>
      <c r="N11" s="35"/>
      <c r="O11" s="28"/>
      <c r="P11" s="28"/>
      <c r="Q11" s="28"/>
      <c r="R11" s="34"/>
      <c r="S11" s="34"/>
      <c r="T11" s="37"/>
      <c r="U11" s="34"/>
      <c r="V11" s="34"/>
      <c r="W11" s="35"/>
    </row>
    <row r="12" spans="2:23" ht="15.75" x14ac:dyDescent="0.25">
      <c r="B12" s="7"/>
      <c r="C12" s="3" t="s">
        <v>11</v>
      </c>
      <c r="D12" s="3" t="s">
        <v>12</v>
      </c>
      <c r="E12" s="80">
        <v>2.2480000000000002</v>
      </c>
      <c r="F12" s="31" t="s">
        <v>7</v>
      </c>
      <c r="G12" s="32"/>
      <c r="H12" s="32"/>
      <c r="I12" s="32"/>
      <c r="J12" s="28"/>
      <c r="K12" s="34"/>
      <c r="L12" s="38"/>
      <c r="M12" s="38"/>
      <c r="N12" s="38"/>
      <c r="O12" s="28"/>
      <c r="P12" s="28"/>
      <c r="Q12" s="28"/>
      <c r="R12" s="34"/>
      <c r="S12" s="39"/>
      <c r="T12" s="39"/>
      <c r="U12" s="39"/>
      <c r="V12" s="34"/>
      <c r="W12" s="35"/>
    </row>
    <row r="13" spans="2:23" ht="15.75" x14ac:dyDescent="0.25">
      <c r="B13" s="7"/>
      <c r="C13" s="3" t="s">
        <v>13</v>
      </c>
      <c r="D13" s="3" t="s">
        <v>14</v>
      </c>
      <c r="E13" s="80">
        <v>0.35</v>
      </c>
      <c r="F13" s="31" t="s">
        <v>7</v>
      </c>
      <c r="G13" s="40" t="s">
        <v>15</v>
      </c>
      <c r="H13" s="40">
        <f>((E13*(E14+E15+E16+E17))-((E16+E17)*E18))/(E14+E15)</f>
        <v>0.36612903225806448</v>
      </c>
      <c r="I13" s="32"/>
      <c r="J13" s="28"/>
      <c r="K13" s="35"/>
      <c r="L13" s="41"/>
      <c r="M13" s="42"/>
      <c r="N13" s="41"/>
      <c r="O13" s="28"/>
      <c r="P13" s="28"/>
      <c r="Q13" s="28"/>
      <c r="R13" s="34"/>
      <c r="S13" s="43"/>
      <c r="T13" s="44"/>
      <c r="U13" s="43"/>
      <c r="V13" s="34"/>
      <c r="W13" s="35"/>
    </row>
    <row r="14" spans="2:23" ht="15" customHeight="1" x14ac:dyDescent="0.25">
      <c r="B14" s="7"/>
      <c r="C14" s="3" t="s">
        <v>16</v>
      </c>
      <c r="D14" s="3" t="s">
        <v>17</v>
      </c>
      <c r="E14" s="80">
        <f>186*2</f>
        <v>372</v>
      </c>
      <c r="F14" s="31" t="s">
        <v>18</v>
      </c>
      <c r="G14" s="32"/>
      <c r="H14" s="32"/>
      <c r="I14" s="32"/>
      <c r="J14" s="28"/>
      <c r="K14" s="45" t="s">
        <v>19</v>
      </c>
      <c r="L14" s="46">
        <f>E36-H58-E62+(E64/2)</f>
        <v>939.33202500000016</v>
      </c>
      <c r="M14" s="47"/>
      <c r="N14" s="48">
        <f>E37+H58-E62+(E64/2)</f>
        <v>3298.5879749999999</v>
      </c>
      <c r="O14" s="49"/>
      <c r="P14" s="28"/>
      <c r="Q14" s="28"/>
      <c r="R14" s="45" t="s">
        <v>19</v>
      </c>
      <c r="S14" s="46">
        <f>E36</f>
        <v>2118.96</v>
      </c>
      <c r="T14" s="50"/>
      <c r="U14" s="48">
        <f>E37</f>
        <v>2118.96</v>
      </c>
      <c r="V14" s="51"/>
      <c r="W14" s="35"/>
    </row>
    <row r="15" spans="2:23" ht="15" customHeight="1" x14ac:dyDescent="0.25">
      <c r="B15" s="7"/>
      <c r="C15" s="3" t="s">
        <v>20</v>
      </c>
      <c r="D15" s="3" t="s">
        <v>21</v>
      </c>
      <c r="E15" s="80">
        <f>186*2</f>
        <v>372</v>
      </c>
      <c r="F15" s="31" t="s">
        <v>18</v>
      </c>
      <c r="G15" s="32"/>
      <c r="H15" s="32"/>
      <c r="I15" s="32"/>
      <c r="J15" s="28"/>
      <c r="K15" s="52">
        <f>((L14+N14)/M17)</f>
        <v>0.5</v>
      </c>
      <c r="L15" s="46"/>
      <c r="M15" s="53">
        <f>H58</f>
        <v>1179.6279749999999</v>
      </c>
      <c r="N15" s="48"/>
      <c r="O15" s="49"/>
      <c r="P15" s="28"/>
      <c r="Q15" s="28"/>
      <c r="R15" s="52">
        <f>((S14+U14)/T17)</f>
        <v>0.5</v>
      </c>
      <c r="S15" s="46"/>
      <c r="T15" s="53">
        <f>P58</f>
        <v>0</v>
      </c>
      <c r="U15" s="48"/>
      <c r="V15" s="51"/>
      <c r="W15" s="35"/>
    </row>
    <row r="16" spans="2:23" ht="15.75" x14ac:dyDescent="0.25">
      <c r="B16" s="7"/>
      <c r="C16" s="3" t="s">
        <v>22</v>
      </c>
      <c r="D16" s="3" t="s">
        <v>23</v>
      </c>
      <c r="E16" s="80">
        <v>60</v>
      </c>
      <c r="F16" s="31" t="s">
        <v>18</v>
      </c>
      <c r="G16" s="32"/>
      <c r="H16" s="54"/>
      <c r="I16" s="54"/>
      <c r="J16" s="28"/>
      <c r="K16" s="45"/>
      <c r="L16" s="55">
        <f>(L14/M17)</f>
        <v>0.1108246527777778</v>
      </c>
      <c r="M16" s="50"/>
      <c r="N16" s="55">
        <f>(N14/M17)</f>
        <v>0.38917534722222219</v>
      </c>
      <c r="O16" s="49"/>
      <c r="P16" s="56"/>
      <c r="Q16" s="28"/>
      <c r="R16" s="45"/>
      <c r="S16" s="55">
        <f>(S14/T17)</f>
        <v>0.25</v>
      </c>
      <c r="T16" s="50"/>
      <c r="U16" s="55">
        <f>(U14/T17)</f>
        <v>0.25</v>
      </c>
      <c r="V16" s="51"/>
      <c r="W16" s="57"/>
    </row>
    <row r="17" spans="2:23" ht="15.75" x14ac:dyDescent="0.25">
      <c r="B17" s="7"/>
      <c r="C17" s="3" t="s">
        <v>24</v>
      </c>
      <c r="D17" s="3" t="s">
        <v>25</v>
      </c>
      <c r="E17" s="80">
        <v>60</v>
      </c>
      <c r="F17" s="31" t="s">
        <v>18</v>
      </c>
      <c r="G17" s="32"/>
      <c r="H17" s="32"/>
      <c r="I17" s="54"/>
      <c r="J17" s="28"/>
      <c r="K17" s="45"/>
      <c r="L17" s="58"/>
      <c r="M17" s="50">
        <f>L14+N14+N18+L18</f>
        <v>8475.84</v>
      </c>
      <c r="N17" s="58"/>
      <c r="O17" s="49"/>
      <c r="P17" s="28"/>
      <c r="Q17" s="28"/>
      <c r="R17" s="45"/>
      <c r="S17" s="59"/>
      <c r="T17" s="50">
        <f>S14+U14+U18+S18</f>
        <v>8475.84</v>
      </c>
      <c r="U17" s="59"/>
      <c r="V17" s="51"/>
      <c r="W17" s="35"/>
    </row>
    <row r="18" spans="2:23" ht="15" customHeight="1" x14ac:dyDescent="0.25">
      <c r="B18" s="7"/>
      <c r="C18" s="3" t="s">
        <v>26</v>
      </c>
      <c r="D18" s="3" t="s">
        <v>27</v>
      </c>
      <c r="E18" s="80">
        <v>0.25</v>
      </c>
      <c r="F18" s="31" t="s">
        <v>7</v>
      </c>
      <c r="G18" s="28"/>
      <c r="H18" s="60"/>
      <c r="I18" s="60"/>
      <c r="J18" s="28"/>
      <c r="K18" s="45" t="s">
        <v>28</v>
      </c>
      <c r="L18" s="48">
        <f>E38-H59+E62+(E65/2)</f>
        <v>925.35277500000007</v>
      </c>
      <c r="M18" s="50"/>
      <c r="N18" s="48">
        <f>E39+H59+E62+(E65/2)</f>
        <v>3312.5672249999998</v>
      </c>
      <c r="O18" s="49"/>
      <c r="P18" s="28"/>
      <c r="Q18" s="28"/>
      <c r="R18" s="45" t="s">
        <v>28</v>
      </c>
      <c r="S18" s="48">
        <f>E38</f>
        <v>2118.96</v>
      </c>
      <c r="T18" s="50"/>
      <c r="U18" s="48">
        <f>E39</f>
        <v>2118.96</v>
      </c>
      <c r="V18" s="51"/>
      <c r="W18" s="35"/>
    </row>
    <row r="19" spans="2:23" ht="15" customHeight="1" x14ac:dyDescent="0.25">
      <c r="B19" s="7"/>
      <c r="C19" s="3" t="s">
        <v>29</v>
      </c>
      <c r="D19" s="3" t="s">
        <v>30</v>
      </c>
      <c r="E19" s="80">
        <v>100</v>
      </c>
      <c r="F19" s="31" t="s">
        <v>31</v>
      </c>
      <c r="G19" s="28"/>
      <c r="H19" s="28"/>
      <c r="I19" s="28"/>
      <c r="J19" s="28"/>
      <c r="K19" s="52">
        <f>((L18+N18)/M17)</f>
        <v>0.5</v>
      </c>
      <c r="L19" s="48"/>
      <c r="M19" s="53">
        <f>H59</f>
        <v>1193.607225</v>
      </c>
      <c r="N19" s="48"/>
      <c r="O19" s="49"/>
      <c r="P19" s="28"/>
      <c r="Q19" s="28"/>
      <c r="R19" s="52">
        <f>((S18+U18)/T17)</f>
        <v>0.5</v>
      </c>
      <c r="S19" s="48"/>
      <c r="T19" s="53">
        <f>P59</f>
        <v>0</v>
      </c>
      <c r="U19" s="48"/>
      <c r="V19" s="51"/>
      <c r="W19" s="35"/>
    </row>
    <row r="20" spans="2:23" ht="15.75" x14ac:dyDescent="0.25">
      <c r="B20" s="7"/>
      <c r="C20" s="3" t="s">
        <v>32</v>
      </c>
      <c r="D20" s="3" t="s">
        <v>33</v>
      </c>
      <c r="E20" s="80">
        <v>150</v>
      </c>
      <c r="F20" s="31" t="s">
        <v>31</v>
      </c>
      <c r="G20" s="28"/>
      <c r="H20" s="28"/>
      <c r="I20" s="28"/>
      <c r="J20" s="49"/>
      <c r="K20" s="61"/>
      <c r="L20" s="55">
        <f>(L18/M17)</f>
        <v>0.10917534722222223</v>
      </c>
      <c r="M20" s="47"/>
      <c r="N20" s="55">
        <f>(N18/M17)</f>
        <v>0.39082465277777773</v>
      </c>
      <c r="O20" s="49"/>
      <c r="P20" s="28"/>
      <c r="Q20" s="28"/>
      <c r="R20" s="61"/>
      <c r="S20" s="55">
        <f>(S18/T17)</f>
        <v>0.25</v>
      </c>
      <c r="T20" s="50"/>
      <c r="U20" s="55">
        <f>(U18/T17)</f>
        <v>0.25</v>
      </c>
      <c r="V20" s="51"/>
      <c r="W20" s="35"/>
    </row>
    <row r="21" spans="2:23" ht="15.75" x14ac:dyDescent="0.25">
      <c r="B21" s="7"/>
      <c r="E21" s="80"/>
      <c r="F21" s="31"/>
      <c r="G21" s="35"/>
      <c r="H21" s="40"/>
      <c r="I21" s="40"/>
      <c r="J21" s="49"/>
      <c r="K21" s="61"/>
      <c r="L21" s="62"/>
      <c r="M21" s="62"/>
      <c r="N21" s="62"/>
      <c r="O21" s="49"/>
      <c r="P21" s="28"/>
      <c r="Q21" s="28"/>
      <c r="R21" s="61"/>
      <c r="S21" s="63"/>
      <c r="T21" s="63"/>
      <c r="U21" s="63"/>
      <c r="V21" s="51"/>
      <c r="W21" s="35"/>
    </row>
    <row r="22" spans="2:23" x14ac:dyDescent="0.25">
      <c r="B22" s="7"/>
      <c r="C22" s="3" t="s">
        <v>34</v>
      </c>
      <c r="D22" s="3" t="s">
        <v>35</v>
      </c>
      <c r="E22" s="80">
        <v>25000</v>
      </c>
      <c r="F22" s="31" t="s">
        <v>36</v>
      </c>
      <c r="G22" s="35"/>
      <c r="H22" s="40"/>
      <c r="I22" s="40"/>
      <c r="J22" s="49"/>
      <c r="K22" s="61"/>
      <c r="L22" s="64"/>
      <c r="M22" s="64"/>
      <c r="N22" s="64"/>
      <c r="O22" s="49"/>
      <c r="P22" s="28"/>
      <c r="Q22" s="28"/>
      <c r="R22" s="61"/>
      <c r="S22" s="65"/>
      <c r="T22" s="65"/>
      <c r="U22" s="65"/>
      <c r="V22" s="51"/>
      <c r="W22" s="35"/>
    </row>
    <row r="23" spans="2:23" x14ac:dyDescent="0.25">
      <c r="B23" s="7"/>
      <c r="C23" s="3" t="s">
        <v>37</v>
      </c>
      <c r="D23" s="3" t="s">
        <v>38</v>
      </c>
      <c r="E23" s="80">
        <v>20000</v>
      </c>
      <c r="F23" s="31" t="s">
        <v>36</v>
      </c>
      <c r="G23" s="35"/>
      <c r="H23" s="40"/>
      <c r="I23" s="40"/>
      <c r="J23" s="49"/>
      <c r="K23" s="45" t="s">
        <v>39</v>
      </c>
      <c r="L23" s="52"/>
      <c r="M23" s="61"/>
      <c r="N23" s="52">
        <f>((N14+N18)/M17)</f>
        <v>0.77999999999999992</v>
      </c>
      <c r="O23" s="49"/>
      <c r="P23" s="28"/>
      <c r="Q23" s="28"/>
      <c r="R23" s="45" t="s">
        <v>39</v>
      </c>
      <c r="S23" s="52">
        <f>((S14+S18)/T17)</f>
        <v>0.5</v>
      </c>
      <c r="T23" s="61"/>
      <c r="U23" s="52">
        <f>((U14+U18)/T17)</f>
        <v>0.5</v>
      </c>
      <c r="V23" s="51"/>
      <c r="W23" s="35"/>
    </row>
    <row r="24" spans="2:23" x14ac:dyDescent="0.25">
      <c r="B24" s="7"/>
      <c r="C24" s="3" t="s">
        <v>40</v>
      </c>
      <c r="D24" s="3" t="s">
        <v>41</v>
      </c>
      <c r="E24" s="80">
        <v>10000</v>
      </c>
      <c r="F24" s="31" t="s">
        <v>36</v>
      </c>
      <c r="G24" s="35"/>
      <c r="H24" s="40"/>
      <c r="I24" s="40"/>
      <c r="J24" s="49"/>
      <c r="K24" s="66"/>
      <c r="L24" s="45" t="s">
        <v>42</v>
      </c>
      <c r="M24" s="45"/>
      <c r="N24" s="45" t="s">
        <v>43</v>
      </c>
      <c r="O24" s="49"/>
      <c r="P24" s="28"/>
      <c r="Q24" s="28"/>
      <c r="R24" s="45"/>
      <c r="S24" s="45" t="s">
        <v>42</v>
      </c>
      <c r="T24" s="45"/>
      <c r="U24" s="45" t="s">
        <v>43</v>
      </c>
      <c r="V24" s="51"/>
      <c r="W24" s="35"/>
    </row>
    <row r="25" spans="2:23" s="3" customFormat="1" x14ac:dyDescent="0.25">
      <c r="B25" s="6"/>
      <c r="C25" s="3" t="s">
        <v>44</v>
      </c>
      <c r="D25" s="3" t="s">
        <v>45</v>
      </c>
      <c r="E25" s="80">
        <v>9000</v>
      </c>
      <c r="F25" s="31" t="s">
        <v>36</v>
      </c>
      <c r="G25" s="34">
        <f>E31*9.81</f>
        <v>9.81</v>
      </c>
      <c r="H25" s="40" t="s">
        <v>46</v>
      </c>
      <c r="I25" s="40"/>
      <c r="J25" s="49"/>
      <c r="K25" s="49"/>
      <c r="L25" s="49"/>
      <c r="M25" s="49"/>
      <c r="N25" s="49"/>
      <c r="O25" s="49"/>
      <c r="P25" s="28"/>
      <c r="Q25" s="28"/>
      <c r="R25" s="49"/>
      <c r="S25" s="49"/>
      <c r="T25" s="49"/>
      <c r="U25" s="49"/>
      <c r="V25" s="49"/>
      <c r="W25" s="28"/>
    </row>
    <row r="26" spans="2:23" s="3" customFormat="1" x14ac:dyDescent="0.25">
      <c r="B26" s="6"/>
      <c r="E26" s="80"/>
      <c r="F26" s="31"/>
      <c r="G26" s="35"/>
      <c r="H26" s="40"/>
      <c r="I26" s="40"/>
      <c r="J26" s="49"/>
      <c r="K26" s="49"/>
      <c r="L26" s="67"/>
      <c r="M26" s="67"/>
      <c r="N26" s="67"/>
      <c r="O26" s="68"/>
      <c r="P26" s="28"/>
      <c r="Q26" s="28"/>
      <c r="R26" s="49"/>
      <c r="S26" s="67"/>
      <c r="T26" s="67"/>
      <c r="U26" s="67"/>
      <c r="V26" s="68"/>
      <c r="W26" s="28"/>
    </row>
    <row r="27" spans="2:23" s="3" customFormat="1" x14ac:dyDescent="0.25">
      <c r="B27" s="6"/>
      <c r="C27" s="3" t="s">
        <v>47</v>
      </c>
      <c r="D27" s="3" t="s">
        <v>48</v>
      </c>
      <c r="E27" s="80">
        <f>0.3*1.2</f>
        <v>0.36</v>
      </c>
      <c r="F27" s="31"/>
      <c r="G27" s="40"/>
      <c r="H27" s="40"/>
      <c r="I27" s="40"/>
      <c r="J27" s="69"/>
      <c r="K27" s="70"/>
      <c r="L27" s="67" t="s">
        <v>49</v>
      </c>
      <c r="M27" s="67"/>
      <c r="N27" s="67"/>
      <c r="O27" s="68">
        <f>IF(E31&gt;0,((L14+N18)/M17),((N14+L18)/M17))</f>
        <v>0.50164930555555565</v>
      </c>
      <c r="P27" s="28"/>
      <c r="Q27" s="28"/>
      <c r="R27" s="49"/>
      <c r="S27" s="67" t="s">
        <v>49</v>
      </c>
      <c r="T27" s="67"/>
      <c r="U27" s="67"/>
      <c r="V27" s="68">
        <f>((S14+U18)/T17)</f>
        <v>0.5</v>
      </c>
      <c r="W27" s="28"/>
    </row>
    <row r="28" spans="2:23" s="3" customFormat="1" x14ac:dyDescent="0.25">
      <c r="B28" s="6"/>
      <c r="C28" s="3" t="s">
        <v>50</v>
      </c>
      <c r="D28" s="3" t="s">
        <v>51</v>
      </c>
      <c r="E28" s="80">
        <f>0.28*1.2</f>
        <v>0.33600000000000002</v>
      </c>
      <c r="F28" s="31"/>
      <c r="G28" s="40"/>
      <c r="H28" s="40"/>
      <c r="I28" s="40"/>
      <c r="J28" s="69"/>
      <c r="K28" s="70"/>
      <c r="L28" s="67" t="s">
        <v>52</v>
      </c>
      <c r="M28" s="67"/>
      <c r="N28" s="67"/>
      <c r="O28" s="71">
        <f>M19/(M15+M19)</f>
        <v>0.50294518849206349</v>
      </c>
      <c r="P28" s="28" t="s">
        <v>53</v>
      </c>
      <c r="Q28" s="28"/>
      <c r="R28" s="49"/>
      <c r="S28" s="67"/>
      <c r="T28" s="67"/>
      <c r="U28" s="67"/>
      <c r="V28" s="72"/>
      <c r="W28" s="28"/>
    </row>
    <row r="29" spans="2:23" s="3" customFormat="1" x14ac:dyDescent="0.25">
      <c r="B29" s="6"/>
      <c r="E29" s="80"/>
      <c r="F29" s="31"/>
      <c r="G29" s="40"/>
      <c r="H29" s="40"/>
      <c r="I29" s="40"/>
      <c r="J29" s="69"/>
      <c r="K29" s="70"/>
      <c r="L29" s="67" t="s">
        <v>54</v>
      </c>
      <c r="M29" s="67"/>
      <c r="N29" s="67"/>
      <c r="O29" s="71"/>
      <c r="P29" s="28" t="s">
        <v>55</v>
      </c>
      <c r="Q29" s="28"/>
      <c r="R29" s="49"/>
      <c r="S29" s="67"/>
      <c r="T29" s="67"/>
      <c r="U29" s="67"/>
      <c r="V29" s="72"/>
      <c r="W29" s="28"/>
    </row>
    <row r="30" spans="2:23" s="3" customFormat="1" x14ac:dyDescent="0.25">
      <c r="B30" s="6"/>
      <c r="C30" s="3" t="s">
        <v>56</v>
      </c>
      <c r="D30" s="3" t="s">
        <v>57</v>
      </c>
      <c r="E30" s="80">
        <v>0</v>
      </c>
      <c r="F30" s="31" t="s">
        <v>58</v>
      </c>
      <c r="G30" s="40"/>
      <c r="H30" s="40"/>
      <c r="I30" s="40"/>
      <c r="J30" s="69"/>
      <c r="K30" s="70"/>
      <c r="L30" s="67"/>
      <c r="M30" s="67"/>
      <c r="N30" s="67"/>
      <c r="O30" s="71"/>
      <c r="P30" s="28"/>
      <c r="Q30" s="28"/>
      <c r="R30" s="49"/>
      <c r="S30" s="67"/>
      <c r="T30" s="67"/>
      <c r="U30" s="67"/>
      <c r="V30" s="72"/>
      <c r="W30" s="28"/>
    </row>
    <row r="31" spans="2:23" s="3" customFormat="1" x14ac:dyDescent="0.25">
      <c r="B31" s="6"/>
      <c r="C31" s="3" t="s">
        <v>59</v>
      </c>
      <c r="D31" s="3" t="s">
        <v>60</v>
      </c>
      <c r="E31" s="80">
        <v>1</v>
      </c>
      <c r="F31" s="31" t="s">
        <v>61</v>
      </c>
      <c r="G31" s="40"/>
      <c r="H31" s="40" t="s">
        <v>62</v>
      </c>
      <c r="I31" s="40">
        <f>((E13*(E14+E15))+(E18*(E17+E16)))/(E14+E15+E16+E17)</f>
        <v>0.33611111111111108</v>
      </c>
      <c r="J31" s="69"/>
      <c r="K31" s="70"/>
      <c r="L31" s="67"/>
      <c r="M31" s="67"/>
      <c r="N31" s="67"/>
      <c r="O31" s="68"/>
      <c r="P31" s="28"/>
      <c r="Q31" s="28"/>
      <c r="R31" s="28"/>
      <c r="S31" s="28"/>
      <c r="T31" s="28"/>
      <c r="U31" s="28"/>
      <c r="V31" s="28"/>
      <c r="W31" s="28"/>
    </row>
    <row r="32" spans="2:23" s="3" customFormat="1" x14ac:dyDescent="0.25">
      <c r="B32" s="6"/>
      <c r="C32" s="3" t="s">
        <v>63</v>
      </c>
      <c r="D32" s="3" t="s">
        <v>64</v>
      </c>
      <c r="E32" s="80">
        <v>0</v>
      </c>
      <c r="F32" s="31" t="s">
        <v>61</v>
      </c>
      <c r="G32" s="40"/>
      <c r="H32" s="40"/>
      <c r="I32" s="40"/>
      <c r="J32" s="70"/>
      <c r="K32" s="70" t="s">
        <v>65</v>
      </c>
      <c r="L32" s="73">
        <f>M19+M15</f>
        <v>2373.2352000000001</v>
      </c>
      <c r="M32" s="73"/>
      <c r="N32" s="73"/>
      <c r="O32" s="74" t="s">
        <v>66</v>
      </c>
      <c r="P32" s="28"/>
      <c r="Q32" s="28"/>
      <c r="R32" s="28"/>
      <c r="S32" s="28"/>
      <c r="T32" s="28"/>
      <c r="U32" s="28"/>
      <c r="V32" s="28"/>
      <c r="W32" s="28"/>
    </row>
    <row r="33" spans="2:23" s="3" customFormat="1" x14ac:dyDescent="0.25">
      <c r="B33" s="6"/>
      <c r="F33" s="31"/>
      <c r="G33" s="40"/>
      <c r="H33" s="40"/>
      <c r="I33" s="40"/>
      <c r="J33" s="70"/>
      <c r="K33" s="70" t="s">
        <v>67</v>
      </c>
      <c r="L33" s="73">
        <f>((E14+E15+E16+E17)*(G25)*E13)/((E10+E11)/2)</f>
        <v>2373.2352000000001</v>
      </c>
      <c r="M33" s="73"/>
      <c r="N33" s="73"/>
      <c r="O33" s="74" t="s">
        <v>66</v>
      </c>
      <c r="P33" s="28"/>
      <c r="Q33" s="28"/>
      <c r="R33" s="28"/>
      <c r="S33" s="28"/>
      <c r="T33" s="28"/>
      <c r="U33" s="28"/>
      <c r="V33" s="28"/>
      <c r="W33" s="28"/>
    </row>
    <row r="34" spans="2:23" s="3" customFormat="1" x14ac:dyDescent="0.25">
      <c r="B34" s="6"/>
      <c r="C34" s="16" t="s">
        <v>68</v>
      </c>
      <c r="D34" s="16" t="s">
        <v>69</v>
      </c>
      <c r="E34" s="77">
        <f>E15/(E14+E15)</f>
        <v>0.5</v>
      </c>
      <c r="F34" s="75"/>
      <c r="G34" s="28"/>
      <c r="H34" s="40"/>
      <c r="I34" s="40"/>
      <c r="J34" s="28"/>
      <c r="K34" s="28"/>
      <c r="L34" s="76" t="s">
        <v>70</v>
      </c>
      <c r="M34" s="76">
        <f>100*((L33-L32)/L32)</f>
        <v>0</v>
      </c>
      <c r="N34" s="76" t="s">
        <v>71</v>
      </c>
      <c r="O34" s="28"/>
      <c r="P34" s="28"/>
      <c r="Q34" s="28"/>
      <c r="R34" s="28"/>
      <c r="S34" s="28"/>
      <c r="T34" s="28"/>
      <c r="U34" s="28"/>
      <c r="V34" s="28"/>
      <c r="W34" s="28"/>
    </row>
    <row r="35" spans="2:23" s="3" customFormat="1" x14ac:dyDescent="0.25">
      <c r="B35" s="6"/>
      <c r="C35" s="16" t="s">
        <v>72</v>
      </c>
      <c r="D35" s="16" t="s">
        <v>73</v>
      </c>
      <c r="E35" s="77">
        <f>H13-(E34*((E20-E19)/1000))-(E19/1000)</f>
        <v>0.24112903225806445</v>
      </c>
      <c r="F35" s="75" t="s">
        <v>7</v>
      </c>
      <c r="G35" s="28"/>
      <c r="H35" s="77"/>
      <c r="I35" s="77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</row>
    <row r="36" spans="2:23" s="3" customFormat="1" x14ac:dyDescent="0.25">
      <c r="B36" s="6"/>
      <c r="C36" s="16" t="s">
        <v>74</v>
      </c>
      <c r="D36" s="16" t="s">
        <v>75</v>
      </c>
      <c r="E36" s="77">
        <f>(E14+E16)*(9.81/2)</f>
        <v>2118.96</v>
      </c>
      <c r="F36" s="75" t="s">
        <v>66</v>
      </c>
      <c r="G36" s="28"/>
      <c r="H36" s="77"/>
      <c r="I36" s="77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</row>
    <row r="37" spans="2:23" s="3" customFormat="1" x14ac:dyDescent="0.25">
      <c r="B37" s="6"/>
      <c r="C37" s="16" t="s">
        <v>76</v>
      </c>
      <c r="D37" s="16" t="s">
        <v>77</v>
      </c>
      <c r="E37" s="77">
        <f>(E14+E16)*(9.81/2)</f>
        <v>2118.96</v>
      </c>
      <c r="F37" s="75" t="s">
        <v>66</v>
      </c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</row>
    <row r="38" spans="2:23" s="3" customFormat="1" x14ac:dyDescent="0.25">
      <c r="B38" s="6"/>
      <c r="C38" s="16" t="s">
        <v>78</v>
      </c>
      <c r="D38" s="16" t="s">
        <v>79</v>
      </c>
      <c r="E38" s="77">
        <f>(E15+E17)*(9.81/2)</f>
        <v>2118.96</v>
      </c>
      <c r="F38" s="75" t="s">
        <v>66</v>
      </c>
      <c r="G38" s="28"/>
      <c r="H38" s="28"/>
      <c r="I38" s="28"/>
      <c r="J38" s="28"/>
      <c r="K38" s="28"/>
      <c r="L38" s="40"/>
      <c r="M38" s="40"/>
      <c r="N38" s="28"/>
      <c r="O38" s="28"/>
      <c r="P38" s="28"/>
      <c r="Q38" s="28"/>
      <c r="R38" s="28"/>
      <c r="S38" s="28"/>
      <c r="T38" s="28"/>
      <c r="U38" s="28"/>
      <c r="V38" s="28"/>
      <c r="W38" s="28"/>
    </row>
    <row r="39" spans="2:23" s="3" customFormat="1" x14ac:dyDescent="0.25">
      <c r="B39" s="6"/>
      <c r="C39" s="16" t="s">
        <v>80</v>
      </c>
      <c r="D39" s="16" t="s">
        <v>81</v>
      </c>
      <c r="E39" s="77">
        <f>(E15+E17)*(9.81/2)</f>
        <v>2118.96</v>
      </c>
      <c r="F39" s="75" t="s">
        <v>66</v>
      </c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</row>
    <row r="40" spans="2:23" s="3" customFormat="1" ht="15.75" thickBot="1" x14ac:dyDescent="0.3">
      <c r="B40" s="8"/>
      <c r="C40" s="9"/>
      <c r="D40" s="9"/>
      <c r="E40" s="9"/>
      <c r="F40" s="7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</row>
    <row r="41" spans="2:23" s="3" customFormat="1" ht="15.75" thickTop="1" x14ac:dyDescent="0.25"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</row>
    <row r="42" spans="2:23" s="3" customFormat="1" x14ac:dyDescent="0.25">
      <c r="D42" s="3" t="s">
        <v>82</v>
      </c>
      <c r="E42" s="28">
        <f>E22+E24</f>
        <v>35000</v>
      </c>
      <c r="F42" s="28" t="s">
        <v>36</v>
      </c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</row>
    <row r="43" spans="2:23" s="3" customFormat="1" x14ac:dyDescent="0.25">
      <c r="D43" s="3" t="s">
        <v>83</v>
      </c>
      <c r="E43" s="28">
        <f>E25+E23</f>
        <v>29000</v>
      </c>
      <c r="F43" s="28" t="s">
        <v>36</v>
      </c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</row>
    <row r="44" spans="2:23" s="3" customFormat="1" x14ac:dyDescent="0.25"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</row>
    <row r="45" spans="2:23" s="3" customFormat="1" x14ac:dyDescent="0.25">
      <c r="D45" s="3" t="s">
        <v>84</v>
      </c>
      <c r="E45" s="28">
        <f>((E10^2)*E42)/2</f>
        <v>27343.75</v>
      </c>
      <c r="F45" s="28" t="s">
        <v>85</v>
      </c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</row>
    <row r="46" spans="2:23" s="3" customFormat="1" x14ac:dyDescent="0.25">
      <c r="D46" s="3" t="s">
        <v>86</v>
      </c>
      <c r="E46" s="28">
        <f>((E11^2)*E43)/2</f>
        <v>22656.25</v>
      </c>
      <c r="F46" s="28" t="s">
        <v>85</v>
      </c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</row>
    <row r="47" spans="2:23" s="3" customFormat="1" x14ac:dyDescent="0.25">
      <c r="D47" s="3" t="s">
        <v>87</v>
      </c>
      <c r="E47" s="28">
        <f>E45+E46</f>
        <v>50000</v>
      </c>
      <c r="F47" s="28" t="s">
        <v>85</v>
      </c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</row>
    <row r="48" spans="2:23" s="3" customFormat="1" x14ac:dyDescent="0.25"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</row>
    <row r="49" spans="4:23" s="3" customFormat="1" x14ac:dyDescent="0.25">
      <c r="D49" s="3" t="s">
        <v>88</v>
      </c>
      <c r="E49" s="28">
        <f>E14+E15</f>
        <v>744</v>
      </c>
      <c r="F49" s="28" t="s">
        <v>89</v>
      </c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</row>
    <row r="50" spans="4:23" s="3" customFormat="1" x14ac:dyDescent="0.25"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</row>
    <row r="51" spans="4:23" s="3" customFormat="1" x14ac:dyDescent="0.25">
      <c r="D51" s="3" t="s">
        <v>90</v>
      </c>
      <c r="E51" s="28">
        <f>E49*G25*E35</f>
        <v>1759.9139999999995</v>
      </c>
      <c r="F51" s="28" t="s">
        <v>91</v>
      </c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</row>
    <row r="52" spans="4:23" s="3" customFormat="1" x14ac:dyDescent="0.25"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</row>
    <row r="53" spans="4:23" s="3" customFormat="1" x14ac:dyDescent="0.25">
      <c r="D53" s="3" t="s">
        <v>92</v>
      </c>
      <c r="E53" s="28">
        <f>E51/E47</f>
        <v>3.5198279999999992E-2</v>
      </c>
      <c r="F53" s="28" t="s">
        <v>93</v>
      </c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</row>
    <row r="54" spans="4:23" s="3" customFormat="1" x14ac:dyDescent="0.25">
      <c r="D54" s="3" t="s">
        <v>94</v>
      </c>
      <c r="E54" s="28">
        <f>DEGREES(E53)</f>
        <v>2.0167128901197349</v>
      </c>
      <c r="F54" s="28" t="s">
        <v>95</v>
      </c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</row>
    <row r="55" spans="4:23" s="3" customFormat="1" x14ac:dyDescent="0.25"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</row>
    <row r="56" spans="4:23" s="3" customFormat="1" x14ac:dyDescent="0.25">
      <c r="D56" s="26" t="s">
        <v>96</v>
      </c>
      <c r="E56" s="79" t="s">
        <v>97</v>
      </c>
      <c r="F56" s="79" t="s">
        <v>98</v>
      </c>
      <c r="G56" s="79"/>
      <c r="H56" s="79" t="s">
        <v>99</v>
      </c>
      <c r="I56" s="60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</row>
    <row r="57" spans="4:23" s="3" customFormat="1" x14ac:dyDescent="0.25">
      <c r="D57" s="26"/>
      <c r="E57" s="79"/>
      <c r="F57" s="28" t="s">
        <v>100</v>
      </c>
      <c r="G57" s="28" t="s">
        <v>101</v>
      </c>
      <c r="H57" s="79"/>
      <c r="I57" s="60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</row>
    <row r="58" spans="4:23" s="3" customFormat="1" x14ac:dyDescent="0.25">
      <c r="D58" s="3" t="s">
        <v>19</v>
      </c>
      <c r="E58" s="28">
        <f>((E53*E10*E42)/2)</f>
        <v>769.96237499999984</v>
      </c>
      <c r="F58" s="28">
        <f>((E14*G25*(E19*0.001))/E10)</f>
        <v>291.94560000000001</v>
      </c>
      <c r="G58" s="28">
        <f>((E16*G25*E18)/E10)</f>
        <v>117.72</v>
      </c>
      <c r="H58" s="28">
        <f>SUM(E58:G58)</f>
        <v>1179.6279749999999</v>
      </c>
      <c r="I58" s="28" t="s">
        <v>66</v>
      </c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</row>
    <row r="59" spans="4:23" s="3" customFormat="1" x14ac:dyDescent="0.25">
      <c r="D59" s="3" t="s">
        <v>28</v>
      </c>
      <c r="E59" s="28">
        <f>((E53*E11*E43)/2)</f>
        <v>637.96882499999992</v>
      </c>
      <c r="F59" s="28">
        <f>((E15*G25*(E20*0.001))/E11)</f>
        <v>437.91840000000002</v>
      </c>
      <c r="G59" s="28">
        <f>((E17*G25*E18)/E11)</f>
        <v>117.72</v>
      </c>
      <c r="H59" s="28">
        <f>SUM(E59:G59)</f>
        <v>1193.607225</v>
      </c>
      <c r="I59" s="28" t="s">
        <v>66</v>
      </c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</row>
    <row r="60" spans="4:23" s="3" customFormat="1" x14ac:dyDescent="0.25">
      <c r="E60" s="28"/>
      <c r="F60" s="28"/>
      <c r="G60" s="28" t="s">
        <v>99</v>
      </c>
      <c r="H60" s="28">
        <f>H58+H59</f>
        <v>2373.2352000000001</v>
      </c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</row>
    <row r="61" spans="4:23" s="3" customFormat="1" x14ac:dyDescent="0.25"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</row>
    <row r="62" spans="4:23" s="3" customFormat="1" x14ac:dyDescent="0.25">
      <c r="D62" s="3" t="s">
        <v>102</v>
      </c>
      <c r="E62" s="28">
        <f>(((E14+E15)*E32*E13)/E12)+(((E16+E17)*E32*E18)/E12)</f>
        <v>0</v>
      </c>
      <c r="F62" s="28" t="s">
        <v>66</v>
      </c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</row>
    <row r="63" spans="4:23" s="3" customFormat="1" x14ac:dyDescent="0.25"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</row>
    <row r="64" spans="4:23" s="3" customFormat="1" x14ac:dyDescent="0.25">
      <c r="D64" s="3" t="s">
        <v>103</v>
      </c>
      <c r="E64" s="28">
        <f>0.5*(1.223)*E27*($E$30^2)</f>
        <v>0</v>
      </c>
      <c r="F64" s="28" t="s">
        <v>66</v>
      </c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</row>
    <row r="65" spans="3:23" s="3" customFormat="1" x14ac:dyDescent="0.25">
      <c r="D65" s="3" t="s">
        <v>104</v>
      </c>
      <c r="E65" s="28">
        <f>0.5*(1.223)*E28*($E$30^2)</f>
        <v>0</v>
      </c>
      <c r="F65" s="28" t="s">
        <v>66</v>
      </c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</row>
    <row r="66" spans="3:23" s="3" customFormat="1" x14ac:dyDescent="0.25"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</row>
    <row r="67" spans="3:23" s="3" customFormat="1" x14ac:dyDescent="0.25"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</row>
    <row r="68" spans="3:23" s="3" customFormat="1" x14ac:dyDescent="0.25"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</row>
    <row r="69" spans="3:23" s="3" customFormat="1" x14ac:dyDescent="0.25"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</row>
    <row r="70" spans="3:23" s="3" customFormat="1" x14ac:dyDescent="0.25"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</row>
    <row r="71" spans="3:23" s="3" customFormat="1" x14ac:dyDescent="0.25"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</row>
    <row r="72" spans="3:23" s="3" customFormat="1" x14ac:dyDescent="0.25"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</row>
    <row r="73" spans="3:23" s="3" customFormat="1" x14ac:dyDescent="0.25">
      <c r="C73" s="2"/>
      <c r="D73" s="2"/>
      <c r="E73" s="2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28"/>
    </row>
    <row r="74" spans="3:23" s="3" customFormat="1" x14ac:dyDescent="0.25">
      <c r="C74" s="2"/>
      <c r="D74" s="2"/>
      <c r="E74" s="2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28"/>
    </row>
    <row r="75" spans="3:23" s="3" customFormat="1" x14ac:dyDescent="0.25">
      <c r="C75" s="2"/>
      <c r="D75" s="2"/>
      <c r="E75" s="2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28"/>
    </row>
    <row r="76" spans="3:23" s="3" customFormat="1" x14ac:dyDescent="0.25">
      <c r="C76" s="2"/>
      <c r="D76" s="2"/>
      <c r="E76" s="2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28"/>
    </row>
    <row r="77" spans="3:23" s="3" customFormat="1" x14ac:dyDescent="0.25">
      <c r="C77" s="2"/>
      <c r="D77" s="2"/>
      <c r="E77" s="2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28"/>
    </row>
    <row r="78" spans="3:23" s="3" customFormat="1" x14ac:dyDescent="0.25">
      <c r="C78" s="2"/>
      <c r="D78" s="2"/>
      <c r="E78" s="2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28"/>
    </row>
    <row r="79" spans="3:23" s="3" customFormat="1" x14ac:dyDescent="0.25">
      <c r="C79" s="2"/>
      <c r="D79" s="2"/>
      <c r="E79" s="2"/>
      <c r="F79" s="35"/>
      <c r="G79" s="35"/>
      <c r="H79" s="35"/>
      <c r="I79" s="35"/>
      <c r="J79" s="40"/>
      <c r="K79" s="40"/>
      <c r="L79" s="40"/>
      <c r="M79" s="40"/>
      <c r="N79" s="35"/>
      <c r="O79" s="35"/>
      <c r="P79" s="35"/>
      <c r="Q79" s="35"/>
      <c r="R79" s="35"/>
      <c r="S79" s="35"/>
      <c r="T79" s="35"/>
      <c r="U79" s="35"/>
      <c r="V79" s="35"/>
      <c r="W79" s="28"/>
    </row>
    <row r="80" spans="3:23" s="3" customFormat="1" x14ac:dyDescent="0.25">
      <c r="C80" s="2"/>
      <c r="D80" s="2"/>
      <c r="E80" s="2"/>
      <c r="F80" s="35"/>
      <c r="G80" s="35"/>
      <c r="H80" s="35"/>
      <c r="I80" s="35"/>
      <c r="J80" s="40"/>
      <c r="K80" s="40"/>
      <c r="L80" s="40"/>
      <c r="M80" s="40"/>
      <c r="N80" s="35"/>
      <c r="O80" s="35"/>
      <c r="P80" s="35"/>
      <c r="Q80" s="35"/>
      <c r="R80" s="35"/>
      <c r="S80" s="35"/>
      <c r="T80" s="35"/>
      <c r="U80" s="35"/>
      <c r="V80" s="35"/>
      <c r="W80" s="28"/>
    </row>
    <row r="81" spans="3:23" s="3" customFormat="1" x14ac:dyDescent="0.25">
      <c r="C81" s="2"/>
      <c r="D81" s="2"/>
      <c r="E81" s="2"/>
      <c r="F81" s="35"/>
      <c r="G81" s="35"/>
      <c r="H81" s="35"/>
      <c r="I81" s="35"/>
      <c r="J81" s="40"/>
      <c r="K81" s="40" t="s">
        <v>105</v>
      </c>
      <c r="L81" s="40">
        <f>E14/(E14+E15)</f>
        <v>0.5</v>
      </c>
      <c r="M81" s="40"/>
      <c r="N81" s="35"/>
      <c r="O81" s="35"/>
      <c r="P81" s="35"/>
      <c r="Q81" s="35"/>
      <c r="R81" s="35"/>
      <c r="S81" s="35"/>
      <c r="T81" s="35"/>
      <c r="U81" s="35"/>
      <c r="V81" s="35"/>
      <c r="W81" s="28"/>
    </row>
    <row r="82" spans="3:23" s="3" customFormat="1" x14ac:dyDescent="0.25">
      <c r="C82" s="2"/>
      <c r="D82" s="2"/>
      <c r="E82" s="2"/>
      <c r="F82" s="35"/>
      <c r="G82" s="35"/>
      <c r="H82" s="35"/>
      <c r="I82" s="35"/>
      <c r="J82" s="40"/>
      <c r="K82" s="40" t="s">
        <v>106</v>
      </c>
      <c r="L82" s="40">
        <f>L81*E12</f>
        <v>1.1240000000000001</v>
      </c>
      <c r="M82" s="40"/>
      <c r="N82" s="35"/>
      <c r="O82" s="35"/>
      <c r="P82" s="35"/>
      <c r="Q82" s="35"/>
      <c r="R82" s="35"/>
      <c r="S82" s="35"/>
      <c r="T82" s="35"/>
      <c r="U82" s="35"/>
      <c r="V82" s="35"/>
      <c r="W82" s="28"/>
    </row>
    <row r="83" spans="3:23" s="3" customFormat="1" x14ac:dyDescent="0.25">
      <c r="C83" s="2"/>
      <c r="D83" s="2"/>
      <c r="E83" s="2"/>
      <c r="F83" s="35"/>
      <c r="G83" s="35"/>
      <c r="H83" s="35"/>
      <c r="I83" s="35"/>
      <c r="J83" s="40"/>
      <c r="K83" s="40" t="s">
        <v>107</v>
      </c>
      <c r="L83" s="40">
        <f>(E19*(10^-3))+(L82*TAN(ATAN((E20*(10^-3)-E19*(10^-3))/E12)))</f>
        <v>0.125</v>
      </c>
      <c r="M83" s="40"/>
      <c r="N83" s="35"/>
      <c r="O83" s="35"/>
      <c r="P83" s="35"/>
      <c r="Q83" s="35"/>
      <c r="R83" s="35"/>
      <c r="S83" s="35"/>
      <c r="T83" s="35"/>
      <c r="U83" s="35"/>
      <c r="V83" s="35"/>
      <c r="W83" s="28"/>
    </row>
    <row r="84" spans="3:23" s="3" customFormat="1" x14ac:dyDescent="0.25">
      <c r="C84" s="2"/>
      <c r="D84" s="2"/>
      <c r="E84" s="2"/>
      <c r="F84" s="35"/>
      <c r="G84" s="35"/>
      <c r="H84" s="35"/>
      <c r="I84" s="35"/>
      <c r="J84" s="40"/>
      <c r="K84" s="40" t="s">
        <v>108</v>
      </c>
      <c r="L84" s="40">
        <f>L83+E35</f>
        <v>0.36612903225806448</v>
      </c>
      <c r="M84" s="40"/>
      <c r="N84" s="35"/>
      <c r="O84" s="35"/>
      <c r="P84" s="35"/>
      <c r="Q84" s="35"/>
      <c r="R84" s="35"/>
      <c r="S84" s="35"/>
      <c r="T84" s="35"/>
      <c r="U84" s="35"/>
      <c r="V84" s="35"/>
      <c r="W84" s="28"/>
    </row>
    <row r="85" spans="3:23" s="3" customFormat="1" x14ac:dyDescent="0.25">
      <c r="C85" s="2"/>
      <c r="D85" s="2"/>
      <c r="E85" s="2"/>
      <c r="F85" s="35"/>
      <c r="G85" s="35"/>
      <c r="H85" s="35"/>
      <c r="I85" s="35"/>
      <c r="J85" s="40"/>
      <c r="K85" s="40"/>
      <c r="L85" s="40"/>
      <c r="M85" s="40"/>
      <c r="N85" s="35"/>
      <c r="O85" s="35"/>
      <c r="P85" s="35"/>
      <c r="Q85" s="35"/>
      <c r="R85" s="35"/>
      <c r="S85" s="35"/>
      <c r="T85" s="35"/>
      <c r="U85" s="35"/>
      <c r="V85" s="35"/>
      <c r="W85" s="28"/>
    </row>
    <row r="86" spans="3:23" s="3" customFormat="1" x14ac:dyDescent="0.25">
      <c r="C86" s="2"/>
      <c r="D86" s="2"/>
      <c r="E86" s="2"/>
      <c r="F86" s="35"/>
      <c r="G86" s="35"/>
      <c r="H86" s="35"/>
      <c r="I86" s="35"/>
      <c r="J86" s="40"/>
      <c r="K86" s="40"/>
      <c r="L86" s="40"/>
      <c r="M86" s="40"/>
      <c r="N86" s="35"/>
      <c r="O86" s="35"/>
      <c r="P86" s="35"/>
      <c r="Q86" s="35"/>
      <c r="R86" s="35"/>
      <c r="S86" s="35"/>
      <c r="T86" s="35"/>
      <c r="U86" s="35"/>
      <c r="V86" s="35"/>
      <c r="W86" s="28"/>
    </row>
    <row r="87" spans="3:23" s="3" customFormat="1" x14ac:dyDescent="0.25">
      <c r="C87" s="2"/>
      <c r="D87" s="2"/>
      <c r="E87" s="2"/>
      <c r="F87" s="35"/>
      <c r="G87" s="35"/>
      <c r="H87" s="35"/>
      <c r="I87" s="35"/>
      <c r="J87" s="40"/>
      <c r="K87" s="40"/>
      <c r="L87" s="40"/>
      <c r="M87" s="40"/>
      <c r="N87" s="35"/>
      <c r="O87" s="35"/>
      <c r="P87" s="35"/>
      <c r="Q87" s="35"/>
      <c r="R87" s="35"/>
      <c r="S87" s="35"/>
      <c r="T87" s="35"/>
      <c r="U87" s="35"/>
      <c r="V87" s="35"/>
      <c r="W87" s="28"/>
    </row>
    <row r="88" spans="3:23" s="3" customFormat="1" x14ac:dyDescent="0.25">
      <c r="C88" s="2"/>
      <c r="D88" s="2"/>
      <c r="E88" s="2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28"/>
    </row>
    <row r="89" spans="3:23" s="3" customFormat="1" x14ac:dyDescent="0.25">
      <c r="C89" s="2"/>
      <c r="D89" s="2"/>
      <c r="E89" s="2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28"/>
    </row>
    <row r="90" spans="3:23" s="3" customFormat="1" x14ac:dyDescent="0.25">
      <c r="C90" s="2"/>
      <c r="D90" s="2"/>
      <c r="E90" s="2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28"/>
    </row>
    <row r="91" spans="3:23" s="3" customFormat="1" x14ac:dyDescent="0.25">
      <c r="C91" s="2"/>
      <c r="D91" s="2"/>
      <c r="E91" s="2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28"/>
    </row>
    <row r="92" spans="3:23" s="3" customFormat="1" x14ac:dyDescent="0.25">
      <c r="C92" s="2"/>
      <c r="D92" s="2"/>
      <c r="E92" s="2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28"/>
    </row>
    <row r="93" spans="3:23" s="3" customFormat="1" x14ac:dyDescent="0.25">
      <c r="C93" s="2"/>
      <c r="D93" s="2"/>
      <c r="E93" s="2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28"/>
    </row>
    <row r="94" spans="3:23" s="3" customFormat="1" x14ac:dyDescent="0.25">
      <c r="C94" s="2"/>
      <c r="D94" s="2"/>
      <c r="E94" s="2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28"/>
    </row>
    <row r="95" spans="3:23" s="3" customFormat="1" x14ac:dyDescent="0.25">
      <c r="C95" s="2"/>
      <c r="D95" s="2"/>
      <c r="E95" s="2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28"/>
    </row>
    <row r="96" spans="3:23" s="3" customFormat="1" x14ac:dyDescent="0.25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3:22" s="3" customFormat="1" x14ac:dyDescent="0.25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3:22" s="3" customFormat="1" x14ac:dyDescent="0.2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3:22" s="3" customFormat="1" x14ac:dyDescent="0.25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3:22" s="3" customFormat="1" x14ac:dyDescent="0.25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3:22" s="3" customFormat="1" x14ac:dyDescent="0.25"/>
    <row r="102" spans="3:22" s="3" customFormat="1" x14ac:dyDescent="0.25"/>
    <row r="103" spans="3:22" s="3" customFormat="1" x14ac:dyDescent="0.25"/>
    <row r="104" spans="3:22" s="3" customFormat="1" x14ac:dyDescent="0.25"/>
    <row r="105" spans="3:22" s="3" customFormat="1" x14ac:dyDescent="0.25"/>
    <row r="106" spans="3:22" s="3" customFormat="1" x14ac:dyDescent="0.25"/>
    <row r="107" spans="3:22" s="3" customFormat="1" x14ac:dyDescent="0.25"/>
    <row r="108" spans="3:22" s="3" customFormat="1" x14ac:dyDescent="0.25"/>
    <row r="109" spans="3:22" s="3" customFormat="1" x14ac:dyDescent="0.25"/>
    <row r="110" spans="3:22" s="3" customFormat="1" x14ac:dyDescent="0.25"/>
    <row r="111" spans="3:22" s="3" customFormat="1" x14ac:dyDescent="0.25"/>
    <row r="112" spans="3:2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  <row r="1091" s="3" customFormat="1" x14ac:dyDescent="0.25"/>
    <row r="1092" s="3" customFormat="1" x14ac:dyDescent="0.25"/>
    <row r="1093" s="3" customFormat="1" x14ac:dyDescent="0.25"/>
    <row r="1094" s="3" customFormat="1" x14ac:dyDescent="0.25"/>
    <row r="1095" s="3" customFormat="1" x14ac:dyDescent="0.25"/>
    <row r="1096" s="3" customFormat="1" x14ac:dyDescent="0.25"/>
    <row r="1097" s="3" customFormat="1" x14ac:dyDescent="0.25"/>
    <row r="1098" s="3" customFormat="1" x14ac:dyDescent="0.25"/>
    <row r="1099" s="3" customFormat="1" x14ac:dyDescent="0.25"/>
    <row r="1100" s="3" customFormat="1" x14ac:dyDescent="0.25"/>
    <row r="1101" s="3" customFormat="1" x14ac:dyDescent="0.25"/>
    <row r="1102" s="3" customFormat="1" x14ac:dyDescent="0.25"/>
    <row r="1103" s="3" customFormat="1" x14ac:dyDescent="0.25"/>
    <row r="1104" s="3" customFormat="1" x14ac:dyDescent="0.25"/>
    <row r="1105" s="3" customFormat="1" x14ac:dyDescent="0.25"/>
    <row r="1106" s="3" customFormat="1" x14ac:dyDescent="0.25"/>
    <row r="1107" s="3" customFormat="1" x14ac:dyDescent="0.25"/>
    <row r="1108" s="3" customFormat="1" x14ac:dyDescent="0.25"/>
    <row r="1109" s="3" customFormat="1" x14ac:dyDescent="0.25"/>
    <row r="1110" s="3" customFormat="1" x14ac:dyDescent="0.25"/>
    <row r="1111" s="3" customFormat="1" x14ac:dyDescent="0.25"/>
    <row r="1112" s="3" customFormat="1" x14ac:dyDescent="0.25"/>
    <row r="1113" s="3" customFormat="1" x14ac:dyDescent="0.25"/>
    <row r="1114" s="3" customFormat="1" x14ac:dyDescent="0.25"/>
    <row r="1115" s="3" customFormat="1" x14ac:dyDescent="0.25"/>
    <row r="1116" s="3" customFormat="1" x14ac:dyDescent="0.25"/>
    <row r="1117" s="3" customFormat="1" x14ac:dyDescent="0.25"/>
    <row r="1118" s="3" customFormat="1" x14ac:dyDescent="0.25"/>
    <row r="1119" s="3" customFormat="1" x14ac:dyDescent="0.25"/>
    <row r="1120" s="3" customFormat="1" x14ac:dyDescent="0.25"/>
    <row r="1121" s="3" customFormat="1" x14ac:dyDescent="0.25"/>
    <row r="1122" s="3" customFormat="1" x14ac:dyDescent="0.25"/>
    <row r="1123" s="3" customFormat="1" x14ac:dyDescent="0.25"/>
    <row r="1124" s="3" customFormat="1" x14ac:dyDescent="0.25"/>
    <row r="1125" s="3" customFormat="1" x14ac:dyDescent="0.25"/>
    <row r="1126" s="3" customFormat="1" x14ac:dyDescent="0.25"/>
    <row r="1127" s="3" customFormat="1" x14ac:dyDescent="0.25"/>
    <row r="1128" s="3" customFormat="1" x14ac:dyDescent="0.25"/>
    <row r="1129" s="3" customFormat="1" x14ac:dyDescent="0.25"/>
    <row r="1130" s="3" customFormat="1" x14ac:dyDescent="0.25"/>
    <row r="1131" s="3" customFormat="1" x14ac:dyDescent="0.25"/>
    <row r="1132" s="3" customFormat="1" x14ac:dyDescent="0.25"/>
    <row r="1133" s="3" customFormat="1" x14ac:dyDescent="0.25"/>
    <row r="1134" s="3" customFormat="1" x14ac:dyDescent="0.25"/>
    <row r="1135" s="3" customFormat="1" x14ac:dyDescent="0.25"/>
    <row r="1136" s="3" customFormat="1" x14ac:dyDescent="0.25"/>
    <row r="1137" s="3" customFormat="1" x14ac:dyDescent="0.25"/>
    <row r="1138" s="3" customFormat="1" x14ac:dyDescent="0.25"/>
    <row r="1139" s="3" customFormat="1" x14ac:dyDescent="0.25"/>
    <row r="1140" s="3" customFormat="1" x14ac:dyDescent="0.25"/>
    <row r="1141" s="3" customFormat="1" x14ac:dyDescent="0.25"/>
    <row r="1142" s="3" customFormat="1" x14ac:dyDescent="0.25"/>
    <row r="1143" s="3" customFormat="1" x14ac:dyDescent="0.25"/>
    <row r="1144" s="3" customFormat="1" x14ac:dyDescent="0.25"/>
    <row r="1145" s="3" customFormat="1" x14ac:dyDescent="0.25"/>
    <row r="1146" s="3" customFormat="1" x14ac:dyDescent="0.25"/>
    <row r="1147" s="3" customFormat="1" x14ac:dyDescent="0.25"/>
    <row r="1148" s="3" customFormat="1" x14ac:dyDescent="0.25"/>
    <row r="1149" s="3" customFormat="1" x14ac:dyDescent="0.25"/>
    <row r="1150" s="3" customFormat="1" x14ac:dyDescent="0.25"/>
    <row r="1151" s="3" customFormat="1" x14ac:dyDescent="0.25"/>
    <row r="1152" s="3" customFormat="1" x14ac:dyDescent="0.25"/>
    <row r="1153" s="3" customFormat="1" x14ac:dyDescent="0.25"/>
    <row r="1154" s="3" customFormat="1" x14ac:dyDescent="0.25"/>
    <row r="1155" s="3" customFormat="1" x14ac:dyDescent="0.25"/>
    <row r="1156" s="3" customFormat="1" x14ac:dyDescent="0.25"/>
    <row r="1157" s="3" customFormat="1" x14ac:dyDescent="0.25"/>
    <row r="1158" s="3" customFormat="1" x14ac:dyDescent="0.25"/>
    <row r="1159" s="3" customFormat="1" x14ac:dyDescent="0.25"/>
    <row r="1160" s="3" customFormat="1" x14ac:dyDescent="0.25"/>
    <row r="1161" s="3" customFormat="1" x14ac:dyDescent="0.25"/>
    <row r="1162" s="3" customFormat="1" x14ac:dyDescent="0.25"/>
    <row r="1163" s="3" customFormat="1" x14ac:dyDescent="0.25"/>
    <row r="1164" s="3" customFormat="1" x14ac:dyDescent="0.25"/>
    <row r="1165" s="3" customFormat="1" x14ac:dyDescent="0.25"/>
    <row r="1166" s="3" customFormat="1" x14ac:dyDescent="0.25"/>
    <row r="1167" s="3" customFormat="1" x14ac:dyDescent="0.25"/>
    <row r="1168" s="3" customFormat="1" x14ac:dyDescent="0.25"/>
    <row r="1169" s="3" customFormat="1" x14ac:dyDescent="0.25"/>
    <row r="1170" s="3" customFormat="1" x14ac:dyDescent="0.25"/>
    <row r="1171" s="3" customFormat="1" x14ac:dyDescent="0.25"/>
    <row r="1172" s="3" customFormat="1" x14ac:dyDescent="0.25"/>
    <row r="1173" s="3" customFormat="1" x14ac:dyDescent="0.25"/>
    <row r="1174" s="3" customFormat="1" x14ac:dyDescent="0.25"/>
    <row r="1175" s="3" customFormat="1" x14ac:dyDescent="0.25"/>
    <row r="1176" s="3" customFormat="1" x14ac:dyDescent="0.25"/>
    <row r="1177" s="3" customFormat="1" x14ac:dyDescent="0.25"/>
    <row r="1178" s="3" customFormat="1" x14ac:dyDescent="0.25"/>
    <row r="1179" s="3" customFormat="1" x14ac:dyDescent="0.25"/>
    <row r="1180" s="3" customFormat="1" x14ac:dyDescent="0.25"/>
    <row r="1181" s="3" customFormat="1" x14ac:dyDescent="0.25"/>
    <row r="1182" s="3" customFormat="1" x14ac:dyDescent="0.25"/>
    <row r="1183" s="3" customFormat="1" x14ac:dyDescent="0.25"/>
    <row r="1184" s="3" customFormat="1" x14ac:dyDescent="0.25"/>
    <row r="1185" s="3" customFormat="1" x14ac:dyDescent="0.25"/>
    <row r="1186" s="3" customFormat="1" x14ac:dyDescent="0.25"/>
    <row r="1187" s="3" customFormat="1" x14ac:dyDescent="0.25"/>
    <row r="1188" s="3" customFormat="1" x14ac:dyDescent="0.25"/>
    <row r="1189" s="3" customFormat="1" x14ac:dyDescent="0.25"/>
    <row r="1190" s="3" customFormat="1" x14ac:dyDescent="0.25"/>
    <row r="1191" s="3" customFormat="1" x14ac:dyDescent="0.25"/>
    <row r="1192" s="3" customFormat="1" x14ac:dyDescent="0.25"/>
    <row r="1193" s="3" customFormat="1" x14ac:dyDescent="0.25"/>
    <row r="1194" s="3" customFormat="1" x14ac:dyDescent="0.25"/>
    <row r="1195" s="3" customFormat="1" x14ac:dyDescent="0.25"/>
    <row r="1196" s="3" customFormat="1" x14ac:dyDescent="0.25"/>
    <row r="1197" s="3" customFormat="1" x14ac:dyDescent="0.25"/>
    <row r="1198" s="3" customFormat="1" x14ac:dyDescent="0.25"/>
    <row r="1199" s="3" customFormat="1" x14ac:dyDescent="0.25"/>
    <row r="1200" s="3" customFormat="1" x14ac:dyDescent="0.25"/>
    <row r="1201" s="3" customFormat="1" x14ac:dyDescent="0.25"/>
    <row r="1202" s="3" customFormat="1" x14ac:dyDescent="0.25"/>
    <row r="1203" s="3" customFormat="1" x14ac:dyDescent="0.25"/>
    <row r="1204" s="3" customFormat="1" x14ac:dyDescent="0.25"/>
    <row r="1205" s="3" customFormat="1" x14ac:dyDescent="0.25"/>
    <row r="1206" s="3" customFormat="1" x14ac:dyDescent="0.25"/>
    <row r="1207" s="3" customFormat="1" x14ac:dyDescent="0.25"/>
    <row r="1208" s="3" customFormat="1" x14ac:dyDescent="0.25"/>
    <row r="1209" s="3" customFormat="1" x14ac:dyDescent="0.25"/>
    <row r="1210" s="3" customFormat="1" x14ac:dyDescent="0.25"/>
    <row r="1211" s="3" customFormat="1" x14ac:dyDescent="0.25"/>
    <row r="1212" s="3" customFormat="1" x14ac:dyDescent="0.25"/>
    <row r="1213" s="3" customFormat="1" x14ac:dyDescent="0.25"/>
    <row r="1214" s="3" customFormat="1" x14ac:dyDescent="0.25"/>
    <row r="1215" s="3" customFormat="1" x14ac:dyDescent="0.25"/>
    <row r="1216" s="3" customFormat="1" x14ac:dyDescent="0.25"/>
    <row r="1217" s="3" customFormat="1" x14ac:dyDescent="0.25"/>
    <row r="1218" s="3" customFormat="1" x14ac:dyDescent="0.25"/>
    <row r="1219" s="3" customFormat="1" x14ac:dyDescent="0.25"/>
    <row r="1220" s="3" customFormat="1" x14ac:dyDescent="0.25"/>
    <row r="1221" s="3" customFormat="1" x14ac:dyDescent="0.25"/>
    <row r="1222" s="3" customFormat="1" x14ac:dyDescent="0.25"/>
    <row r="1223" s="3" customFormat="1" x14ac:dyDescent="0.25"/>
    <row r="1224" s="3" customFormat="1" x14ac:dyDescent="0.25"/>
    <row r="1225" s="3" customFormat="1" x14ac:dyDescent="0.25"/>
    <row r="1226" s="3" customFormat="1" x14ac:dyDescent="0.25"/>
    <row r="1227" s="3" customFormat="1" x14ac:dyDescent="0.25"/>
    <row r="1228" s="3" customFormat="1" x14ac:dyDescent="0.25"/>
    <row r="1229" s="3" customFormat="1" x14ac:dyDescent="0.25"/>
    <row r="1230" s="3" customFormat="1" x14ac:dyDescent="0.25"/>
    <row r="1231" s="3" customFormat="1" x14ac:dyDescent="0.25"/>
    <row r="1232" s="3" customFormat="1" x14ac:dyDescent="0.25"/>
    <row r="1233" s="3" customFormat="1" x14ac:dyDescent="0.25"/>
    <row r="1234" s="3" customFormat="1" x14ac:dyDescent="0.25"/>
    <row r="1235" s="3" customFormat="1" x14ac:dyDescent="0.25"/>
    <row r="1236" s="3" customFormat="1" x14ac:dyDescent="0.25"/>
    <row r="1237" s="3" customFormat="1" x14ac:dyDescent="0.25"/>
    <row r="1238" s="3" customFormat="1" x14ac:dyDescent="0.25"/>
    <row r="1239" s="3" customFormat="1" x14ac:dyDescent="0.25"/>
    <row r="1240" s="3" customFormat="1" x14ac:dyDescent="0.25"/>
    <row r="1241" s="3" customFormat="1" x14ac:dyDescent="0.25"/>
    <row r="1242" s="3" customFormat="1" x14ac:dyDescent="0.25"/>
    <row r="1243" s="3" customFormat="1" x14ac:dyDescent="0.25"/>
    <row r="1244" s="3" customFormat="1" x14ac:dyDescent="0.25"/>
    <row r="1245" s="3" customFormat="1" x14ac:dyDescent="0.25"/>
    <row r="1246" s="3" customFormat="1" x14ac:dyDescent="0.25"/>
    <row r="1247" s="3" customFormat="1" x14ac:dyDescent="0.25"/>
    <row r="1248" s="3" customFormat="1" x14ac:dyDescent="0.25"/>
    <row r="1249" s="3" customFormat="1" x14ac:dyDescent="0.25"/>
    <row r="1250" s="3" customFormat="1" x14ac:dyDescent="0.25"/>
    <row r="1251" s="3" customFormat="1" x14ac:dyDescent="0.25"/>
    <row r="1252" s="3" customFormat="1" x14ac:dyDescent="0.25"/>
    <row r="1253" s="3" customFormat="1" x14ac:dyDescent="0.25"/>
    <row r="1254" s="3" customFormat="1" x14ac:dyDescent="0.25"/>
    <row r="1255" s="3" customFormat="1" x14ac:dyDescent="0.25"/>
    <row r="1256" s="3" customFormat="1" x14ac:dyDescent="0.25"/>
    <row r="1257" s="3" customFormat="1" x14ac:dyDescent="0.25"/>
    <row r="1258" s="3" customFormat="1" x14ac:dyDescent="0.25"/>
    <row r="1259" s="3" customFormat="1" x14ac:dyDescent="0.25"/>
    <row r="1260" s="3" customFormat="1" x14ac:dyDescent="0.25"/>
    <row r="1261" s="3" customFormat="1" x14ac:dyDescent="0.25"/>
    <row r="1262" s="3" customFormat="1" x14ac:dyDescent="0.25"/>
    <row r="1263" s="3" customFormat="1" x14ac:dyDescent="0.25"/>
    <row r="1264" s="3" customFormat="1" x14ac:dyDescent="0.25"/>
    <row r="1265" s="3" customFormat="1" x14ac:dyDescent="0.25"/>
    <row r="1266" s="3" customFormat="1" x14ac:dyDescent="0.25"/>
    <row r="1267" s="3" customFormat="1" x14ac:dyDescent="0.25"/>
    <row r="1268" s="3" customFormat="1" x14ac:dyDescent="0.25"/>
    <row r="1269" s="3" customFormat="1" x14ac:dyDescent="0.25"/>
    <row r="1270" s="3" customFormat="1" x14ac:dyDescent="0.25"/>
    <row r="1271" s="3" customFormat="1" x14ac:dyDescent="0.25"/>
    <row r="1272" s="3" customFormat="1" x14ac:dyDescent="0.25"/>
    <row r="1273" s="3" customFormat="1" x14ac:dyDescent="0.25"/>
    <row r="1274" s="3" customFormat="1" x14ac:dyDescent="0.25"/>
    <row r="1275" s="3" customFormat="1" x14ac:dyDescent="0.25"/>
    <row r="1276" s="3" customFormat="1" x14ac:dyDescent="0.25"/>
    <row r="1277" s="3" customFormat="1" x14ac:dyDescent="0.25"/>
    <row r="1278" s="3" customFormat="1" x14ac:dyDescent="0.25"/>
    <row r="1279" s="3" customFormat="1" x14ac:dyDescent="0.25"/>
    <row r="1280" s="3" customFormat="1" x14ac:dyDescent="0.25"/>
    <row r="1281" s="3" customFormat="1" x14ac:dyDescent="0.25"/>
    <row r="1282" s="3" customFormat="1" x14ac:dyDescent="0.25"/>
    <row r="1283" s="3" customFormat="1" x14ac:dyDescent="0.25"/>
    <row r="1284" s="3" customFormat="1" x14ac:dyDescent="0.25"/>
    <row r="1285" s="3" customFormat="1" x14ac:dyDescent="0.25"/>
    <row r="1286" s="3" customFormat="1" x14ac:dyDescent="0.25"/>
    <row r="1287" s="3" customFormat="1" x14ac:dyDescent="0.25"/>
    <row r="1288" s="3" customFormat="1" x14ac:dyDescent="0.25"/>
    <row r="1289" s="3" customFormat="1" x14ac:dyDescent="0.25"/>
    <row r="1290" s="3" customFormat="1" x14ac:dyDescent="0.25"/>
    <row r="1291" s="3" customFormat="1" x14ac:dyDescent="0.25"/>
    <row r="1292" s="3" customFormat="1" x14ac:dyDescent="0.25"/>
    <row r="1293" s="3" customFormat="1" x14ac:dyDescent="0.25"/>
    <row r="1294" s="3" customFormat="1" x14ac:dyDescent="0.25"/>
    <row r="1295" s="3" customFormat="1" x14ac:dyDescent="0.25"/>
    <row r="1296" s="3" customFormat="1" x14ac:dyDescent="0.25"/>
    <row r="1297" s="3" customFormat="1" x14ac:dyDescent="0.25"/>
    <row r="1298" s="3" customFormat="1" x14ac:dyDescent="0.25"/>
    <row r="1299" s="3" customFormat="1" x14ac:dyDescent="0.25"/>
    <row r="1300" s="3" customFormat="1" x14ac:dyDescent="0.25"/>
    <row r="1301" s="3" customFormat="1" x14ac:dyDescent="0.25"/>
    <row r="1302" s="3" customFormat="1" x14ac:dyDescent="0.25"/>
    <row r="1303" s="3" customFormat="1" x14ac:dyDescent="0.25"/>
    <row r="1304" s="3" customFormat="1" x14ac:dyDescent="0.25"/>
    <row r="1305" s="3" customFormat="1" x14ac:dyDescent="0.25"/>
    <row r="1306" s="3" customFormat="1" x14ac:dyDescent="0.25"/>
    <row r="1307" s="3" customFormat="1" x14ac:dyDescent="0.25"/>
    <row r="1308" s="3" customFormat="1" x14ac:dyDescent="0.25"/>
    <row r="1309" s="3" customFormat="1" x14ac:dyDescent="0.25"/>
    <row r="1310" s="3" customFormat="1" x14ac:dyDescent="0.25"/>
    <row r="1311" s="3" customFormat="1" x14ac:dyDescent="0.25"/>
    <row r="1312" s="3" customFormat="1" x14ac:dyDescent="0.25"/>
    <row r="1313" s="3" customFormat="1" x14ac:dyDescent="0.25"/>
    <row r="1314" s="3" customFormat="1" x14ac:dyDescent="0.25"/>
    <row r="1315" s="3" customFormat="1" x14ac:dyDescent="0.25"/>
    <row r="1316" s="3" customFormat="1" x14ac:dyDescent="0.25"/>
    <row r="1317" s="3" customFormat="1" x14ac:dyDescent="0.25"/>
    <row r="1318" s="3" customFormat="1" x14ac:dyDescent="0.25"/>
    <row r="1319" s="3" customFormat="1" x14ac:dyDescent="0.25"/>
    <row r="1320" s="3" customFormat="1" x14ac:dyDescent="0.25"/>
    <row r="1321" s="3" customFormat="1" x14ac:dyDescent="0.25"/>
    <row r="1322" s="3" customFormat="1" x14ac:dyDescent="0.25"/>
    <row r="1323" s="3" customFormat="1" x14ac:dyDescent="0.25"/>
    <row r="1324" s="3" customFormat="1" x14ac:dyDescent="0.25"/>
    <row r="1325" s="3" customFormat="1" x14ac:dyDescent="0.25"/>
    <row r="1326" s="3" customFormat="1" x14ac:dyDescent="0.25"/>
    <row r="1327" s="3" customFormat="1" x14ac:dyDescent="0.25"/>
    <row r="1328" s="3" customFormat="1" x14ac:dyDescent="0.25"/>
    <row r="1329" s="3" customFormat="1" x14ac:dyDescent="0.25"/>
    <row r="1330" s="3" customFormat="1" x14ac:dyDescent="0.25"/>
    <row r="1331" s="3" customFormat="1" x14ac:dyDescent="0.25"/>
    <row r="1332" s="3" customFormat="1" x14ac:dyDescent="0.25"/>
    <row r="1333" s="3" customFormat="1" x14ac:dyDescent="0.25"/>
    <row r="1334" s="3" customFormat="1" x14ac:dyDescent="0.25"/>
    <row r="1335" s="3" customFormat="1" x14ac:dyDescent="0.25"/>
    <row r="1336" s="3" customFormat="1" x14ac:dyDescent="0.25"/>
    <row r="1337" s="3" customFormat="1" x14ac:dyDescent="0.25"/>
    <row r="1338" s="3" customFormat="1" x14ac:dyDescent="0.25"/>
    <row r="1339" s="3" customFormat="1" x14ac:dyDescent="0.25"/>
    <row r="1340" s="3" customFormat="1" x14ac:dyDescent="0.25"/>
    <row r="1341" s="3" customFormat="1" x14ac:dyDescent="0.25"/>
    <row r="1342" s="3" customFormat="1" x14ac:dyDescent="0.25"/>
    <row r="1343" s="3" customFormat="1" x14ac:dyDescent="0.25"/>
    <row r="1344" s="3" customFormat="1" x14ac:dyDescent="0.25"/>
    <row r="1345" s="3" customFormat="1" x14ac:dyDescent="0.25"/>
    <row r="1346" s="3" customFormat="1" x14ac:dyDescent="0.25"/>
    <row r="1347" s="3" customFormat="1" x14ac:dyDescent="0.25"/>
    <row r="1348" s="3" customFormat="1" x14ac:dyDescent="0.25"/>
    <row r="1349" s="3" customFormat="1" x14ac:dyDescent="0.25"/>
    <row r="1350" s="3" customFormat="1" x14ac:dyDescent="0.25"/>
    <row r="1351" s="3" customFormat="1" x14ac:dyDescent="0.25"/>
    <row r="1352" s="3" customFormat="1" x14ac:dyDescent="0.25"/>
    <row r="1353" s="3" customFormat="1" x14ac:dyDescent="0.25"/>
    <row r="1354" s="3" customFormat="1" x14ac:dyDescent="0.25"/>
    <row r="1355" s="3" customFormat="1" x14ac:dyDescent="0.25"/>
    <row r="1356" s="3" customFormat="1" x14ac:dyDescent="0.25"/>
    <row r="1357" s="3" customFormat="1" x14ac:dyDescent="0.25"/>
    <row r="1358" s="3" customFormat="1" x14ac:dyDescent="0.25"/>
    <row r="1359" s="3" customFormat="1" x14ac:dyDescent="0.25"/>
    <row r="1360" s="3" customFormat="1" x14ac:dyDescent="0.25"/>
    <row r="1361" s="3" customFormat="1" x14ac:dyDescent="0.25"/>
    <row r="1362" s="3" customFormat="1" x14ac:dyDescent="0.25"/>
    <row r="1363" s="3" customFormat="1" x14ac:dyDescent="0.25"/>
    <row r="1364" s="3" customFormat="1" x14ac:dyDescent="0.25"/>
    <row r="1365" s="3" customFormat="1" x14ac:dyDescent="0.25"/>
    <row r="1366" s="3" customFormat="1" x14ac:dyDescent="0.25"/>
    <row r="1367" s="3" customFormat="1" x14ac:dyDescent="0.25"/>
    <row r="1368" s="3" customFormat="1" x14ac:dyDescent="0.25"/>
    <row r="1369" s="3" customFormat="1" x14ac:dyDescent="0.25"/>
    <row r="1370" s="3" customFormat="1" x14ac:dyDescent="0.25"/>
    <row r="1371" s="3" customFormat="1" x14ac:dyDescent="0.25"/>
    <row r="1372" s="3" customFormat="1" x14ac:dyDescent="0.25"/>
    <row r="1373" s="3" customFormat="1" x14ac:dyDescent="0.25"/>
    <row r="1374" s="3" customFormat="1" x14ac:dyDescent="0.25"/>
    <row r="1375" s="3" customFormat="1" x14ac:dyDescent="0.25"/>
    <row r="1376" s="3" customFormat="1" x14ac:dyDescent="0.25"/>
    <row r="1377" s="3" customFormat="1" x14ac:dyDescent="0.25"/>
    <row r="1378" s="3" customFormat="1" x14ac:dyDescent="0.25"/>
    <row r="1379" s="3" customFormat="1" x14ac:dyDescent="0.25"/>
    <row r="1380" s="3" customFormat="1" x14ac:dyDescent="0.25"/>
    <row r="1381" s="3" customFormat="1" x14ac:dyDescent="0.25"/>
    <row r="1382" s="3" customFormat="1" x14ac:dyDescent="0.25"/>
    <row r="1383" s="3" customFormat="1" x14ac:dyDescent="0.25"/>
    <row r="1384" s="3" customFormat="1" x14ac:dyDescent="0.25"/>
    <row r="1385" s="3" customFormat="1" x14ac:dyDescent="0.25"/>
    <row r="1386" s="3" customFormat="1" x14ac:dyDescent="0.25"/>
    <row r="1387" s="3" customFormat="1" x14ac:dyDescent="0.25"/>
    <row r="1388" s="3" customFormat="1" x14ac:dyDescent="0.25"/>
    <row r="1389" s="3" customFormat="1" x14ac:dyDescent="0.25"/>
    <row r="1390" s="3" customFormat="1" x14ac:dyDescent="0.25"/>
    <row r="1391" s="3" customFormat="1" x14ac:dyDescent="0.25"/>
    <row r="1392" s="3" customFormat="1" x14ac:dyDescent="0.25"/>
    <row r="1393" s="3" customFormat="1" x14ac:dyDescent="0.25"/>
    <row r="1394" s="3" customFormat="1" x14ac:dyDescent="0.25"/>
    <row r="1395" s="3" customFormat="1" x14ac:dyDescent="0.25"/>
    <row r="1396" s="3" customFormat="1" x14ac:dyDescent="0.25"/>
    <row r="1397" s="3" customFormat="1" x14ac:dyDescent="0.25"/>
    <row r="1398" s="3" customFormat="1" x14ac:dyDescent="0.25"/>
    <row r="1399" s="3" customFormat="1" x14ac:dyDescent="0.25"/>
    <row r="1400" s="3" customFormat="1" x14ac:dyDescent="0.25"/>
    <row r="1401" s="3" customFormat="1" x14ac:dyDescent="0.25"/>
    <row r="1402" s="3" customFormat="1" x14ac:dyDescent="0.25"/>
    <row r="1403" s="3" customFormat="1" x14ac:dyDescent="0.25"/>
    <row r="1404" s="3" customFormat="1" x14ac:dyDescent="0.25"/>
    <row r="1405" s="3" customFormat="1" x14ac:dyDescent="0.25"/>
    <row r="1406" s="3" customFormat="1" x14ac:dyDescent="0.25"/>
    <row r="1407" s="3" customFormat="1" x14ac:dyDescent="0.25"/>
    <row r="1408" s="3" customFormat="1" x14ac:dyDescent="0.25"/>
    <row r="1409" s="3" customFormat="1" x14ac:dyDescent="0.25"/>
    <row r="1410" s="3" customFormat="1" x14ac:dyDescent="0.25"/>
    <row r="1411" s="3" customFormat="1" x14ac:dyDescent="0.25"/>
    <row r="1412" s="3" customFormat="1" x14ac:dyDescent="0.25"/>
    <row r="1413" s="3" customFormat="1" x14ac:dyDescent="0.25"/>
    <row r="1414" s="3" customFormat="1" x14ac:dyDescent="0.25"/>
    <row r="1415" s="3" customFormat="1" x14ac:dyDescent="0.25"/>
    <row r="1416" s="3" customFormat="1" x14ac:dyDescent="0.25"/>
    <row r="1417" s="3" customFormat="1" x14ac:dyDescent="0.25"/>
    <row r="1418" s="3" customFormat="1" x14ac:dyDescent="0.25"/>
    <row r="1419" s="3" customFormat="1" x14ac:dyDescent="0.25"/>
    <row r="1420" s="3" customFormat="1" x14ac:dyDescent="0.25"/>
    <row r="1421" s="3" customFormat="1" x14ac:dyDescent="0.25"/>
    <row r="1422" s="3" customFormat="1" x14ac:dyDescent="0.25"/>
    <row r="1423" s="3" customFormat="1" x14ac:dyDescent="0.25"/>
    <row r="1424" s="3" customFormat="1" x14ac:dyDescent="0.25"/>
    <row r="1425" s="3" customFormat="1" x14ac:dyDescent="0.25"/>
    <row r="1426" s="3" customFormat="1" x14ac:dyDescent="0.25"/>
    <row r="1427" s="3" customFormat="1" x14ac:dyDescent="0.25"/>
    <row r="1428" s="3" customFormat="1" x14ac:dyDescent="0.25"/>
    <row r="1429" s="3" customFormat="1" x14ac:dyDescent="0.25"/>
    <row r="1430" s="3" customFormat="1" x14ac:dyDescent="0.25"/>
    <row r="1431" s="3" customFormat="1" x14ac:dyDescent="0.25"/>
    <row r="1432" s="3" customFormat="1" x14ac:dyDescent="0.25"/>
    <row r="1433" s="3" customFormat="1" x14ac:dyDescent="0.25"/>
    <row r="1434" s="3" customFormat="1" x14ac:dyDescent="0.25"/>
    <row r="1435" s="3" customFormat="1" x14ac:dyDescent="0.25"/>
    <row r="1436" s="3" customFormat="1" x14ac:dyDescent="0.25"/>
    <row r="1437" s="3" customFormat="1" x14ac:dyDescent="0.25"/>
    <row r="1438" s="3" customFormat="1" x14ac:dyDescent="0.25"/>
    <row r="1439" s="3" customFormat="1" x14ac:dyDescent="0.25"/>
    <row r="1440" s="3" customFormat="1" x14ac:dyDescent="0.25"/>
    <row r="1441" s="3" customFormat="1" x14ac:dyDescent="0.25"/>
    <row r="1442" s="3" customFormat="1" x14ac:dyDescent="0.25"/>
    <row r="1443" s="3" customFormat="1" x14ac:dyDescent="0.25"/>
    <row r="1444" s="3" customFormat="1" x14ac:dyDescent="0.25"/>
    <row r="1445" s="3" customFormat="1" x14ac:dyDescent="0.25"/>
    <row r="1446" s="3" customFormat="1" x14ac:dyDescent="0.25"/>
    <row r="1447" s="3" customFormat="1" x14ac:dyDescent="0.25"/>
    <row r="1448" s="3" customFormat="1" x14ac:dyDescent="0.25"/>
    <row r="1449" s="3" customFormat="1" x14ac:dyDescent="0.25"/>
    <row r="1450" s="3" customFormat="1" x14ac:dyDescent="0.25"/>
    <row r="1451" s="3" customFormat="1" x14ac:dyDescent="0.25"/>
    <row r="1452" s="3" customFormat="1" x14ac:dyDescent="0.25"/>
    <row r="1453" s="3" customFormat="1" x14ac:dyDescent="0.25"/>
    <row r="1454" s="3" customFormat="1" x14ac:dyDescent="0.25"/>
    <row r="1455" s="3" customFormat="1" x14ac:dyDescent="0.25"/>
    <row r="1456" s="3" customFormat="1" x14ac:dyDescent="0.25"/>
    <row r="1457" s="3" customFormat="1" x14ac:dyDescent="0.25"/>
    <row r="1458" s="3" customFormat="1" x14ac:dyDescent="0.25"/>
    <row r="1459" s="3" customFormat="1" x14ac:dyDescent="0.25"/>
    <row r="1460" s="3" customFormat="1" x14ac:dyDescent="0.25"/>
    <row r="1461" s="3" customFormat="1" x14ac:dyDescent="0.25"/>
    <row r="1462" s="3" customFormat="1" x14ac:dyDescent="0.25"/>
    <row r="1463" s="3" customFormat="1" x14ac:dyDescent="0.25"/>
    <row r="1464" s="3" customFormat="1" x14ac:dyDescent="0.25"/>
    <row r="1465" s="3" customFormat="1" x14ac:dyDescent="0.25"/>
    <row r="1466" s="3" customFormat="1" x14ac:dyDescent="0.25"/>
    <row r="1467" s="3" customFormat="1" x14ac:dyDescent="0.25"/>
    <row r="1468" s="3" customFormat="1" x14ac:dyDescent="0.25"/>
    <row r="1469" s="3" customFormat="1" x14ac:dyDescent="0.25"/>
    <row r="1470" s="3" customFormat="1" x14ac:dyDescent="0.25"/>
    <row r="1471" s="3" customFormat="1" x14ac:dyDescent="0.25"/>
    <row r="1472" s="3" customFormat="1" x14ac:dyDescent="0.25"/>
    <row r="1473" s="3" customFormat="1" x14ac:dyDescent="0.25"/>
    <row r="1474" s="3" customFormat="1" x14ac:dyDescent="0.25"/>
    <row r="1475" s="3" customFormat="1" x14ac:dyDescent="0.25"/>
    <row r="1476" s="3" customFormat="1" x14ac:dyDescent="0.25"/>
    <row r="1477" s="3" customFormat="1" x14ac:dyDescent="0.25"/>
    <row r="1478" s="3" customFormat="1" x14ac:dyDescent="0.25"/>
    <row r="1479" s="3" customFormat="1" x14ac:dyDescent="0.25"/>
    <row r="1480" s="3" customFormat="1" x14ac:dyDescent="0.25"/>
    <row r="1481" s="3" customFormat="1" x14ac:dyDescent="0.25"/>
    <row r="1482" s="3" customFormat="1" x14ac:dyDescent="0.25"/>
    <row r="1483" s="3" customFormat="1" x14ac:dyDescent="0.25"/>
    <row r="1484" s="3" customFormat="1" x14ac:dyDescent="0.25"/>
    <row r="1485" s="3" customFormat="1" x14ac:dyDescent="0.25"/>
    <row r="1486" s="3" customFormat="1" x14ac:dyDescent="0.25"/>
    <row r="1487" s="3" customFormat="1" x14ac:dyDescent="0.25"/>
    <row r="1488" s="3" customFormat="1" x14ac:dyDescent="0.25"/>
    <row r="1489" s="3" customFormat="1" x14ac:dyDescent="0.25"/>
    <row r="1490" s="3" customFormat="1" x14ac:dyDescent="0.25"/>
    <row r="1491" s="3" customFormat="1" x14ac:dyDescent="0.25"/>
    <row r="1492" s="3" customFormat="1" x14ac:dyDescent="0.25"/>
    <row r="1493" s="3" customFormat="1" x14ac:dyDescent="0.25"/>
    <row r="1494" s="3" customFormat="1" x14ac:dyDescent="0.25"/>
    <row r="1495" s="3" customFormat="1" x14ac:dyDescent="0.25"/>
    <row r="1496" s="3" customFormat="1" x14ac:dyDescent="0.25"/>
    <row r="1497" s="3" customFormat="1" x14ac:dyDescent="0.25"/>
    <row r="1498" s="3" customFormat="1" x14ac:dyDescent="0.25"/>
    <row r="1499" s="3" customFormat="1" x14ac:dyDescent="0.25"/>
    <row r="1500" s="3" customFormat="1" x14ac:dyDescent="0.25"/>
    <row r="1501" s="3" customFormat="1" x14ac:dyDescent="0.25"/>
    <row r="1502" s="3" customFormat="1" x14ac:dyDescent="0.25"/>
    <row r="1503" s="3" customFormat="1" x14ac:dyDescent="0.25"/>
    <row r="1504" s="3" customFormat="1" x14ac:dyDescent="0.25"/>
    <row r="1505" s="3" customFormat="1" x14ac:dyDescent="0.25"/>
    <row r="1506" s="3" customFormat="1" x14ac:dyDescent="0.25"/>
    <row r="1507" s="3" customFormat="1" x14ac:dyDescent="0.25"/>
    <row r="1508" s="3" customFormat="1" x14ac:dyDescent="0.25"/>
    <row r="1509" s="3" customFormat="1" x14ac:dyDescent="0.25"/>
    <row r="1510" s="3" customFormat="1" x14ac:dyDescent="0.25"/>
    <row r="1511" s="3" customFormat="1" x14ac:dyDescent="0.25"/>
    <row r="1512" s="3" customFormat="1" x14ac:dyDescent="0.25"/>
    <row r="1513" s="3" customFormat="1" x14ac:dyDescent="0.25"/>
    <row r="1514" s="3" customFormat="1" x14ac:dyDescent="0.25"/>
    <row r="1515" s="3" customFormat="1" x14ac:dyDescent="0.25"/>
    <row r="1516" s="3" customFormat="1" x14ac:dyDescent="0.25"/>
    <row r="1517" s="3" customFormat="1" x14ac:dyDescent="0.25"/>
    <row r="1518" s="3" customFormat="1" x14ac:dyDescent="0.25"/>
    <row r="1519" s="3" customFormat="1" x14ac:dyDescent="0.25"/>
    <row r="1520" s="3" customFormat="1" x14ac:dyDescent="0.25"/>
    <row r="1521" s="3" customFormat="1" x14ac:dyDescent="0.25"/>
    <row r="1522" s="3" customFormat="1" x14ac:dyDescent="0.25"/>
    <row r="1523" s="3" customFormat="1" x14ac:dyDescent="0.25"/>
    <row r="1524" s="3" customFormat="1" x14ac:dyDescent="0.25"/>
    <row r="1525" s="3" customFormat="1" x14ac:dyDescent="0.25"/>
    <row r="1526" s="3" customFormat="1" x14ac:dyDescent="0.25"/>
    <row r="1527" s="3" customFormat="1" x14ac:dyDescent="0.25"/>
    <row r="1528" s="3" customFormat="1" x14ac:dyDescent="0.25"/>
    <row r="1529" s="3" customFormat="1" x14ac:dyDescent="0.25"/>
    <row r="1530" s="3" customFormat="1" x14ac:dyDescent="0.25"/>
    <row r="1531" s="3" customFormat="1" x14ac:dyDescent="0.25"/>
    <row r="1532" s="3" customFormat="1" x14ac:dyDescent="0.25"/>
    <row r="1533" s="3" customFormat="1" x14ac:dyDescent="0.25"/>
    <row r="1534" s="3" customFormat="1" x14ac:dyDescent="0.25"/>
    <row r="1535" s="3" customFormat="1" x14ac:dyDescent="0.25"/>
    <row r="1536" s="3" customFormat="1" x14ac:dyDescent="0.25"/>
    <row r="1537" s="3" customFormat="1" x14ac:dyDescent="0.25"/>
    <row r="1538" s="3" customFormat="1" x14ac:dyDescent="0.25"/>
    <row r="1539" s="3" customFormat="1" x14ac:dyDescent="0.25"/>
    <row r="1540" s="3" customFormat="1" x14ac:dyDescent="0.25"/>
    <row r="1541" s="3" customFormat="1" x14ac:dyDescent="0.25"/>
    <row r="1542" s="3" customFormat="1" x14ac:dyDescent="0.25"/>
    <row r="1543" s="3" customFormat="1" x14ac:dyDescent="0.25"/>
    <row r="1544" s="3" customFormat="1" x14ac:dyDescent="0.25"/>
    <row r="1545" s="3" customFormat="1" x14ac:dyDescent="0.25"/>
    <row r="1546" s="3" customFormat="1" x14ac:dyDescent="0.25"/>
    <row r="1547" s="3" customFormat="1" x14ac:dyDescent="0.25"/>
    <row r="1548" s="3" customFormat="1" x14ac:dyDescent="0.25"/>
    <row r="1549" s="3" customFormat="1" x14ac:dyDescent="0.25"/>
    <row r="1550" s="3" customFormat="1" x14ac:dyDescent="0.25"/>
    <row r="1551" s="3" customFormat="1" x14ac:dyDescent="0.25"/>
    <row r="1552" s="3" customFormat="1" x14ac:dyDescent="0.25"/>
    <row r="1553" s="3" customFormat="1" x14ac:dyDescent="0.25"/>
    <row r="1554" s="3" customFormat="1" x14ac:dyDescent="0.25"/>
    <row r="1555" s="3" customFormat="1" x14ac:dyDescent="0.25"/>
    <row r="1556" s="3" customFormat="1" x14ac:dyDescent="0.25"/>
    <row r="1557" s="3" customFormat="1" x14ac:dyDescent="0.25"/>
    <row r="1558" s="3" customFormat="1" x14ac:dyDescent="0.25"/>
    <row r="1559" s="3" customFormat="1" x14ac:dyDescent="0.25"/>
    <row r="1560" s="3" customFormat="1" x14ac:dyDescent="0.25"/>
    <row r="1561" s="3" customFormat="1" x14ac:dyDescent="0.25"/>
    <row r="1562" s="3" customFormat="1" x14ac:dyDescent="0.25"/>
    <row r="1563" s="3" customFormat="1" x14ac:dyDescent="0.25"/>
    <row r="1564" s="3" customFormat="1" x14ac:dyDescent="0.25"/>
    <row r="1565" s="3" customFormat="1" x14ac:dyDescent="0.25"/>
    <row r="1566" s="3" customFormat="1" x14ac:dyDescent="0.25"/>
    <row r="1567" s="3" customFormat="1" x14ac:dyDescent="0.25"/>
    <row r="1568" s="3" customFormat="1" x14ac:dyDescent="0.25"/>
    <row r="1569" s="3" customFormat="1" x14ac:dyDescent="0.25"/>
    <row r="1570" s="3" customFormat="1" x14ac:dyDescent="0.25"/>
    <row r="1571" s="3" customFormat="1" x14ac:dyDescent="0.25"/>
    <row r="1572" s="3" customFormat="1" x14ac:dyDescent="0.25"/>
    <row r="1573" s="3" customFormat="1" x14ac:dyDescent="0.25"/>
    <row r="1574" s="3" customFormat="1" x14ac:dyDescent="0.25"/>
    <row r="1575" s="3" customFormat="1" x14ac:dyDescent="0.25"/>
    <row r="1576" s="3" customFormat="1" x14ac:dyDescent="0.25"/>
    <row r="1577" s="3" customFormat="1" x14ac:dyDescent="0.25"/>
    <row r="1578" s="3" customFormat="1" x14ac:dyDescent="0.25"/>
    <row r="1579" s="3" customFormat="1" x14ac:dyDescent="0.25"/>
    <row r="1580" s="3" customFormat="1" x14ac:dyDescent="0.25"/>
    <row r="1581" s="3" customFormat="1" x14ac:dyDescent="0.25"/>
    <row r="1582" s="3" customFormat="1" x14ac:dyDescent="0.25"/>
    <row r="1583" s="3" customFormat="1" x14ac:dyDescent="0.25"/>
    <row r="1584" s="3" customFormat="1" x14ac:dyDescent="0.25"/>
    <row r="1585" s="3" customFormat="1" x14ac:dyDescent="0.25"/>
    <row r="1586" s="3" customFormat="1" x14ac:dyDescent="0.25"/>
    <row r="1587" s="3" customFormat="1" x14ac:dyDescent="0.25"/>
    <row r="1588" s="3" customFormat="1" x14ac:dyDescent="0.25"/>
    <row r="1589" s="3" customFormat="1" x14ac:dyDescent="0.25"/>
    <row r="1590" s="3" customFormat="1" x14ac:dyDescent="0.25"/>
    <row r="1591" s="3" customFormat="1" x14ac:dyDescent="0.25"/>
    <row r="1592" s="3" customFormat="1" x14ac:dyDescent="0.25"/>
    <row r="1593" s="3" customFormat="1" x14ac:dyDescent="0.25"/>
    <row r="1594" s="3" customFormat="1" x14ac:dyDescent="0.25"/>
    <row r="1595" s="3" customFormat="1" x14ac:dyDescent="0.25"/>
    <row r="1596" s="3" customFormat="1" x14ac:dyDescent="0.25"/>
    <row r="1597" s="3" customFormat="1" x14ac:dyDescent="0.25"/>
    <row r="1598" s="3" customFormat="1" x14ac:dyDescent="0.25"/>
    <row r="1599" s="3" customFormat="1" x14ac:dyDescent="0.25"/>
    <row r="1600" s="3" customFormat="1" x14ac:dyDescent="0.25"/>
    <row r="1601" s="3" customFormat="1" x14ac:dyDescent="0.25"/>
    <row r="1602" s="3" customFormat="1" x14ac:dyDescent="0.25"/>
    <row r="1603" s="3" customFormat="1" x14ac:dyDescent="0.25"/>
    <row r="1604" s="3" customFormat="1" x14ac:dyDescent="0.25"/>
    <row r="1605" s="3" customFormat="1" x14ac:dyDescent="0.25"/>
    <row r="1606" s="3" customFormat="1" x14ac:dyDescent="0.25"/>
    <row r="1607" s="3" customFormat="1" x14ac:dyDescent="0.25"/>
    <row r="1608" s="3" customFormat="1" x14ac:dyDescent="0.25"/>
    <row r="1609" s="3" customFormat="1" x14ac:dyDescent="0.25"/>
    <row r="1610" s="3" customFormat="1" x14ac:dyDescent="0.25"/>
    <row r="1611" s="3" customFormat="1" x14ac:dyDescent="0.25"/>
    <row r="1612" s="3" customFormat="1" x14ac:dyDescent="0.25"/>
    <row r="1613" s="3" customFormat="1" x14ac:dyDescent="0.25"/>
    <row r="1614" s="3" customFormat="1" x14ac:dyDescent="0.25"/>
    <row r="1615" s="3" customFormat="1" x14ac:dyDescent="0.25"/>
    <row r="1616" s="3" customFormat="1" x14ac:dyDescent="0.25"/>
    <row r="1617" s="3" customFormat="1" x14ac:dyDescent="0.25"/>
    <row r="1618" s="3" customFormat="1" x14ac:dyDescent="0.25"/>
    <row r="1619" s="3" customFormat="1" x14ac:dyDescent="0.25"/>
    <row r="1620" s="3" customFormat="1" x14ac:dyDescent="0.25"/>
    <row r="1621" s="3" customFormat="1" x14ac:dyDescent="0.25"/>
    <row r="1622" s="3" customFormat="1" x14ac:dyDescent="0.25"/>
    <row r="1623" s="3" customFormat="1" x14ac:dyDescent="0.25"/>
    <row r="1624" s="3" customFormat="1" x14ac:dyDescent="0.25"/>
    <row r="1625" s="3" customFormat="1" x14ac:dyDescent="0.25"/>
    <row r="1626" s="3" customFormat="1" x14ac:dyDescent="0.25"/>
    <row r="1627" s="3" customFormat="1" x14ac:dyDescent="0.25"/>
    <row r="1628" s="3" customFormat="1" x14ac:dyDescent="0.25"/>
    <row r="1629" s="3" customFormat="1" x14ac:dyDescent="0.25"/>
    <row r="1630" s="3" customFormat="1" x14ac:dyDescent="0.25"/>
    <row r="1631" s="3" customFormat="1" x14ac:dyDescent="0.25"/>
    <row r="1632" s="3" customFormat="1" x14ac:dyDescent="0.25"/>
    <row r="1633" s="3" customFormat="1" x14ac:dyDescent="0.25"/>
    <row r="1634" s="3" customFormat="1" x14ac:dyDescent="0.25"/>
    <row r="1635" s="3" customFormat="1" x14ac:dyDescent="0.25"/>
    <row r="1636" s="3" customFormat="1" x14ac:dyDescent="0.25"/>
    <row r="1637" s="3" customFormat="1" x14ac:dyDescent="0.25"/>
    <row r="1638" s="3" customFormat="1" x14ac:dyDescent="0.25"/>
    <row r="1639" s="3" customFormat="1" x14ac:dyDescent="0.25"/>
    <row r="1640" s="3" customFormat="1" x14ac:dyDescent="0.25"/>
    <row r="1641" s="3" customFormat="1" x14ac:dyDescent="0.25"/>
    <row r="1642" s="3" customFormat="1" x14ac:dyDescent="0.25"/>
    <row r="1643" s="3" customFormat="1" x14ac:dyDescent="0.25"/>
    <row r="1644" s="3" customFormat="1" x14ac:dyDescent="0.25"/>
    <row r="1645" s="3" customFormat="1" x14ac:dyDescent="0.25"/>
    <row r="1646" s="3" customFormat="1" x14ac:dyDescent="0.25"/>
    <row r="1647" s="3" customFormat="1" x14ac:dyDescent="0.25"/>
    <row r="1648" s="3" customFormat="1" x14ac:dyDescent="0.25"/>
    <row r="1649" s="3" customFormat="1" x14ac:dyDescent="0.25"/>
    <row r="1650" s="3" customFormat="1" x14ac:dyDescent="0.25"/>
    <row r="1651" s="3" customFormat="1" x14ac:dyDescent="0.25"/>
    <row r="1652" s="3" customFormat="1" x14ac:dyDescent="0.25"/>
    <row r="1653" s="3" customFormat="1" x14ac:dyDescent="0.25"/>
    <row r="1654" s="3" customFormat="1" x14ac:dyDescent="0.25"/>
    <row r="1655" s="3" customFormat="1" x14ac:dyDescent="0.25"/>
    <row r="1656" s="3" customFormat="1" x14ac:dyDescent="0.25"/>
    <row r="1657" s="3" customFormat="1" x14ac:dyDescent="0.25"/>
    <row r="1658" s="3" customFormat="1" x14ac:dyDescent="0.25"/>
    <row r="1659" s="3" customFormat="1" x14ac:dyDescent="0.25"/>
    <row r="1660" s="3" customFormat="1" x14ac:dyDescent="0.25"/>
    <row r="1661" s="3" customFormat="1" x14ac:dyDescent="0.25"/>
    <row r="1662" s="3" customFormat="1" x14ac:dyDescent="0.25"/>
    <row r="1663" s="3" customFormat="1" x14ac:dyDescent="0.25"/>
    <row r="1664" s="3" customFormat="1" x14ac:dyDescent="0.25"/>
    <row r="1665" s="3" customFormat="1" x14ac:dyDescent="0.25"/>
    <row r="1666" s="3" customFormat="1" x14ac:dyDescent="0.25"/>
    <row r="1667" s="3" customFormat="1" x14ac:dyDescent="0.25"/>
    <row r="1668" s="3" customFormat="1" x14ac:dyDescent="0.25"/>
    <row r="1669" s="3" customFormat="1" x14ac:dyDescent="0.25"/>
    <row r="1670" s="3" customFormat="1" x14ac:dyDescent="0.25"/>
    <row r="1671" s="3" customFormat="1" x14ac:dyDescent="0.25"/>
    <row r="1672" s="3" customFormat="1" x14ac:dyDescent="0.25"/>
    <row r="1673" s="3" customFormat="1" x14ac:dyDescent="0.25"/>
    <row r="1674" s="3" customFormat="1" x14ac:dyDescent="0.25"/>
    <row r="1675" s="3" customFormat="1" x14ac:dyDescent="0.25"/>
    <row r="1676" s="3" customFormat="1" x14ac:dyDescent="0.25"/>
    <row r="1677" s="3" customFormat="1" x14ac:dyDescent="0.25"/>
    <row r="1678" s="3" customFormat="1" x14ac:dyDescent="0.25"/>
    <row r="1679" s="3" customFormat="1" x14ac:dyDescent="0.25"/>
    <row r="1680" s="3" customFormat="1" x14ac:dyDescent="0.25"/>
    <row r="1681" s="3" customFormat="1" x14ac:dyDescent="0.25"/>
    <row r="1682" s="3" customFormat="1" x14ac:dyDescent="0.25"/>
    <row r="1683" s="3" customFormat="1" x14ac:dyDescent="0.25"/>
    <row r="1684" s="3" customFormat="1" x14ac:dyDescent="0.25"/>
    <row r="1685" s="3" customFormat="1" x14ac:dyDescent="0.25"/>
    <row r="1686" s="3" customFormat="1" x14ac:dyDescent="0.25"/>
    <row r="1687" s="3" customFormat="1" x14ac:dyDescent="0.25"/>
    <row r="1688" s="3" customFormat="1" x14ac:dyDescent="0.25"/>
    <row r="1689" s="3" customFormat="1" x14ac:dyDescent="0.25"/>
    <row r="1690" s="3" customFormat="1" x14ac:dyDescent="0.25"/>
    <row r="1691" s="3" customFormat="1" x14ac:dyDescent="0.25"/>
    <row r="1692" s="3" customFormat="1" x14ac:dyDescent="0.25"/>
    <row r="1693" s="3" customFormat="1" x14ac:dyDescent="0.25"/>
    <row r="1694" s="3" customFormat="1" x14ac:dyDescent="0.25"/>
    <row r="1695" s="3" customFormat="1" x14ac:dyDescent="0.25"/>
    <row r="1696" s="3" customFormat="1" x14ac:dyDescent="0.25"/>
    <row r="1697" s="3" customFormat="1" x14ac:dyDescent="0.25"/>
    <row r="1698" s="3" customFormat="1" x14ac:dyDescent="0.25"/>
    <row r="1699" s="3" customFormat="1" x14ac:dyDescent="0.25"/>
    <row r="1700" s="3" customFormat="1" x14ac:dyDescent="0.25"/>
    <row r="1701" s="3" customFormat="1" x14ac:dyDescent="0.25"/>
    <row r="1702" s="3" customFormat="1" x14ac:dyDescent="0.25"/>
    <row r="1703" s="3" customFormat="1" x14ac:dyDescent="0.25"/>
    <row r="1704" s="3" customFormat="1" x14ac:dyDescent="0.25"/>
    <row r="1705" s="3" customFormat="1" x14ac:dyDescent="0.25"/>
    <row r="1706" s="3" customFormat="1" x14ac:dyDescent="0.25"/>
    <row r="1707" s="3" customFormat="1" x14ac:dyDescent="0.25"/>
    <row r="1708" s="3" customFormat="1" x14ac:dyDescent="0.25"/>
    <row r="1709" s="3" customFormat="1" x14ac:dyDescent="0.25"/>
    <row r="1710" s="3" customFormat="1" x14ac:dyDescent="0.25"/>
    <row r="1711" s="3" customFormat="1" x14ac:dyDescent="0.25"/>
    <row r="1712" s="3" customFormat="1" x14ac:dyDescent="0.25"/>
    <row r="1713" s="3" customFormat="1" x14ac:dyDescent="0.25"/>
    <row r="1714" s="3" customFormat="1" x14ac:dyDescent="0.25"/>
    <row r="1715" s="3" customFormat="1" x14ac:dyDescent="0.25"/>
    <row r="1716" s="3" customFormat="1" x14ac:dyDescent="0.25"/>
    <row r="1717" s="3" customFormat="1" x14ac:dyDescent="0.25"/>
    <row r="1718" s="3" customFormat="1" x14ac:dyDescent="0.25"/>
    <row r="1719" s="3" customFormat="1" x14ac:dyDescent="0.25"/>
    <row r="1720" s="3" customFormat="1" x14ac:dyDescent="0.25"/>
    <row r="1721" s="3" customFormat="1" x14ac:dyDescent="0.25"/>
    <row r="1722" s="3" customFormat="1" x14ac:dyDescent="0.25"/>
    <row r="1723" s="3" customFormat="1" x14ac:dyDescent="0.25"/>
    <row r="1724" s="3" customFormat="1" x14ac:dyDescent="0.25"/>
    <row r="1725" s="3" customFormat="1" x14ac:dyDescent="0.25"/>
    <row r="1726" s="3" customFormat="1" x14ac:dyDescent="0.25"/>
    <row r="1727" s="3" customFormat="1" x14ac:dyDescent="0.25"/>
    <row r="1728" s="3" customFormat="1" x14ac:dyDescent="0.25"/>
    <row r="1729" s="3" customFormat="1" x14ac:dyDescent="0.25"/>
    <row r="1730" s="3" customFormat="1" x14ac:dyDescent="0.25"/>
    <row r="1731" s="3" customFormat="1" x14ac:dyDescent="0.25"/>
    <row r="1732" s="3" customFormat="1" x14ac:dyDescent="0.25"/>
    <row r="1733" s="3" customFormat="1" x14ac:dyDescent="0.25"/>
    <row r="1734" s="3" customFormat="1" x14ac:dyDescent="0.25"/>
    <row r="1735" s="3" customFormat="1" x14ac:dyDescent="0.25"/>
    <row r="1736" s="3" customFormat="1" x14ac:dyDescent="0.25"/>
    <row r="1737" s="3" customFormat="1" x14ac:dyDescent="0.25"/>
    <row r="1738" s="3" customFormat="1" x14ac:dyDescent="0.25"/>
    <row r="1739" s="3" customFormat="1" x14ac:dyDescent="0.25"/>
    <row r="1740" s="3" customFormat="1" x14ac:dyDescent="0.25"/>
    <row r="1741" s="3" customFormat="1" x14ac:dyDescent="0.25"/>
    <row r="1742" s="3" customFormat="1" x14ac:dyDescent="0.25"/>
    <row r="1743" s="3" customFormat="1" x14ac:dyDescent="0.25"/>
    <row r="1744" s="3" customFormat="1" x14ac:dyDescent="0.25"/>
    <row r="1745" s="3" customFormat="1" x14ac:dyDescent="0.25"/>
    <row r="1746" s="3" customFormat="1" x14ac:dyDescent="0.25"/>
    <row r="1747" s="3" customFormat="1" x14ac:dyDescent="0.25"/>
    <row r="1748" s="3" customFormat="1" x14ac:dyDescent="0.25"/>
    <row r="1749" s="3" customFormat="1" x14ac:dyDescent="0.25"/>
    <row r="1750" s="3" customFormat="1" x14ac:dyDescent="0.25"/>
    <row r="1751" s="3" customFormat="1" x14ac:dyDescent="0.25"/>
    <row r="1752" s="3" customFormat="1" x14ac:dyDescent="0.25"/>
    <row r="1753" s="3" customFormat="1" x14ac:dyDescent="0.25"/>
    <row r="1754" s="3" customFormat="1" x14ac:dyDescent="0.25"/>
    <row r="1755" s="3" customFormat="1" x14ac:dyDescent="0.25"/>
    <row r="1756" s="3" customFormat="1" x14ac:dyDescent="0.25"/>
    <row r="1757" s="3" customFormat="1" x14ac:dyDescent="0.25"/>
    <row r="1758" s="3" customFormat="1" x14ac:dyDescent="0.25"/>
    <row r="1759" s="3" customFormat="1" x14ac:dyDescent="0.25"/>
    <row r="1760" s="3" customFormat="1" x14ac:dyDescent="0.25"/>
    <row r="1761" s="3" customFormat="1" x14ac:dyDescent="0.25"/>
    <row r="1762" s="3" customFormat="1" x14ac:dyDescent="0.25"/>
    <row r="1763" s="3" customFormat="1" x14ac:dyDescent="0.25"/>
    <row r="1764" s="3" customFormat="1" x14ac:dyDescent="0.25"/>
    <row r="1765" s="3" customFormat="1" x14ac:dyDescent="0.25"/>
    <row r="1766" s="3" customFormat="1" x14ac:dyDescent="0.25"/>
    <row r="1767" s="3" customFormat="1" x14ac:dyDescent="0.25"/>
    <row r="1768" s="3" customFormat="1" x14ac:dyDescent="0.25"/>
    <row r="1769" s="3" customFormat="1" x14ac:dyDescent="0.25"/>
    <row r="1770" s="3" customFormat="1" x14ac:dyDescent="0.25"/>
    <row r="1771" s="3" customFormat="1" x14ac:dyDescent="0.25"/>
    <row r="1772" s="3" customFormat="1" x14ac:dyDescent="0.25"/>
    <row r="1773" s="3" customFormat="1" x14ac:dyDescent="0.25"/>
    <row r="1774" s="3" customFormat="1" x14ac:dyDescent="0.25"/>
    <row r="1775" s="3" customFormat="1" x14ac:dyDescent="0.25"/>
    <row r="1776" s="3" customFormat="1" x14ac:dyDescent="0.25"/>
    <row r="1777" s="3" customFormat="1" x14ac:dyDescent="0.25"/>
    <row r="1778" s="3" customFormat="1" x14ac:dyDescent="0.25"/>
    <row r="1779" s="3" customFormat="1" x14ac:dyDescent="0.25"/>
    <row r="1780" s="3" customFormat="1" x14ac:dyDescent="0.25"/>
    <row r="1781" s="3" customFormat="1" x14ac:dyDescent="0.25"/>
    <row r="1782" s="3" customFormat="1" x14ac:dyDescent="0.25"/>
    <row r="1783" s="3" customFormat="1" x14ac:dyDescent="0.25"/>
    <row r="1784" s="3" customFormat="1" x14ac:dyDescent="0.25"/>
    <row r="1785" s="3" customFormat="1" x14ac:dyDescent="0.25"/>
    <row r="1786" s="3" customFormat="1" x14ac:dyDescent="0.25"/>
    <row r="1787" s="3" customFormat="1" x14ac:dyDescent="0.25"/>
    <row r="1788" s="3" customFormat="1" x14ac:dyDescent="0.25"/>
    <row r="1789" s="3" customFormat="1" x14ac:dyDescent="0.25"/>
    <row r="1790" s="3" customFormat="1" x14ac:dyDescent="0.25"/>
    <row r="1791" s="3" customFormat="1" x14ac:dyDescent="0.25"/>
    <row r="1792" s="3" customFormat="1" x14ac:dyDescent="0.25"/>
    <row r="1793" s="3" customFormat="1" x14ac:dyDescent="0.25"/>
  </sheetData>
  <sheetProtection algorithmName="SHA-512" hashValue="xHdGY3P8d5mUCNEtTeg1ruP2Kth0E91tQhR66ksxEJSL8vQWrSsTAtZPDme0doTodlyhFTuiEisH5OAFmXy3Eg==" saltValue="qMtUC5eMGtGBLM4VJy96dA==" spinCount="100000" sheet="1" objects="1" scenarios="1" selectLockedCells="1"/>
  <mergeCells count="20">
    <mergeCell ref="D56:D57"/>
    <mergeCell ref="F56:G56"/>
    <mergeCell ref="E56:E57"/>
    <mergeCell ref="H56:H57"/>
    <mergeCell ref="L14:L15"/>
    <mergeCell ref="L18:L19"/>
    <mergeCell ref="L32:N32"/>
    <mergeCell ref="L33:N33"/>
    <mergeCell ref="S14:S15"/>
    <mergeCell ref="U14:U15"/>
    <mergeCell ref="S18:S19"/>
    <mergeCell ref="U18:U19"/>
    <mergeCell ref="N18:N19"/>
    <mergeCell ref="N14:N15"/>
    <mergeCell ref="E2:N3"/>
    <mergeCell ref="L7:N9"/>
    <mergeCell ref="S7:U9"/>
    <mergeCell ref="L10:N10"/>
    <mergeCell ref="D7:E9"/>
    <mergeCell ref="K5:L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 Tudor</dc:creator>
  <cp:keywords/>
  <dc:description/>
  <cp:lastModifiedBy>Tim Tudor</cp:lastModifiedBy>
  <cp:revision/>
  <dcterms:created xsi:type="dcterms:W3CDTF">2012-10-10T14:57:19Z</dcterms:created>
  <dcterms:modified xsi:type="dcterms:W3CDTF">2025-01-07T12:06:01Z</dcterms:modified>
  <cp:category/>
  <cp:contentStatus/>
</cp:coreProperties>
</file>